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9080" windowHeight="9750" tabRatio="500" activeTab="2"/>
  </bookViews>
  <sheets>
    <sheet name=" résultat" sheetId="1" r:id="rId1"/>
    <sheet name="espèces" sheetId="2" r:id="rId2"/>
    <sheet name="TCD" sheetId="3" r:id="rId3"/>
    <sheet name="banque" sheetId="4" r:id="rId4"/>
    <sheet name="livret" sheetId="5" r:id="rId5"/>
    <sheet name="critères" sheetId="6" r:id="rId6"/>
    <sheet name="marchandises" sheetId="7" r:id="rId7"/>
    <sheet name="vêtements" sheetId="8" r:id="rId8"/>
    <sheet name="cotisations" sheetId="9" r:id="rId9"/>
    <sheet name="suivi avance du club" sheetId="10" r:id="rId10"/>
    <sheet name="calcul du bénef" sheetId="11" r:id="rId11"/>
    <sheet name="Feuille11" sheetId="12" r:id="rId12"/>
  </sheets>
  <externalReferences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base_de_données_banque" localSheetId="10">'[6]banque'!$A$5:$I$568</definedName>
    <definedName name="base_de_données_banque">'banque'!$A$5:$I$569</definedName>
    <definedName name="base_de_données_espèces" localSheetId="10">'[6]espèces'!$A$5:$F$599</definedName>
    <definedName name="base_de_données_espèces">'espèces'!$A$5:$F$599</definedName>
    <definedName name="base_de_données_livret" localSheetId="10">'[6]livret'!$A$5:$F$100</definedName>
    <definedName name="base_de_données_livret">'livret'!$A$5:$F$100</definedName>
    <definedName name="crédit">'banque'!$F$6</definedName>
    <definedName name="critère1" localSheetId="10">'[6]critères'!$D$6:$F$7</definedName>
    <definedName name="critère1">'critères'!$D$6:$F$7</definedName>
    <definedName name="critère10" localSheetId="10">'[6]critères'!$D$33:$F$34</definedName>
    <definedName name="critère10">'critères'!$D$33:$F$34</definedName>
    <definedName name="critère11" localSheetId="10">'[6]critères'!$D$36:$F$37</definedName>
    <definedName name="critère11">'critères'!$D$36:$F$37</definedName>
    <definedName name="critère12" localSheetId="10">'[6]critères'!$D$39:$F$40</definedName>
    <definedName name="critère12">'critères'!$D$39:$F$40</definedName>
    <definedName name="critère13" localSheetId="10">'[6]critères'!$D$42:$F$43</definedName>
    <definedName name="critère13">'critères'!$D$42:$F$43</definedName>
    <definedName name="critère14" localSheetId="10">'[6]critères'!$D$45:$F$46</definedName>
    <definedName name="critère14">'critères'!$D$45:$F$46</definedName>
    <definedName name="critère15" localSheetId="10">'[6]critères'!$D$48:$F$49</definedName>
    <definedName name="critère15">'critères'!$D$48:$F$49</definedName>
    <definedName name="critère16" localSheetId="10">'[6]critères'!$D$51:$F$52</definedName>
    <definedName name="critère16">'critères'!$D$51:$F$52</definedName>
    <definedName name="critère17" localSheetId="10">'[6]critères'!$D$54:$F$55</definedName>
    <definedName name="critère17">'critères'!$D$54:$F$55</definedName>
    <definedName name="critère18" localSheetId="10">'[6]critères'!$D$57:$F$58</definedName>
    <definedName name="critère18">'critères'!$D$57:$F$58</definedName>
    <definedName name="critère19" localSheetId="10">'[6]critères'!$D$60:$F$61</definedName>
    <definedName name="critère19">'critères'!$D$60:$F$61</definedName>
    <definedName name="critère2" localSheetId="10">'[6]critères'!$D$9:$F$10</definedName>
    <definedName name="critère2">'critères'!$D$9:$F$10</definedName>
    <definedName name="critère20" localSheetId="10">'[6]critères'!$D$63:$F$64</definedName>
    <definedName name="critère20">'critères'!$D$63:$F$64</definedName>
    <definedName name="critère21" localSheetId="10">'[6]critères'!$D$66:$F$67</definedName>
    <definedName name="critère21">'critères'!$D$66:$F$67</definedName>
    <definedName name="critère22" localSheetId="10">'[6]critères'!$D$69:$F$70</definedName>
    <definedName name="critère22">'critères'!$D$69:$F$70</definedName>
    <definedName name="critère23" localSheetId="10">'[6]critères'!$D$72:$F$73</definedName>
    <definedName name="critère23">'critères'!$D$72:$F$73</definedName>
    <definedName name="critère24" localSheetId="10">'[6]critères'!$D$75:$F$76</definedName>
    <definedName name="critère24">'critères'!$D$75:$F$76</definedName>
    <definedName name="critère25" localSheetId="10">'[6]critères'!$D$78:$F$79</definedName>
    <definedName name="critère25">'critères'!$D$78:$F$79</definedName>
    <definedName name="critère26" localSheetId="10">'[6]critères'!$D$81:$F$82</definedName>
    <definedName name="critère26">'critères'!$D$81:$F$82</definedName>
    <definedName name="critère27" localSheetId="10">'[6]critères'!$D$84:$F$85</definedName>
    <definedName name="critère27">'critères'!$D$84:$F$85</definedName>
    <definedName name="critère28" localSheetId="10">'[6]critères'!$D$87:$F$88</definedName>
    <definedName name="critère28">'critères'!$D$87:$F$88</definedName>
    <definedName name="critère29" localSheetId="10">'[6]critères'!$D$90:$F$91</definedName>
    <definedName name="critère29">'critères'!$D$90:$F$91</definedName>
    <definedName name="critère3" localSheetId="10">'[6]critères'!$D$12:$F$13</definedName>
    <definedName name="critère3">'critères'!$D$12:$F$13</definedName>
    <definedName name="critère30" localSheetId="10">'[6]critères'!$D$93:$F$94</definedName>
    <definedName name="critère30">'critères'!$D$93:$F$94</definedName>
    <definedName name="critère31" localSheetId="10">'[6]critères'!$D$96:$F$97</definedName>
    <definedName name="critère31">'critères'!$D$96:$F$97</definedName>
    <definedName name="critère32" localSheetId="10">'[6]critères'!$D$99:$F$100</definedName>
    <definedName name="critère32">'critères'!$D$99:$F$100</definedName>
    <definedName name="critère4" localSheetId="10">'[6]critères'!$D$15:$F$16</definedName>
    <definedName name="critère4">'critères'!$D$15:$F$16</definedName>
    <definedName name="critère5" localSheetId="10">'[6]critères'!$D$18:$F$19</definedName>
    <definedName name="critère5">'critères'!$D$18:$F$19</definedName>
    <definedName name="critère6" localSheetId="10">'[6]critères'!$D$21:$F$22</definedName>
    <definedName name="critère6">'critères'!$D$21:$F$22</definedName>
    <definedName name="critère7" localSheetId="10">'[6]critères'!$D$24:$F$25</definedName>
    <definedName name="critère7">'critères'!$D$24:$F$25</definedName>
    <definedName name="critère8" localSheetId="10">'[6]critères'!$D$27:$F$28</definedName>
    <definedName name="critère8">'critères'!$D$27:$F$28</definedName>
    <definedName name="critère9" localSheetId="10">'[6]critères'!$D$30:$F$31</definedName>
    <definedName name="critère9">'critères'!$D$30:$F$31</definedName>
    <definedName name="CRITERIA" localSheetId="1">'espèces'!$B$2:$C$3</definedName>
    <definedName name="CRITERIA" localSheetId="4">'livret'!$B$2:$C$3</definedName>
    <definedName name="dép_février">'marchandises'!$B$61:$L$88</definedName>
    <definedName name="édition_AG">'marchandises'!$B$2:$L$29</definedName>
    <definedName name="édition_bilan">' résultat'!$B$62:$M$136</definedName>
    <definedName name="euro" localSheetId="10">#REF!</definedName>
    <definedName name="euro" localSheetId="7">#REF!</definedName>
    <definedName name="euro">#REF!</definedName>
    <definedName name="Excel_BuiltIn__FilterDatabase" localSheetId="3">'banque'!$C$1:$C$569</definedName>
    <definedName name="Excel_BuiltIn__FilterDatabase" localSheetId="1">'espèces'!$A$5:$G$565</definedName>
    <definedName name="Excel_BuiltIn__FilterDatabase" localSheetId="4">'livret'!$A$5:$G$62</definedName>
    <definedName name="Excel_BuiltIn_Criteria" localSheetId="1">'espèces'!#REF!</definedName>
    <definedName name="Excel_BuiltIn_Criteria" localSheetId="4">'livret'!#REF!</definedName>
    <definedName name="Excel_BuiltIn_Criteria">'vêtements'!$A$5:$E$6</definedName>
    <definedName name="Excel_BuiltIn_Database" localSheetId="7">'vêtements'!$A$5:$E$20</definedName>
    <definedName name="Excel_BuiltIn_Print_Area" localSheetId="0">' résultat'!$B$3:$M$136</definedName>
    <definedName name="Excel_BuiltIn_Print_Area" localSheetId="3">'banque'!$A$7:$F$128</definedName>
    <definedName name="Excel_BuiltIn_Print_Area" localSheetId="8">'cotisations'!$B$4:$G$59</definedName>
    <definedName name="Excel_BuiltIn_Print_Area" localSheetId="5">'critères'!$A$3:$B$36</definedName>
    <definedName name="Excel_BuiltIn_Print_Area" localSheetId="1">'espèces'!$A$6:$E$43</definedName>
    <definedName name="Excel_BuiltIn_Print_Area" localSheetId="4">'livret'!$A$6:$F$70</definedName>
    <definedName name="Excel_BuiltIn_Print_Area" localSheetId="6">'marchandises'!$B$119:$L$146</definedName>
    <definedName name="Excel_BuiltIn_Print_Area" localSheetId="7">'vêtements'!$A$1:$E$20</definedName>
    <definedName name="Excel_BuiltIn_Print_Titles" localSheetId="1">'espèces'!$1:$5</definedName>
    <definedName name="Excel_BuiltIn_Print_Titles" localSheetId="4">'livret'!$1:$5</definedName>
    <definedName name="Excel_BuiltIn_Print_Titles" localSheetId="7">'vêtements'!$1:$5</definedName>
    <definedName name="_xlnm.Print_Titles" localSheetId="1">'espèces'!$1:$5</definedName>
    <definedName name="_xlnm.Print_Titles" localSheetId="4">'livret'!$1:$5</definedName>
    <definedName name="_xlnm.Print_Titles" localSheetId="7">'vêtements'!$1:$5</definedName>
    <definedName name="ini" localSheetId="1">'espèces'!$F$1</definedName>
    <definedName name="ini" localSheetId="4">'livret'!$F$1</definedName>
    <definedName name="ini" localSheetId="7">'vêtements'!#REF!</definedName>
    <definedName name="ini">'banque'!$G$1</definedName>
    <definedName name="prévisions" localSheetId="10">'[5]Récap comptes'!#REF!</definedName>
    <definedName name="prévisions" localSheetId="7">'[5]Récap comptes'!#REF!</definedName>
    <definedName name="prévisions">'[2]Récap comptes'!#REF!</definedName>
    <definedName name="récap">#REF!</definedName>
    <definedName name="résultat">'[3]compte bancaire'!#REF!</definedName>
    <definedName name="Résultat_espèces" localSheetId="10">'[6]critères'!$G$5</definedName>
    <definedName name="Résultat_espèces">'critères'!$G$5</definedName>
    <definedName name="stock_reste">'marchandises'!$Q$41:$R$45</definedName>
    <definedName name="tableau_comptes" localSheetId="10">'[4]compte 2009 par JLP'!$B$2:$I$82</definedName>
    <definedName name="tableau_comptes" localSheetId="7">'[4]compte 2009 par JLP'!$B$2:$I$82</definedName>
    <definedName name="tableau_comptes">'[1]compte 2009 par JLP'!$B$2:$I$82</definedName>
    <definedName name="verres" localSheetId="10">'[6]vêtements'!#REF!</definedName>
    <definedName name="verres">'vêtements'!#REF!</definedName>
    <definedName name="vêtements" localSheetId="10">'[6]vêtements'!#REF!</definedName>
    <definedName name="vêtements">'vêtements'!#REF!</definedName>
    <definedName name="_xlnm.Print_Area" localSheetId="0">' résultat'!$B$3:$M$136</definedName>
    <definedName name="_xlnm.Print_Area" localSheetId="3">'banque'!$A$6:$F$128</definedName>
    <definedName name="_xlnm.Print_Area" localSheetId="8">'cotisations'!$B$4:$G$59</definedName>
    <definedName name="_xlnm.Print_Area" localSheetId="5">'critères'!$A$3:$B$36</definedName>
    <definedName name="_xlnm.Print_Area" localSheetId="1">'espèces'!$A$6:$E$43</definedName>
    <definedName name="_xlnm.Print_Area" localSheetId="4">'livret'!$A$6:$F$70</definedName>
    <definedName name="_xlnm.Print_Area" localSheetId="6">'marchandises'!$B$119:$L$146</definedName>
    <definedName name="_xlnm.Print_Area" localSheetId="7">'vêtements'!$A$1:$E$20</definedName>
  </definedNames>
  <calcPr fullCalcOnLoad="1"/>
  <pivotCaches>
    <pivotCache cacheId="1" r:id="rId13"/>
  </pivotCaches>
</workbook>
</file>

<file path=xl/comments4.xml><?xml version="1.0" encoding="utf-8"?>
<comments xmlns="http://schemas.openxmlformats.org/spreadsheetml/2006/main">
  <authors>
    <author> </author>
  </authors>
  <commentList>
    <comment ref="H5" authorId="0">
      <text>
        <r>
          <rPr>
            <b/>
            <sz val="8"/>
            <color indexed="8"/>
            <rFont val="Tahoma"/>
            <family val="0"/>
          </rPr>
          <t xml:space="preserve">valeurs non enregitrées
 par la banque
</t>
        </r>
      </text>
    </comment>
  </commentList>
</comments>
</file>

<file path=xl/sharedStrings.xml><?xml version="1.0" encoding="utf-8"?>
<sst xmlns="http://schemas.openxmlformats.org/spreadsheetml/2006/main" count="1429" uniqueCount="521">
  <si>
    <t>COMPTE DE RESULTAT</t>
  </si>
  <si>
    <t>Saison 2020</t>
  </si>
  <si>
    <t>DEPENSES</t>
  </si>
  <si>
    <t>RECETTES</t>
  </si>
  <si>
    <t>Licences + affiliation + calendriers</t>
  </si>
  <si>
    <t>Cotisations</t>
  </si>
  <si>
    <t>Licences + calendriers</t>
  </si>
  <si>
    <t>Licences</t>
  </si>
  <si>
    <t>Affiliation</t>
  </si>
  <si>
    <t>adhésions loisirs</t>
  </si>
  <si>
    <t>Défaut d'arbitre</t>
  </si>
  <si>
    <t>Subventions</t>
  </si>
  <si>
    <t>Mairie St Jean</t>
  </si>
  <si>
    <t>Mairie St Martin</t>
  </si>
  <si>
    <t>Participations diverses</t>
  </si>
  <si>
    <t>nos sponsors</t>
  </si>
  <si>
    <t>sponsors</t>
  </si>
  <si>
    <t>ABC contrôle et Ets PETIT et ……..</t>
  </si>
  <si>
    <t>Frais de manifestations</t>
  </si>
  <si>
    <t>Produits des manifestations</t>
  </si>
  <si>
    <t>concours interne</t>
  </si>
  <si>
    <t>concours vétérans septembre</t>
  </si>
  <si>
    <t>frais administratifs</t>
  </si>
  <si>
    <t xml:space="preserve">secrétariat </t>
  </si>
  <si>
    <t>assurances</t>
  </si>
  <si>
    <t>Autres dépenses</t>
  </si>
  <si>
    <t>Autres recettes :</t>
  </si>
  <si>
    <t>gestion concours extérieurs</t>
  </si>
  <si>
    <t>achat matériel</t>
  </si>
  <si>
    <t>indemnités kilométriques</t>
  </si>
  <si>
    <t>Achat vêtements</t>
  </si>
  <si>
    <t>Fonctionnement club</t>
  </si>
  <si>
    <t xml:space="preserve">Vêtements participation adhérents  </t>
  </si>
  <si>
    <t>autres dépenses</t>
  </si>
  <si>
    <t>Régul sur exercice précédent</t>
  </si>
  <si>
    <t>(concours extérieur)</t>
  </si>
  <si>
    <t>VERIFICATION</t>
  </si>
  <si>
    <t>TOTAL DEPENSES</t>
  </si>
  <si>
    <t>TOTAL RECETTES</t>
  </si>
  <si>
    <t>ECART</t>
  </si>
  <si>
    <t>TOTAL</t>
  </si>
  <si>
    <t>ESPECES</t>
  </si>
  <si>
    <t>BANQUE</t>
  </si>
  <si>
    <t>CREDIT</t>
  </si>
  <si>
    <t>exédent</t>
  </si>
  <si>
    <t>déficit</t>
  </si>
  <si>
    <t>DEBIT</t>
  </si>
  <si>
    <t>TOTAL GENERAL</t>
  </si>
  <si>
    <t>ASSEMBLEE GENERALE du 25 octobre 2019</t>
  </si>
  <si>
    <t>BILAN</t>
  </si>
  <si>
    <t>BILAN : Saison 2018 - 2019</t>
  </si>
  <si>
    <t>Solde bancaire A G du 28/10/2018</t>
  </si>
  <si>
    <t xml:space="preserve">compte de résultat </t>
  </si>
  <si>
    <t>solde banque CREDIT AGRICOLE</t>
  </si>
  <si>
    <t>NOUVEAU solde banque CREDIT AGRICOLE</t>
  </si>
  <si>
    <t>diff</t>
  </si>
  <si>
    <t>espèces</t>
  </si>
  <si>
    <t>solde livret</t>
  </si>
  <si>
    <t>total</t>
  </si>
  <si>
    <t>Différence / exercice précédent :</t>
  </si>
  <si>
    <t>Provisions pour dépenses à régler (vêtements : facture ) :</t>
  </si>
  <si>
    <t xml:space="preserve"> </t>
  </si>
  <si>
    <t>Stock Marchandises</t>
  </si>
  <si>
    <t>Stock Vêtements</t>
  </si>
  <si>
    <t>TOTAL VALEUR CLUB:</t>
  </si>
  <si>
    <t>Merci à nos sponsors</t>
  </si>
  <si>
    <t>Cheminées de la Chênaie St JEAN de Linières</t>
  </si>
  <si>
    <t>Resto Beaucouzé Aup'titchezsoi</t>
  </si>
  <si>
    <t>Linières carrelage  TUSSEAU</t>
  </si>
  <si>
    <t>Tabac presse resto LE POINT du JOUR St JEAN de L</t>
  </si>
  <si>
    <t>Garage St JEAN JM EXPERT</t>
  </si>
  <si>
    <t>GANDON FROID service St LEGER</t>
  </si>
  <si>
    <t xml:space="preserve">Contrôle technique ACB MAHOT </t>
  </si>
  <si>
    <t>SPORT ECO CYCLE BEAUCOUZE</t>
  </si>
  <si>
    <t>Centre com. LECLERC St JEAN de Linières</t>
  </si>
  <si>
    <t>TRANSPORTS NAURAIS BEAUFORT en VALLEE</t>
  </si>
  <si>
    <t>BRIOLLAY JARDINS SERVICES</t>
  </si>
  <si>
    <t xml:space="preserve">et à nos municipalités </t>
  </si>
  <si>
    <t>les mairies de St JEAN ET ST MARTIN</t>
  </si>
  <si>
    <r>
      <rPr>
        <b/>
        <sz val="9"/>
        <rFont val="Arial"/>
        <family val="2"/>
      </rPr>
      <t xml:space="preserve">dont </t>
    </r>
    <r>
      <rPr>
        <b/>
        <u val="single"/>
        <sz val="11"/>
        <rFont val="Arial"/>
        <family val="2"/>
      </rPr>
      <t>pour info</t>
    </r>
  </si>
  <si>
    <t>Cotisations / licences / calendriers</t>
  </si>
  <si>
    <t>Subventions Mairie St Jean + St Martin</t>
  </si>
  <si>
    <t>Frais administratifs / assurances</t>
  </si>
  <si>
    <t>Investissements (vêt ,petit mat, etc)</t>
  </si>
  <si>
    <t>Tournoi Belote</t>
  </si>
  <si>
    <t>Concours Février</t>
  </si>
  <si>
    <t>Concours avril féminines</t>
  </si>
  <si>
    <t>Tournoi / baugé</t>
  </si>
  <si>
    <t>y compris stock marchandises</t>
  </si>
  <si>
    <t>Concours Mai vétérans</t>
  </si>
  <si>
    <t>Concours septembre Vétérans</t>
  </si>
  <si>
    <t>Concours septembre</t>
  </si>
  <si>
    <t>Concours extérieurs</t>
  </si>
  <si>
    <t xml:space="preserve">Fonds minimum pour débuter la saison : </t>
  </si>
  <si>
    <t>marchandises</t>
  </si>
  <si>
    <t>achat viande</t>
  </si>
  <si>
    <t>retraits espèces fonds de caisse</t>
  </si>
  <si>
    <t>assurance</t>
  </si>
  <si>
    <t xml:space="preserve">affiliation et licences </t>
  </si>
  <si>
    <t>avance inscription concours</t>
  </si>
  <si>
    <t>Galette</t>
  </si>
  <si>
    <t>Solde minimum nécessaire en début de saison :</t>
  </si>
  <si>
    <t>Pétanque Saint JEAN - Saint MARTIN</t>
  </si>
  <si>
    <t xml:space="preserve">édité le </t>
  </si>
  <si>
    <t>date</t>
  </si>
  <si>
    <t>ordre</t>
  </si>
  <si>
    <t>libellé</t>
  </si>
  <si>
    <t>débit</t>
  </si>
  <si>
    <t>crédit</t>
  </si>
  <si>
    <t>solde</t>
  </si>
  <si>
    <t>reprise existant 2019</t>
  </si>
  <si>
    <t>Licence Cédric et Damien</t>
  </si>
  <si>
    <t>licences</t>
  </si>
  <si>
    <t>Remboursement des engagements</t>
  </si>
  <si>
    <t>concours extérieurs</t>
  </si>
  <si>
    <t>Licence Mickaël et Yannick</t>
  </si>
  <si>
    <t>Verst espèces vers CC</t>
  </si>
  <si>
    <t>Licence Fabrice</t>
  </si>
  <si>
    <t>Licence Mickaël Bioteau</t>
  </si>
  <si>
    <t xml:space="preserve">Engagement Belote 8 équipes                                      e </t>
  </si>
  <si>
    <t>belote</t>
  </si>
  <si>
    <t>Rembt concours Nicolas coutant</t>
  </si>
  <si>
    <t>Licence Helfried Jean</t>
  </si>
  <si>
    <t>Licence Gandon F. et Fred et Renard</t>
  </si>
  <si>
    <t>Licence Dylan, Noël, Jean, Richard, Rêve</t>
  </si>
  <si>
    <t>Licence Gillot</t>
  </si>
  <si>
    <t>Retrait espèces belote</t>
  </si>
  <si>
    <t>verst espèces vers CC</t>
  </si>
  <si>
    <t>Rembt Chemille Léon-Yoyo-Maurice</t>
  </si>
  <si>
    <t>Rembt St Georges + Chemillé</t>
  </si>
  <si>
    <t>4 adhésions Loisir</t>
  </si>
  <si>
    <t>Engagt Michel St Georges et St Pierre</t>
  </si>
  <si>
    <t>Réserve fond de caisse</t>
  </si>
  <si>
    <t>St Georges 10€-St Pierre 12€</t>
  </si>
  <si>
    <t>Tenue complète Cédric</t>
  </si>
  <si>
    <t>vêtements</t>
  </si>
  <si>
    <t>Complémént Damien</t>
  </si>
  <si>
    <t>Complémént Nicolac Concours Ext.</t>
  </si>
  <si>
    <t>Blouson Helfried</t>
  </si>
  <si>
    <t>ATTENTION - DERNIERE LIGNE</t>
  </si>
  <si>
    <t>Compte courant BANQUE CREDIT AGRICOLE - 96364264378</t>
  </si>
  <si>
    <t>pointage</t>
  </si>
  <si>
    <t>payé banque</t>
  </si>
  <si>
    <t>banque</t>
  </si>
  <si>
    <t>Assemblée générale solde 2019</t>
  </si>
  <si>
    <t>xxxx</t>
  </si>
  <si>
    <t>Achat Boissons AG Chq 8466196</t>
  </si>
  <si>
    <t>2019/11</t>
  </si>
  <si>
    <t>2Equ.La Pomm. 2702484</t>
  </si>
  <si>
    <t>6/11/2019</t>
  </si>
  <si>
    <t>Remise de Chq 2627498</t>
  </si>
  <si>
    <t xml:space="preserve">concours interne </t>
  </si>
  <si>
    <t>Engagement 1 équipe TRI mixte</t>
  </si>
  <si>
    <t>2019/12</t>
  </si>
  <si>
    <t>virement affiliation 2020 comité</t>
  </si>
  <si>
    <t>affiliation</t>
  </si>
  <si>
    <t>Engagement 2 équipes La Rafle</t>
  </si>
  <si>
    <t xml:space="preserve">        </t>
  </si>
  <si>
    <t>Boissons AG secteur Chq 8466197</t>
  </si>
  <si>
    <t>Engagement Chemillé du 11/1/2020</t>
  </si>
  <si>
    <t>2020/01</t>
  </si>
  <si>
    <t>remise de chq 2627499</t>
  </si>
  <si>
    <t xml:space="preserve">dépôt espèces sur le compte </t>
  </si>
  <si>
    <t>dépots/retraits</t>
  </si>
  <si>
    <t>Engagement CAP Jules Ferry</t>
  </si>
  <si>
    <t>Engagement St Georges 6 équipes</t>
  </si>
  <si>
    <t>Engagement AM Pétanque Chemillé</t>
  </si>
  <si>
    <t>dépôt espèces sur le CC N° 1894314</t>
  </si>
  <si>
    <t>Remise de Chq N°2539960</t>
  </si>
  <si>
    <t>Remise de Chq N°2539961</t>
  </si>
  <si>
    <t>Remise de Chq N°2479528</t>
  </si>
  <si>
    <t>Remise de Chq N°2479527</t>
  </si>
  <si>
    <t>Remise de Chq N°2479526</t>
  </si>
  <si>
    <t>Assurance Groupama 2020</t>
  </si>
  <si>
    <t>Règlt 16 licences au Cté Chq 8466199</t>
  </si>
  <si>
    <t>2 ramettes papier Chq 8466201</t>
  </si>
  <si>
    <t>secrétariat</t>
  </si>
  <si>
    <t>2 éq National Cholet Chq 8466200</t>
  </si>
  <si>
    <t>4 équipes St Georges Chq 8466202</t>
  </si>
  <si>
    <t xml:space="preserve">Virement au comité </t>
  </si>
  <si>
    <t>Dépôts espèces N° 0275144</t>
  </si>
  <si>
    <t>Remise de 23 licences Chq N° 2019-12</t>
  </si>
  <si>
    <t xml:space="preserve">Tickets belote N° 53 réglemt par Chq </t>
  </si>
  <si>
    <t>National Cholet 2 éq. Chq 2702496</t>
  </si>
  <si>
    <t>Calendriers concours virement Cté</t>
  </si>
  <si>
    <t>calendriers comité</t>
  </si>
  <si>
    <t>30 + 10=40€</t>
  </si>
  <si>
    <t>National La Roche S/Yon 2 équipes</t>
  </si>
  <si>
    <t>2 carnets timbres Chq 8466204</t>
  </si>
  <si>
    <t>Virement au comité 3 licences</t>
  </si>
  <si>
    <t>Licence Chq 8466205 au Cté 49</t>
  </si>
  <si>
    <t>Virement au comité 3 licences Création</t>
  </si>
  <si>
    <t>18€ Vétérans / 33€ Seniors</t>
  </si>
  <si>
    <t>Licences Chq 8466206 au Cté 49</t>
  </si>
  <si>
    <t>Remise de Chq bordereau 2599783</t>
  </si>
  <si>
    <t>remise 296€</t>
  </si>
  <si>
    <t>Licence LOPEZ bordereau 2599783</t>
  </si>
  <si>
    <t>w cw  w</t>
  </si>
  <si>
    <t>"             "</t>
  </si>
  <si>
    <t>Adhérent Loisir Gérard Bord.2599783</t>
  </si>
  <si>
    <t xml:space="preserve">   "      "</t>
  </si>
  <si>
    <t>Achat Nappe -Etiquettes Leclerc ch,8466210</t>
  </si>
  <si>
    <t>Galettes Chq 8255402</t>
  </si>
  <si>
    <t>Vins Delaunay Chq 8255399</t>
  </si>
  <si>
    <t>Tenues Counil Chq 8255398</t>
  </si>
  <si>
    <t>Licence cassée Mahot Chq 8466211</t>
  </si>
  <si>
    <t>Transfert livret vers Compte</t>
  </si>
  <si>
    <t>transfert compte à compte</t>
  </si>
  <si>
    <t>Retrait espèces concours belote</t>
  </si>
  <si>
    <t>Verst espèces sur le CC</t>
  </si>
  <si>
    <t>Licence au Cté Chq 2702497</t>
  </si>
  <si>
    <t>Chq bordereau 2559957</t>
  </si>
  <si>
    <t>74 (38+36)</t>
  </si>
  <si>
    <t>Chq bordereau 2479806</t>
  </si>
  <si>
    <t>Espèces bordereau 1949393</t>
  </si>
  <si>
    <t>Espèces bordereau 1949394</t>
  </si>
  <si>
    <t>Espèces bordereau 1949395</t>
  </si>
  <si>
    <t>Chq bordereau 2559953</t>
  </si>
  <si>
    <t>Chq bordereau 2599925</t>
  </si>
  <si>
    <t>8 Licence Chq 8466208 au Cté 49</t>
  </si>
  <si>
    <t>1 équipe en Coupe de France ch,8466209</t>
  </si>
  <si>
    <t>Carte cassée Mahot à facturer</t>
  </si>
  <si>
    <t>autres recettes</t>
  </si>
  <si>
    <t>19/02/20</t>
  </si>
  <si>
    <t>Boissons Leclerc Chq 8466212</t>
  </si>
  <si>
    <t>2020/001</t>
  </si>
  <si>
    <t>Fleur 2 bouquets Chq 8466214</t>
  </si>
  <si>
    <t>Merlot et quatre quart Chq 8466213</t>
  </si>
  <si>
    <t>Viande St Germain Chq 8466215</t>
  </si>
  <si>
    <t>Boulangerie Chq 8466216</t>
  </si>
  <si>
    <t>Viande St Germain Chq 8466217</t>
  </si>
  <si>
    <t>Dépôts espèces N° 8221426</t>
  </si>
  <si>
    <t>2020/02</t>
  </si>
  <si>
    <t>Chq bordereau 2020-04</t>
  </si>
  <si>
    <t>Stéphane bordereau 2020-04</t>
  </si>
  <si>
    <t>Loisirs Gérard bordereau 2599783</t>
  </si>
  <si>
    <t>Chq bordereau 2599783</t>
  </si>
  <si>
    <t>La Roche S/Yon Isabelle Chq 0002601</t>
  </si>
  <si>
    <t xml:space="preserve">Chq 8255401 Léon La Roche S/Yon </t>
  </si>
  <si>
    <t>Licence Rabusseau Pascal</t>
  </si>
  <si>
    <t>Engagt St Georges et Chemillé</t>
  </si>
  <si>
    <t>Virement au comité licence Evan</t>
  </si>
  <si>
    <t>Virement Cheminée Chênaie SAS MCO</t>
  </si>
  <si>
    <t>2 équipes St Pierre Chq 8466207</t>
  </si>
  <si>
    <t>Dépôts espèces N° 8221415</t>
  </si>
  <si>
    <t xml:space="preserve">Facture Vêt+Gob.N°F18090402 </t>
  </si>
  <si>
    <t>DXXX</t>
  </si>
  <si>
    <t>Licences GANDON Phil.&amp;Fred.</t>
  </si>
  <si>
    <t>Ch.Bord.-2479802</t>
  </si>
  <si>
    <t>Bord.404+2020-05</t>
  </si>
  <si>
    <t>2020/03</t>
  </si>
  <si>
    <t>Retrait pour Championnat club</t>
  </si>
  <si>
    <t>7/3/2020</t>
  </si>
  <si>
    <t>Rem Espè.Bordereau8221393</t>
  </si>
  <si>
    <t>6/5/2020</t>
  </si>
  <si>
    <t>Réglé par virement</t>
  </si>
  <si>
    <t>Rem.Esp.Bord.8221404</t>
  </si>
  <si>
    <t xml:space="preserve">Facture Vêt. N°F18090424 </t>
  </si>
  <si>
    <t>Bord.2020-06</t>
  </si>
  <si>
    <t>Diff.Déficit/Versement 4/2/2020</t>
  </si>
  <si>
    <t>frais de banque</t>
  </si>
  <si>
    <t>Ch. au comité 3 licences</t>
  </si>
  <si>
    <t>Web Groupama Modif contrat</t>
  </si>
  <si>
    <t>Ach, Provi, Conso.Cb.8466219-championnat st j/st ma,</t>
  </si>
  <si>
    <t>concours vétérans mars</t>
  </si>
  <si>
    <t>Juigné/Loire ch, 8466218</t>
  </si>
  <si>
    <t>Carreau du Lathan ch, 8466220</t>
  </si>
  <si>
    <t>19 Repas poit du jour coupe M&amp;Loire à st jean ch,8466221</t>
  </si>
  <si>
    <t>Sacoche ce Cedric Servey</t>
  </si>
  <si>
    <t>Complément D’inscription La Roche sur Yon</t>
  </si>
  <si>
    <t>Facture Vêt. N°F18090432</t>
  </si>
  <si>
    <t>Annulation C,B, N°:8466220 CARREAU DU LATHAN</t>
  </si>
  <si>
    <t>VIREMENT VERS COMPTE D’EPARGNE</t>
  </si>
  <si>
    <t>Règlement MINIBUS au trésor public C,B, N° 2702499</t>
  </si>
  <si>
    <t>Virement du Service de Gestion Comptable</t>
  </si>
  <si>
    <t>6 /5/2020</t>
  </si>
  <si>
    <t>Achat desherbant C.B. 8466222</t>
  </si>
  <si>
    <t>12/05/20</t>
  </si>
  <si>
    <t>Licence CHANTELOUP Jérôme</t>
  </si>
  <si>
    <t>5/6/2020</t>
  </si>
  <si>
    <t>Sacoche Pétanque LEON JERIGNE</t>
  </si>
  <si>
    <t>17-6-2020</t>
  </si>
  <si>
    <t>Dépôt Espèces Bord.8215992+2479803</t>
  </si>
  <si>
    <t>4-6-2020</t>
  </si>
  <si>
    <t>5-6-2020</t>
  </si>
  <si>
    <t>Ch. N°1603354 BNP « CDA49 »st jean de linières</t>
  </si>
  <si>
    <t>LIVRET</t>
  </si>
  <si>
    <t>CRITERES</t>
  </si>
  <si>
    <t>ENTRER LES CRITERES DESSOUS</t>
  </si>
  <si>
    <t>Résultat espèces</t>
  </si>
  <si>
    <t>Résultat banque</t>
  </si>
  <si>
    <t>Résultat espèces + banque</t>
  </si>
  <si>
    <t>régul ex précédent</t>
  </si>
  <si>
    <t>ligne 1</t>
  </si>
  <si>
    <t>&lt;== crédit</t>
  </si>
  <si>
    <t>&lt;== débit</t>
  </si>
  <si>
    <t>&lt;== total</t>
  </si>
  <si>
    <t>adhésion du club</t>
  </si>
  <si>
    <t>ligne 2</t>
  </si>
  <si>
    <t>défaut arbitrage</t>
  </si>
  <si>
    <t>ligne 3</t>
  </si>
  <si>
    <t>ligne 4</t>
  </si>
  <si>
    <t>subvention St Jean</t>
  </si>
  <si>
    <t>subvention St Martin</t>
  </si>
  <si>
    <t>ligne 5</t>
  </si>
  <si>
    <t>ligne 6</t>
  </si>
  <si>
    <t>ligne 7</t>
  </si>
  <si>
    <t>arbitrage</t>
  </si>
  <si>
    <t>ligne 8</t>
  </si>
  <si>
    <t>ligne 9</t>
  </si>
  <si>
    <t>coupe de m&amp;l 55 ans</t>
  </si>
  <si>
    <t>ligne 10</t>
  </si>
  <si>
    <t>manifestation6</t>
  </si>
  <si>
    <t>manifestation7</t>
  </si>
  <si>
    <t>manifestation8</t>
  </si>
  <si>
    <t>ligne 11</t>
  </si>
  <si>
    <t>manifestation9</t>
  </si>
  <si>
    <t>ligne 12</t>
  </si>
  <si>
    <t>ligne 13</t>
  </si>
  <si>
    <t>ligne 14</t>
  </si>
  <si>
    <t>ligne 15</t>
  </si>
  <si>
    <t>ligne 16</t>
  </si>
  <si>
    <t>ligne 17</t>
  </si>
  <si>
    <t>ligne 18</t>
  </si>
  <si>
    <t>ligne 19</t>
  </si>
  <si>
    <t>ligne 20</t>
  </si>
  <si>
    <t>ligne 21</t>
  </si>
  <si>
    <t>ligne 22</t>
  </si>
  <si>
    <t>ligne 23</t>
  </si>
  <si>
    <t>ligne 24</t>
  </si>
  <si>
    <t>ligne 25</t>
  </si>
  <si>
    <t>ligne 26</t>
  </si>
  <si>
    <t>ligne 27</t>
  </si>
  <si>
    <t>ligne 28</t>
  </si>
  <si>
    <t>ligne 29</t>
  </si>
  <si>
    <t>ligne 30</t>
  </si>
  <si>
    <t>ligne 31</t>
  </si>
  <si>
    <t>ligne 32</t>
  </si>
  <si>
    <t>POUR VERIF</t>
  </si>
  <si>
    <t>dernier Stock :</t>
  </si>
  <si>
    <t>&lt;== à modifier</t>
  </si>
  <si>
    <t>32 participants le 11/10/2019</t>
  </si>
  <si>
    <t>PRIX de VENTE</t>
  </si>
  <si>
    <t>STOCK avant concours</t>
  </si>
  <si>
    <t>ACHATS</t>
  </si>
  <si>
    <t>Conso pendant concours</t>
  </si>
  <si>
    <t>STOCK après concours</t>
  </si>
  <si>
    <t>&lt;&gt; STOCK après / STOCK avant</t>
  </si>
  <si>
    <t>Participants</t>
  </si>
  <si>
    <t>Cubi</t>
  </si>
  <si>
    <t>10 litres</t>
  </si>
  <si>
    <t>prix à l'unité</t>
  </si>
  <si>
    <t>nb</t>
  </si>
  <si>
    <t>valeur</t>
  </si>
  <si>
    <t>=</t>
  </si>
  <si>
    <t>bouteilles</t>
  </si>
  <si>
    <t>bières sans alcool / Btl</t>
  </si>
  <si>
    <t>bières / Btl</t>
  </si>
  <si>
    <t>verres</t>
  </si>
  <si>
    <t>Bière pression Fûts 5 litres</t>
  </si>
  <si>
    <t>rosé / 1 L</t>
  </si>
  <si>
    <t>rouge / 1L</t>
  </si>
  <si>
    <t>cidre / Btl</t>
  </si>
  <si>
    <t>sirop menthe / Btl 0.75L</t>
  </si>
  <si>
    <t>sirop pamplemousse 0.75L</t>
  </si>
  <si>
    <t>coca / 1.5 L</t>
  </si>
  <si>
    <t>jus de fruit / Btl 2L</t>
  </si>
  <si>
    <t>Eau de source Btl 50cl</t>
  </si>
  <si>
    <t>café / stick  (Boite de 25)</t>
  </si>
  <si>
    <t>chocolat / stick Boite de 10)</t>
  </si>
  <si>
    <t>sucre / stick boite de 100</t>
  </si>
  <si>
    <t>barres patissières</t>
  </si>
  <si>
    <t>lait</t>
  </si>
  <si>
    <t>perrier</t>
  </si>
  <si>
    <t>Consommables  périssables + ricard</t>
  </si>
  <si>
    <t>Ricard pour bouriche</t>
  </si>
  <si>
    <t>divers (nappes,éponges, sopalin, sac poubelle, etc)</t>
  </si>
  <si>
    <t>repas du midi</t>
  </si>
  <si>
    <t>86 équipes X13€ = 1118€</t>
  </si>
  <si>
    <t>Bière pression futs de 5 L</t>
  </si>
  <si>
    <t>fûts Bière</t>
  </si>
  <si>
    <t>5 litres</t>
  </si>
  <si>
    <t>Gobelets       25 Cl</t>
  </si>
  <si>
    <t>coca / 1 L</t>
  </si>
  <si>
    <t xml:space="preserve">A rendre à Cédric 3 futs de bière dont les 2 en réserve et un </t>
  </si>
  <si>
    <t>eau de source / Btl 1,5 L</t>
  </si>
  <si>
    <t>et un à acheter créditer en rouge à 15.94</t>
  </si>
  <si>
    <t>chocolat / stick Boite de 12)</t>
  </si>
  <si>
    <t>chocolat / timballes</t>
  </si>
  <si>
    <t>barres patissières quatre quart</t>
  </si>
  <si>
    <t>perrier 1L</t>
  </si>
  <si>
    <t>Lots pour tombola</t>
  </si>
  <si>
    <t>60 doublettes x 6 €</t>
  </si>
  <si>
    <t xml:space="preserve">-15% = 54 € </t>
  </si>
  <si>
    <t>Table</t>
  </si>
  <si>
    <t>Pas de bouriche</t>
  </si>
  <si>
    <t>JCD</t>
  </si>
  <si>
    <t>Cédric</t>
  </si>
  <si>
    <t xml:space="preserve">bières / Btl </t>
  </si>
  <si>
    <t>Bar</t>
  </si>
  <si>
    <t>Bière pression / 1 L</t>
  </si>
  <si>
    <t>JPaul</t>
  </si>
  <si>
    <t>Gilles</t>
  </si>
  <si>
    <t>René</t>
  </si>
  <si>
    <t>Claude</t>
  </si>
  <si>
    <t>Marc</t>
  </si>
  <si>
    <t>JPierre</t>
  </si>
  <si>
    <t>eau de source / Btl  50cl</t>
  </si>
  <si>
    <t>Joueurs</t>
  </si>
  <si>
    <t>chocolat / gobelet individuel</t>
  </si>
  <si>
    <t>A Gillot</t>
  </si>
  <si>
    <t>eau de source / Btl 50cl</t>
  </si>
  <si>
    <t>café / stick  (Boite de 80)</t>
  </si>
  <si>
    <t>50 équipes x 6 €</t>
  </si>
  <si>
    <t>Participation 15%</t>
  </si>
  <si>
    <t>chocolat / stick Boite de 8)</t>
  </si>
  <si>
    <t>46 équipes x 6 €</t>
  </si>
  <si>
    <t>49 équipes x 8 €</t>
  </si>
  <si>
    <t>-25% = 98 € + arbitre 35 €</t>
  </si>
  <si>
    <t>mousseux</t>
  </si>
  <si>
    <t>VETEMENTS en stock</t>
  </si>
  <si>
    <t>quantité</t>
  </si>
  <si>
    <t>prix unitaires</t>
  </si>
  <si>
    <t>Tenue verte polo</t>
  </si>
  <si>
    <t>sweet</t>
  </si>
  <si>
    <t>veste</t>
  </si>
  <si>
    <t>Tenue Noire polo</t>
  </si>
  <si>
    <t>sweat</t>
  </si>
  <si>
    <t>Pantalon noir Jogging</t>
  </si>
  <si>
    <t>comité : 32,00  + calendriers 1.00 = 33.00 soit 3.00 au club</t>
  </si>
  <si>
    <t>COTISATIONS 2019</t>
  </si>
  <si>
    <t>Chèques</t>
  </si>
  <si>
    <t>Attestation</t>
  </si>
  <si>
    <t>BACHELARD Christophe</t>
  </si>
  <si>
    <t>BARDET Crézella</t>
  </si>
  <si>
    <t>BARDET Patrice</t>
  </si>
  <si>
    <t>BELLAUD Marc</t>
  </si>
  <si>
    <t>BOUCHERI J-Pierre</t>
  </si>
  <si>
    <t>BOULOTON François</t>
  </si>
  <si>
    <t>BOUILLER Nicolas</t>
  </si>
  <si>
    <t>BOUYER Maurice</t>
  </si>
  <si>
    <t>CHERBONNIER Laurent</t>
  </si>
  <si>
    <t>CHEREAU Lionel</t>
  </si>
  <si>
    <t>CHEVALIER René</t>
  </si>
  <si>
    <t>COCHIN Gérard</t>
  </si>
  <si>
    <t>CORMERAIS Jean-Paul</t>
  </si>
  <si>
    <t>COUTANT Nicolas</t>
  </si>
  <si>
    <t>DECHEREUX Jean-Claude</t>
  </si>
  <si>
    <t>DENIEULLE Laurent</t>
  </si>
  <si>
    <t>DESBOIS J-Jacques</t>
  </si>
  <si>
    <t>DESPLAT Jean-Noël</t>
  </si>
  <si>
    <t>DESPLAT Joëlle</t>
  </si>
  <si>
    <t>FOULIARD Jean-Yves</t>
  </si>
  <si>
    <t>GALOPIN Dominique</t>
  </si>
  <si>
    <t>GANDON Frédéric</t>
  </si>
  <si>
    <t>GANDON Philippe</t>
  </si>
  <si>
    <t>GILLOT Alain</t>
  </si>
  <si>
    <t>GONFALONE Jean-Pierre</t>
  </si>
  <si>
    <t>GOSSE Gilles</t>
  </si>
  <si>
    <t>HOMER Joseph</t>
  </si>
  <si>
    <t>JERIGNE Léon</t>
  </si>
  <si>
    <t>LEFEUVE Maryse</t>
  </si>
  <si>
    <t>LEFEUVE J-François</t>
  </si>
  <si>
    <t>LOCHARD Lary</t>
  </si>
  <si>
    <t>L'HOTE Aurélien</t>
  </si>
  <si>
    <t>L'HOTE Laurent</t>
  </si>
  <si>
    <t>LUX Eric</t>
  </si>
  <si>
    <t>MAHOT Pascal</t>
  </si>
  <si>
    <t>RABUSSEAU Pascal</t>
  </si>
  <si>
    <t>RIPOCHE Claude</t>
  </si>
  <si>
    <t>ROINARD Mégan</t>
  </si>
  <si>
    <t>ROULLOIS Damien</t>
  </si>
  <si>
    <t>SEJOURNE Michel</t>
  </si>
  <si>
    <t>SERVEY Cédric</t>
  </si>
  <si>
    <t>SUZINEAU Thierry</t>
  </si>
  <si>
    <t>x BRILLANT Tony</t>
  </si>
  <si>
    <t>x BRILLANT Franky</t>
  </si>
  <si>
    <t>x BRILLANT Noël</t>
  </si>
  <si>
    <t>x BRILLANT Rêve</t>
  </si>
  <si>
    <t>x EVEN David</t>
  </si>
  <si>
    <t>x EVEN Jean-Josué</t>
  </si>
  <si>
    <t>x MICHELET Jean</t>
  </si>
  <si>
    <t>x MICHELET Richard</t>
  </si>
  <si>
    <t>x REYNARD Noël</t>
  </si>
  <si>
    <t>TOTAL  :</t>
  </si>
  <si>
    <t>Association Pétanque Saint Jean - St Martin</t>
  </si>
  <si>
    <t>Siège social : Mairie 49070 Saint JEAN de LINIERES</t>
  </si>
  <si>
    <t>ATTESTATION DE PAIEMENT DE COTISATION</t>
  </si>
  <si>
    <t>Nous reconnaissons avoir reçu de Mr JERIGNE Léon la somme de 36 euros en paiement de la licence 2019</t>
  </si>
  <si>
    <t>Pour valoir ce que de droit</t>
  </si>
  <si>
    <t>Le Président</t>
  </si>
  <si>
    <t>Le trésorier</t>
  </si>
  <si>
    <t>Léon JERIGNE</t>
  </si>
  <si>
    <t>méthode de calcul du bénéfice pour :</t>
  </si>
  <si>
    <t>concours</t>
  </si>
  <si>
    <t>inscriptions</t>
  </si>
  <si>
    <t>viande</t>
  </si>
  <si>
    <t>participation 25%</t>
  </si>
  <si>
    <t>bénef bar et bouriche</t>
  </si>
  <si>
    <t>arbitre</t>
  </si>
  <si>
    <t>avance fonds de caisse</t>
  </si>
  <si>
    <t>différence marchandise</t>
  </si>
  <si>
    <t>(vide)</t>
  </si>
  <si>
    <t>Total général</t>
  </si>
  <si>
    <t>Années</t>
  </si>
  <si>
    <t>2020</t>
  </si>
  <si>
    <t>janv</t>
  </si>
  <si>
    <t>févr</t>
  </si>
  <si>
    <t>2019</t>
  </si>
  <si>
    <t>nov</t>
  </si>
  <si>
    <t>déc</t>
  </si>
  <si>
    <t>oct</t>
  </si>
  <si>
    <t>avr</t>
  </si>
  <si>
    <t>mai</t>
  </si>
  <si>
    <t>juin</t>
  </si>
  <si>
    <t>mars</t>
  </si>
  <si>
    <t>&lt;23/10/2019</t>
  </si>
  <si>
    <t>Données</t>
  </si>
  <si>
    <t xml:space="preserve"> débit</t>
  </si>
  <si>
    <t xml:space="preserve"> crédit</t>
  </si>
  <si>
    <t xml:space="preserve"> solde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</si>
</sst>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[$-40C]dd\-mmm"/>
    <numFmt numFmtId="165" formatCode="#,##0.00&quot; €&quot;;\-#,##0.00&quot; €&quot;"/>
    <numFmt numFmtId="166" formatCode="&quot;+ &quot;#,##0.00&quot; €&quot;;[Red]&quot;- &quot;#,##0.00&quot; €&quot;"/>
    <numFmt numFmtId="167" formatCode="###0.00\ _€;[Red]\-#,##0.00\ _€"/>
    <numFmt numFmtId="168" formatCode="#,##0&quot; €&quot;;[Red]\-#,##0&quot; €&quot;"/>
    <numFmt numFmtId="169" formatCode="dd/mm/yy"/>
    <numFmt numFmtId="170" formatCode="#,##0.00&quot; €&quot;__;[Red]#,##0.00&quot; €&quot;__"/>
    <numFmt numFmtId="171" formatCode="#,##0.00__"/>
    <numFmt numFmtId="172" formatCode="0__"/>
    <numFmt numFmtId="173" formatCode="0.0__"/>
    <numFmt numFmtId="174" formatCode="d/m/yy;@"/>
    <numFmt numFmtId="175" formatCode="0.00__"/>
    <numFmt numFmtId="176" formatCode="dd\ /\ mm\ /\ yyyy"/>
    <numFmt numFmtId="177" formatCode="dd\ mmmm\ yyyy"/>
    <numFmt numFmtId="178" formatCode="dd\ /\ mm\ /\ yy"/>
    <numFmt numFmtId="179" formatCode="#,##0.00&quot; €&quot;;[Red]\-#,##0.00&quot; €&quot;"/>
    <numFmt numFmtId="180" formatCode="dd/mm/yy;@"/>
  </numFmts>
  <fonts count="101">
    <font>
      <sz val="9"/>
      <name val="Arial"/>
      <family val="0"/>
    </font>
    <font>
      <sz val="10"/>
      <name val="Arial"/>
      <family val="0"/>
    </font>
    <font>
      <sz val="10"/>
      <name val="MS Sans Serif"/>
      <family val="0"/>
    </font>
    <font>
      <sz val="8"/>
      <name val="Arial"/>
      <family val="0"/>
    </font>
    <font>
      <b/>
      <sz val="8"/>
      <name val="MS Sans Serif"/>
      <family val="2"/>
    </font>
    <font>
      <b/>
      <sz val="12"/>
      <color indexed="17"/>
      <name val="Arial"/>
      <family val="2"/>
    </font>
    <font>
      <b/>
      <sz val="26"/>
      <color indexed="10"/>
      <name val="Arial"/>
      <family val="2"/>
    </font>
    <font>
      <b/>
      <sz val="9"/>
      <name val="Arial"/>
      <family val="2"/>
    </font>
    <font>
      <sz val="9"/>
      <color indexed="10"/>
      <name val="Arial"/>
      <family val="0"/>
    </font>
    <font>
      <b/>
      <i/>
      <sz val="7"/>
      <name val="Courier New"/>
      <family val="3"/>
    </font>
    <font>
      <i/>
      <sz val="7"/>
      <color indexed="10"/>
      <name val="Courier New"/>
      <family val="3"/>
    </font>
    <font>
      <i/>
      <sz val="7"/>
      <name val="Courier New"/>
      <family val="3"/>
    </font>
    <font>
      <b/>
      <sz val="9"/>
      <color indexed="12"/>
      <name val="Arial"/>
      <family val="2"/>
    </font>
    <font>
      <b/>
      <sz val="12"/>
      <name val="Arial"/>
      <family val="2"/>
    </font>
    <font>
      <sz val="7"/>
      <name val="Arial"/>
      <family val="0"/>
    </font>
    <font>
      <b/>
      <sz val="7"/>
      <name val="Arial"/>
      <family val="2"/>
    </font>
    <font>
      <u val="single"/>
      <sz val="9"/>
      <name val="Arial"/>
      <family val="0"/>
    </font>
    <font>
      <b/>
      <u val="single"/>
      <sz val="12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b/>
      <u val="single"/>
      <sz val="11"/>
      <name val="Arial"/>
      <family val="2"/>
    </font>
    <font>
      <b/>
      <u val="single"/>
      <sz val="9"/>
      <name val="Arial"/>
      <family val="2"/>
    </font>
    <font>
      <sz val="9"/>
      <color indexed="53"/>
      <name val="Arial"/>
      <family val="0"/>
    </font>
    <font>
      <b/>
      <sz val="10"/>
      <color indexed="19"/>
      <name val="Comic Sans MS"/>
      <family val="4"/>
    </font>
    <font>
      <sz val="8"/>
      <name val="MS Sans Serif"/>
      <family val="2"/>
    </font>
    <font>
      <b/>
      <sz val="12"/>
      <color indexed="10"/>
      <name val="MS Sans Serif"/>
      <family val="0"/>
    </font>
    <font>
      <b/>
      <sz val="10"/>
      <name val="MS Sans Serif"/>
      <family val="0"/>
    </font>
    <font>
      <b/>
      <sz val="6"/>
      <name val="MS Sans Serif"/>
      <family val="2"/>
    </font>
    <font>
      <b/>
      <sz val="9"/>
      <name val="MS Sans Serif"/>
      <family val="0"/>
    </font>
    <font>
      <sz val="10"/>
      <color indexed="12"/>
      <name val="Base_de_données_espèces"/>
      <family val="0"/>
    </font>
    <font>
      <sz val="10"/>
      <color indexed="12"/>
      <name val="MS Sans Serif"/>
      <family val="0"/>
    </font>
    <font>
      <sz val="7"/>
      <name val="Base_de_données_espèces"/>
      <family val="0"/>
    </font>
    <font>
      <sz val="8"/>
      <name val="Base_de_données_espèces"/>
      <family val="0"/>
    </font>
    <font>
      <sz val="6"/>
      <name val="Base_de_données_espèces"/>
      <family val="0"/>
    </font>
    <font>
      <sz val="6"/>
      <name val="Arial"/>
      <family val="2"/>
    </font>
    <font>
      <b/>
      <sz val="6"/>
      <color indexed="60"/>
      <name val="Base_de_données_espèces"/>
      <family val="0"/>
    </font>
    <font>
      <i/>
      <sz val="8"/>
      <name val="Arial"/>
      <family val="2"/>
    </font>
    <font>
      <sz val="9"/>
      <name val="MS Sans Serif"/>
      <family val="2"/>
    </font>
    <font>
      <b/>
      <sz val="10"/>
      <color indexed="10"/>
      <name val="MS Sans Serif"/>
      <family val="0"/>
    </font>
    <font>
      <b/>
      <sz val="8.5"/>
      <color indexed="12"/>
      <name val="MS Sans Serif"/>
      <family val="2"/>
    </font>
    <font>
      <b/>
      <sz val="8.5"/>
      <name val="MS Sans Serif"/>
      <family val="2"/>
    </font>
    <font>
      <sz val="8.5"/>
      <name val="MS Sans Serif"/>
      <family val="2"/>
    </font>
    <font>
      <b/>
      <sz val="8"/>
      <color indexed="10"/>
      <name val="MS Sans Serif"/>
      <family val="2"/>
    </font>
    <font>
      <sz val="8"/>
      <color indexed="12"/>
      <name val="MS Sans Serif"/>
      <family val="2"/>
    </font>
    <font>
      <sz val="6"/>
      <name val="MS Sans Serif"/>
      <family val="2"/>
    </font>
    <font>
      <b/>
      <sz val="8"/>
      <color indexed="10"/>
      <name val="Arial"/>
      <family val="2"/>
    </font>
    <font>
      <b/>
      <sz val="10"/>
      <color indexed="53"/>
      <name val="MS Sans Serif"/>
      <family val="2"/>
    </font>
    <font>
      <sz val="10"/>
      <color indexed="10"/>
      <name val="MS Sans Serif"/>
      <family val="0"/>
    </font>
    <font>
      <sz val="8"/>
      <color indexed="10"/>
      <name val="Arial"/>
      <family val="2"/>
    </font>
    <font>
      <b/>
      <sz val="8"/>
      <color indexed="8"/>
      <name val="Tahoma"/>
      <family val="0"/>
    </font>
    <font>
      <sz val="10"/>
      <color indexed="12"/>
      <name val="Base_de_données_livret"/>
      <family val="0"/>
    </font>
    <font>
      <sz val="8"/>
      <name val="Base_de_données_livret"/>
      <family val="0"/>
    </font>
    <font>
      <b/>
      <sz val="8"/>
      <color indexed="10"/>
      <name val="Base_de_données_espèces"/>
      <family val="0"/>
    </font>
    <font>
      <sz val="8"/>
      <color indexed="10"/>
      <name val="Base_de_données_livret"/>
      <family val="0"/>
    </font>
    <font>
      <i/>
      <sz val="8"/>
      <name val="Base_de_données_livret"/>
      <family val="0"/>
    </font>
    <font>
      <b/>
      <sz val="18"/>
      <color indexed="48"/>
      <name val="Arial"/>
      <family val="2"/>
    </font>
    <font>
      <b/>
      <sz val="12"/>
      <color indexed="10"/>
      <name val="Arial"/>
      <family val="2"/>
    </font>
    <font>
      <b/>
      <sz val="11"/>
      <color indexed="9"/>
      <name val="Arial"/>
      <family val="2"/>
    </font>
    <font>
      <sz val="10"/>
      <color indexed="9"/>
      <name val="MS Sans Serif"/>
      <family val="0"/>
    </font>
    <font>
      <b/>
      <sz val="9"/>
      <color indexed="10"/>
      <name val="Arial"/>
      <family val="2"/>
    </font>
    <font>
      <sz val="11"/>
      <name val="Arial"/>
      <family val="2"/>
    </font>
    <font>
      <b/>
      <i/>
      <sz val="12"/>
      <name val="Arial"/>
      <family val="2"/>
    </font>
    <font>
      <sz val="7"/>
      <name val="MS Sans Serif"/>
      <family val="0"/>
    </font>
    <font>
      <sz val="12"/>
      <name val="Arial"/>
      <family val="2"/>
    </font>
    <font>
      <b/>
      <sz val="14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</fills>
  <borders count="9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10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dotted">
        <color indexed="8"/>
      </left>
      <right style="dotted">
        <color indexed="8"/>
      </right>
      <top style="dotted">
        <color indexed="8"/>
      </top>
      <bottom style="dotted">
        <color indexed="8"/>
      </bottom>
    </border>
    <border>
      <left style="dashed">
        <color indexed="53"/>
      </left>
      <right>
        <color indexed="63"/>
      </right>
      <top style="double">
        <color indexed="53"/>
      </top>
      <bottom>
        <color indexed="63"/>
      </bottom>
    </border>
    <border>
      <left style="double">
        <color indexed="53"/>
      </left>
      <right style="double">
        <color indexed="53"/>
      </right>
      <top style="double">
        <color indexed="53"/>
      </top>
      <bottom style="double">
        <color indexed="53"/>
      </bottom>
    </border>
    <border>
      <left style="double">
        <color indexed="53"/>
      </left>
      <right>
        <color indexed="63"/>
      </right>
      <top style="double">
        <color indexed="53"/>
      </top>
      <bottom style="double">
        <color indexed="53"/>
      </bottom>
    </border>
    <border>
      <left style="double">
        <color indexed="53"/>
      </left>
      <right style="dotted">
        <color indexed="8"/>
      </right>
      <top style="double">
        <color indexed="53"/>
      </top>
      <bottom>
        <color indexed="63"/>
      </bottom>
    </border>
    <border>
      <left style="double">
        <color indexed="53"/>
      </left>
      <right style="hair">
        <color indexed="8"/>
      </right>
      <top style="double">
        <color indexed="53"/>
      </top>
      <bottom>
        <color indexed="63"/>
      </bottom>
    </border>
    <border>
      <left>
        <color indexed="63"/>
      </left>
      <right style="dotted">
        <color indexed="8"/>
      </right>
      <top>
        <color indexed="63"/>
      </top>
      <bottom>
        <color indexed="63"/>
      </bottom>
    </border>
    <border>
      <left>
        <color indexed="63"/>
      </left>
      <right style="dashed">
        <color indexed="53"/>
      </right>
      <top>
        <color indexed="63"/>
      </top>
      <bottom>
        <color indexed="63"/>
      </bottom>
    </border>
    <border>
      <left style="dashed">
        <color indexed="5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53"/>
      </right>
      <top>
        <color indexed="63"/>
      </top>
      <bottom>
        <color indexed="63"/>
      </bottom>
    </border>
    <border>
      <left style="double">
        <color indexed="53"/>
      </left>
      <right style="double">
        <color indexed="53"/>
      </right>
      <top style="double">
        <color indexed="53"/>
      </top>
      <bottom>
        <color indexed="63"/>
      </bottom>
    </border>
    <border>
      <left style="double">
        <color indexed="53"/>
      </left>
      <right style="hair">
        <color indexed="8"/>
      </right>
      <top>
        <color indexed="63"/>
      </top>
      <bottom>
        <color indexed="63"/>
      </bottom>
    </border>
    <border>
      <left style="double">
        <color indexed="53"/>
      </left>
      <right style="double">
        <color indexed="53"/>
      </right>
      <top>
        <color indexed="63"/>
      </top>
      <bottom>
        <color indexed="63"/>
      </bottom>
    </border>
    <border>
      <left style="double">
        <color indexed="53"/>
      </left>
      <right style="hair">
        <color indexed="8"/>
      </right>
      <top>
        <color indexed="63"/>
      </top>
      <bottom style="double">
        <color indexed="53"/>
      </bottom>
    </border>
    <border>
      <left>
        <color indexed="63"/>
      </left>
      <right>
        <color indexed="63"/>
      </right>
      <top>
        <color indexed="63"/>
      </top>
      <bottom style="double">
        <color indexed="53"/>
      </bottom>
    </border>
    <border>
      <left>
        <color indexed="63"/>
      </left>
      <right style="dotted">
        <color indexed="8"/>
      </right>
      <top>
        <color indexed="63"/>
      </top>
      <bottom style="double">
        <color indexed="53"/>
      </bottom>
    </border>
    <border>
      <left style="dashed">
        <color indexed="53"/>
      </left>
      <right>
        <color indexed="63"/>
      </right>
      <top>
        <color indexed="63"/>
      </top>
      <bottom style="double">
        <color indexed="53"/>
      </bottom>
    </border>
    <border>
      <left>
        <color indexed="63"/>
      </left>
      <right style="dashed">
        <color indexed="53"/>
      </right>
      <top>
        <color indexed="63"/>
      </top>
      <bottom style="double">
        <color indexed="53"/>
      </bottom>
    </border>
    <border>
      <left style="double">
        <color indexed="53"/>
      </left>
      <right style="double">
        <color indexed="53"/>
      </right>
      <top>
        <color indexed="63"/>
      </top>
      <bottom style="double">
        <color indexed="53"/>
      </bottom>
    </border>
    <border>
      <left>
        <color indexed="63"/>
      </left>
      <right style="double">
        <color indexed="53"/>
      </right>
      <top>
        <color indexed="63"/>
      </top>
      <bottom style="double">
        <color indexed="53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dashed">
        <color indexed="53"/>
      </right>
      <top style="double">
        <color indexed="53"/>
      </top>
      <bottom>
        <color indexed="63"/>
      </bottom>
    </border>
    <border>
      <left style="dashed">
        <color indexed="53"/>
      </left>
      <right style="dashed">
        <color indexed="53"/>
      </right>
      <top style="double">
        <color indexed="53"/>
      </top>
      <bottom>
        <color indexed="63"/>
      </bottom>
    </border>
    <border>
      <left style="dashed">
        <color indexed="53"/>
      </left>
      <right style="double">
        <color indexed="53"/>
      </right>
      <top style="double">
        <color indexed="5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rgb="FF999999"/>
      </left>
      <right>
        <color indexed="63"/>
      </right>
      <top style="thin">
        <color rgb="FF999999"/>
      </top>
      <bottom>
        <color indexed="63"/>
      </bottom>
    </border>
    <border>
      <left style="thin"/>
      <right>
        <color indexed="63"/>
      </right>
      <top style="thin">
        <color rgb="FF999999"/>
      </top>
      <bottom>
        <color indexed="63"/>
      </bottom>
    </border>
    <border>
      <left style="thin"/>
      <right style="thin">
        <color rgb="FF999999"/>
      </right>
      <top style="thin">
        <color rgb="FF999999"/>
      </top>
      <bottom>
        <color indexed="63"/>
      </bottom>
    </border>
    <border>
      <left style="thin">
        <color rgb="FF999999"/>
      </left>
      <right>
        <color indexed="63"/>
      </right>
      <top style="thin">
        <color indexed="9"/>
      </top>
      <bottom>
        <color indexed="63"/>
      </bottom>
    </border>
    <border>
      <left style="thin">
        <color rgb="FF999999"/>
      </left>
      <right>
        <color indexed="63"/>
      </right>
      <top>
        <color indexed="63"/>
      </top>
      <bottom>
        <color indexed="63"/>
      </bottom>
    </border>
    <border>
      <left style="thin">
        <color rgb="FF999999"/>
      </left>
      <right>
        <color indexed="63"/>
      </right>
      <top style="thin">
        <color rgb="FF999999"/>
      </top>
      <bottom style="thin">
        <color rgb="FF999999"/>
      </bottom>
    </border>
    <border>
      <left style="thin">
        <color indexed="9"/>
      </left>
      <right>
        <color indexed="63"/>
      </right>
      <top style="thin">
        <color rgb="FF999999"/>
      </top>
      <bottom style="thin">
        <color rgb="FF999999"/>
      </bottom>
    </border>
    <border>
      <left>
        <color indexed="63"/>
      </left>
      <right style="thin">
        <color rgb="FF999999"/>
      </right>
      <top style="thin">
        <color rgb="FF999999"/>
      </top>
      <bottom>
        <color indexed="63"/>
      </bottom>
    </border>
    <border>
      <left>
        <color indexed="63"/>
      </left>
      <right style="thin">
        <color rgb="FF999999"/>
      </right>
      <top style="thin">
        <color rgb="FF999999"/>
      </top>
      <bottom style="thin">
        <color rgb="FF999999"/>
      </bottom>
    </border>
    <border>
      <left>
        <color indexed="63"/>
      </left>
      <right>
        <color indexed="63"/>
      </right>
      <top style="thin">
        <color rgb="FF999999"/>
      </top>
      <bottom>
        <color indexed="63"/>
      </bottom>
    </border>
    <border>
      <left>
        <color indexed="63"/>
      </left>
      <right>
        <color indexed="63"/>
      </right>
      <top style="thin">
        <color rgb="FF999999"/>
      </top>
      <bottom style="thin">
        <color rgb="FF999999"/>
      </bottom>
    </border>
    <border>
      <left>
        <color indexed="63"/>
      </left>
      <right style="thin">
        <color rgb="FF999999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3" fillId="2" borderId="0" applyNumberFormat="0" applyBorder="0" applyAlignment="0" applyProtection="0"/>
    <xf numFmtId="0" fontId="83" fillId="3" borderId="0" applyNumberFormat="0" applyBorder="0" applyAlignment="0" applyProtection="0"/>
    <xf numFmtId="0" fontId="83" fillId="4" borderId="0" applyNumberFormat="0" applyBorder="0" applyAlignment="0" applyProtection="0"/>
    <xf numFmtId="0" fontId="83" fillId="5" borderId="0" applyNumberFormat="0" applyBorder="0" applyAlignment="0" applyProtection="0"/>
    <xf numFmtId="0" fontId="83" fillId="6" borderId="0" applyNumberFormat="0" applyBorder="0" applyAlignment="0" applyProtection="0"/>
    <xf numFmtId="0" fontId="83" fillId="7" borderId="0" applyNumberFormat="0" applyBorder="0" applyAlignment="0" applyProtection="0"/>
    <xf numFmtId="0" fontId="83" fillId="8" borderId="0" applyNumberFormat="0" applyBorder="0" applyAlignment="0" applyProtection="0"/>
    <xf numFmtId="0" fontId="83" fillId="9" borderId="0" applyNumberFormat="0" applyBorder="0" applyAlignment="0" applyProtection="0"/>
    <xf numFmtId="0" fontId="83" fillId="10" borderId="0" applyNumberFormat="0" applyBorder="0" applyAlignment="0" applyProtection="0"/>
    <xf numFmtId="0" fontId="83" fillId="11" borderId="0" applyNumberFormat="0" applyBorder="0" applyAlignment="0" applyProtection="0"/>
    <xf numFmtId="0" fontId="83" fillId="12" borderId="0" applyNumberFormat="0" applyBorder="0" applyAlignment="0" applyProtection="0"/>
    <xf numFmtId="0" fontId="83" fillId="13" borderId="0" applyNumberFormat="0" applyBorder="0" applyAlignment="0" applyProtection="0"/>
    <xf numFmtId="0" fontId="83" fillId="14" borderId="0" applyNumberFormat="0" applyBorder="0" applyAlignment="0" applyProtection="0"/>
    <xf numFmtId="0" fontId="83" fillId="15" borderId="0" applyNumberFormat="0" applyBorder="0" applyAlignment="0" applyProtection="0"/>
    <xf numFmtId="0" fontId="83" fillId="16" borderId="0" applyNumberFormat="0" applyBorder="0" applyAlignment="0" applyProtection="0"/>
    <xf numFmtId="0" fontId="83" fillId="17" borderId="0" applyNumberFormat="0" applyBorder="0" applyAlignment="0" applyProtection="0"/>
    <xf numFmtId="0" fontId="83" fillId="18" borderId="0" applyNumberFormat="0" applyBorder="0" applyAlignment="0" applyProtection="0"/>
    <xf numFmtId="0" fontId="83" fillId="19" borderId="0" applyNumberFormat="0" applyBorder="0" applyAlignment="0" applyProtection="0"/>
    <xf numFmtId="0" fontId="84" fillId="20" borderId="0" applyNumberFormat="0" applyBorder="0" applyAlignment="0" applyProtection="0"/>
    <xf numFmtId="0" fontId="84" fillId="21" borderId="0" applyNumberFormat="0" applyBorder="0" applyAlignment="0" applyProtection="0"/>
    <xf numFmtId="0" fontId="84" fillId="22" borderId="0" applyNumberFormat="0" applyBorder="0" applyAlignment="0" applyProtection="0"/>
    <xf numFmtId="0" fontId="84" fillId="23" borderId="0" applyNumberFormat="0" applyBorder="0" applyAlignment="0" applyProtection="0"/>
    <xf numFmtId="0" fontId="84" fillId="24" borderId="0" applyNumberFormat="0" applyBorder="0" applyAlignment="0" applyProtection="0"/>
    <xf numFmtId="0" fontId="84" fillId="25" borderId="0" applyNumberFormat="0" applyBorder="0" applyAlignment="0" applyProtection="0"/>
    <xf numFmtId="0" fontId="85" fillId="0" borderId="0" applyNumberFormat="0" applyFill="0" applyBorder="0" applyAlignment="0" applyProtection="0"/>
    <xf numFmtId="0" fontId="86" fillId="26" borderId="1" applyNumberFormat="0" applyAlignment="0" applyProtection="0"/>
    <xf numFmtId="0" fontId="87" fillId="0" borderId="2" applyNumberFormat="0" applyFill="0" applyAlignment="0" applyProtection="0"/>
    <xf numFmtId="0" fontId="88" fillId="27" borderId="1" applyNumberFormat="0" applyAlignment="0" applyProtection="0"/>
    <xf numFmtId="0" fontId="89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90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3" applyNumberFormat="0" applyFont="0" applyAlignment="0" applyProtection="0"/>
    <xf numFmtId="9" fontId="1" fillId="0" borderId="0" applyFill="0" applyBorder="0" applyAlignment="0" applyProtection="0"/>
    <xf numFmtId="0" fontId="91" fillId="31" borderId="0" applyNumberFormat="0" applyBorder="0" applyAlignment="0" applyProtection="0"/>
    <xf numFmtId="0" fontId="92" fillId="26" borderId="4" applyNumberFormat="0" applyAlignment="0" applyProtection="0"/>
    <xf numFmtId="0" fontId="93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5" fillId="0" borderId="5" applyNumberFormat="0" applyFill="0" applyAlignment="0" applyProtection="0"/>
    <xf numFmtId="0" fontId="96" fillId="0" borderId="6" applyNumberFormat="0" applyFill="0" applyAlignment="0" applyProtection="0"/>
    <xf numFmtId="0" fontId="97" fillId="0" borderId="7" applyNumberFormat="0" applyFill="0" applyAlignment="0" applyProtection="0"/>
    <xf numFmtId="0" fontId="97" fillId="0" borderId="0" applyNumberFormat="0" applyFill="0" applyBorder="0" applyAlignment="0" applyProtection="0"/>
    <xf numFmtId="0" fontId="98" fillId="0" borderId="8" applyNumberFormat="0" applyFill="0" applyAlignment="0" applyProtection="0"/>
    <xf numFmtId="0" fontId="99" fillId="32" borderId="9" applyNumberFormat="0" applyAlignment="0" applyProtection="0"/>
  </cellStyleXfs>
  <cellXfs count="450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right"/>
    </xf>
    <xf numFmtId="14" fontId="0" fillId="0" borderId="0" xfId="0" applyNumberFormat="1" applyAlignment="1">
      <alignment horizontal="left"/>
    </xf>
    <xf numFmtId="0" fontId="0" fillId="0" borderId="10" xfId="0" applyBorder="1" applyAlignment="1">
      <alignment/>
    </xf>
    <xf numFmtId="0" fontId="3" fillId="0" borderId="11" xfId="0" applyFont="1" applyBorder="1" applyAlignment="1">
      <alignment/>
    </xf>
    <xf numFmtId="14" fontId="0" fillId="0" borderId="11" xfId="0" applyNumberFormat="1" applyBorder="1" applyAlignment="1">
      <alignment horizontal="left"/>
    </xf>
    <xf numFmtId="0" fontId="0" fillId="0" borderId="11" xfId="0" applyBorder="1" applyAlignment="1">
      <alignment/>
    </xf>
    <xf numFmtId="14" fontId="4" fillId="0" borderId="11" xfId="50" applyNumberFormat="1" applyFont="1" applyFill="1" applyBorder="1" applyAlignment="1" applyProtection="1">
      <alignment horizontal="left" vertical="top"/>
      <protection locked="0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/>
    </xf>
    <xf numFmtId="0" fontId="7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2" fontId="0" fillId="0" borderId="18" xfId="0" applyNumberFormat="1" applyBorder="1" applyAlignment="1">
      <alignment/>
    </xf>
    <xf numFmtId="2" fontId="0" fillId="0" borderId="0" xfId="0" applyNumberFormat="1" applyFill="1" applyBorder="1" applyAlignment="1">
      <alignment/>
    </xf>
    <xf numFmtId="2" fontId="0" fillId="0" borderId="0" xfId="0" applyNumberFormat="1" applyFill="1" applyAlignment="1">
      <alignment/>
    </xf>
    <xf numFmtId="2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Alignment="1">
      <alignment/>
    </xf>
    <xf numFmtId="0" fontId="8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right"/>
    </xf>
    <xf numFmtId="2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7" fillId="0" borderId="0" xfId="0" applyFont="1" applyBorder="1" applyAlignment="1">
      <alignment horizontal="right"/>
    </xf>
    <xf numFmtId="0" fontId="10" fillId="0" borderId="20" xfId="0" applyFont="1" applyBorder="1" applyAlignment="1">
      <alignment horizontal="center"/>
    </xf>
    <xf numFmtId="0" fontId="11" fillId="0" borderId="21" xfId="0" applyFont="1" applyBorder="1" applyAlignment="1">
      <alignment horizontal="right"/>
    </xf>
    <xf numFmtId="0" fontId="11" fillId="0" borderId="21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0" fillId="0" borderId="0" xfId="0" applyAlignment="1">
      <alignment horizontal="center"/>
    </xf>
    <xf numFmtId="2" fontId="8" fillId="0" borderId="19" xfId="0" applyNumberFormat="1" applyFont="1" applyBorder="1" applyAlignment="1">
      <alignment/>
    </xf>
    <xf numFmtId="0" fontId="11" fillId="0" borderId="0" xfId="0" applyFont="1" applyBorder="1" applyAlignment="1">
      <alignment horizontal="center"/>
    </xf>
    <xf numFmtId="2" fontId="12" fillId="0" borderId="0" xfId="0" applyNumberFormat="1" applyFont="1" applyAlignment="1">
      <alignment/>
    </xf>
    <xf numFmtId="2" fontId="8" fillId="0" borderId="23" xfId="0" applyNumberFormat="1" applyFont="1" applyBorder="1" applyAlignment="1">
      <alignment/>
    </xf>
    <xf numFmtId="2" fontId="0" fillId="0" borderId="24" xfId="0" applyNumberFormat="1" applyBorder="1" applyAlignment="1">
      <alignment/>
    </xf>
    <xf numFmtId="0" fontId="11" fillId="0" borderId="24" xfId="0" applyFont="1" applyBorder="1" applyAlignment="1">
      <alignment horizontal="center"/>
    </xf>
    <xf numFmtId="2" fontId="0" fillId="0" borderId="25" xfId="0" applyNumberFormat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0" xfId="0" applyBorder="1" applyAlignment="1">
      <alignment horizontal="right"/>
    </xf>
    <xf numFmtId="14" fontId="0" fillId="0" borderId="0" xfId="0" applyNumberFormat="1" applyBorder="1" applyAlignment="1">
      <alignment horizontal="left"/>
    </xf>
    <xf numFmtId="0" fontId="0" fillId="0" borderId="28" xfId="0" applyBorder="1" applyAlignment="1">
      <alignment/>
    </xf>
    <xf numFmtId="0" fontId="0" fillId="0" borderId="21" xfId="0" applyBorder="1" applyAlignment="1">
      <alignment/>
    </xf>
    <xf numFmtId="0" fontId="0" fillId="0" borderId="29" xfId="0" applyBorder="1" applyAlignment="1">
      <alignment/>
    </xf>
    <xf numFmtId="165" fontId="7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165" fontId="0" fillId="0" borderId="0" xfId="0" applyNumberFormat="1" applyFont="1" applyBorder="1" applyAlignment="1">
      <alignment/>
    </xf>
    <xf numFmtId="0" fontId="14" fillId="0" borderId="0" xfId="0" applyFont="1" applyBorder="1" applyAlignment="1">
      <alignment horizontal="right"/>
    </xf>
    <xf numFmtId="0" fontId="15" fillId="0" borderId="0" xfId="0" applyFont="1" applyBorder="1" applyAlignment="1">
      <alignment horizontal="right"/>
    </xf>
    <xf numFmtId="165" fontId="0" fillId="0" borderId="0" xfId="0" applyNumberFormat="1" applyBorder="1" applyAlignment="1">
      <alignment/>
    </xf>
    <xf numFmtId="0" fontId="8" fillId="0" borderId="30" xfId="0" applyFont="1" applyBorder="1" applyAlignment="1">
      <alignment horizontal="center"/>
    </xf>
    <xf numFmtId="165" fontId="8" fillId="0" borderId="31" xfId="0" applyNumberFormat="1" applyFont="1" applyBorder="1" applyAlignment="1">
      <alignment/>
    </xf>
    <xf numFmtId="0" fontId="7" fillId="0" borderId="0" xfId="0" applyFont="1" applyBorder="1" applyAlignment="1">
      <alignment horizontal="left"/>
    </xf>
    <xf numFmtId="0" fontId="12" fillId="0" borderId="0" xfId="0" applyFont="1" applyAlignment="1">
      <alignment/>
    </xf>
    <xf numFmtId="0" fontId="16" fillId="0" borderId="0" xfId="0" applyFont="1" applyBorder="1" applyAlignment="1">
      <alignment horizontal="right"/>
    </xf>
    <xf numFmtId="166" fontId="0" fillId="0" borderId="0" xfId="0" applyNumberFormat="1" applyFont="1" applyBorder="1" applyAlignment="1">
      <alignment/>
    </xf>
    <xf numFmtId="166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165" fontId="0" fillId="0" borderId="0" xfId="0" applyNumberFormat="1" applyFont="1" applyBorder="1" applyAlignment="1">
      <alignment horizontal="right"/>
    </xf>
    <xf numFmtId="0" fontId="7" fillId="0" borderId="0" xfId="0" applyNumberFormat="1" applyFont="1" applyBorder="1" applyAlignment="1">
      <alignment/>
    </xf>
    <xf numFmtId="0" fontId="7" fillId="0" borderId="16" xfId="0" applyFont="1" applyBorder="1" applyAlignment="1">
      <alignment horizontal="right"/>
    </xf>
    <xf numFmtId="0" fontId="7" fillId="0" borderId="16" xfId="0" applyNumberFormat="1" applyFont="1" applyBorder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 horizontal="right"/>
    </xf>
    <xf numFmtId="0" fontId="19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165" fontId="7" fillId="0" borderId="16" xfId="0" applyNumberFormat="1" applyFont="1" applyBorder="1" applyAlignment="1">
      <alignment/>
    </xf>
    <xf numFmtId="0" fontId="21" fillId="0" borderId="0" xfId="0" applyFont="1" applyBorder="1" applyAlignment="1">
      <alignment/>
    </xf>
    <xf numFmtId="0" fontId="8" fillId="0" borderId="0" xfId="0" applyFont="1" applyAlignment="1">
      <alignment/>
    </xf>
    <xf numFmtId="0" fontId="22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0" xfId="50" applyAlignment="1" applyProtection="1">
      <alignment horizontal="left"/>
      <protection locked="0"/>
    </xf>
    <xf numFmtId="0" fontId="2" fillId="0" borderId="0" xfId="50" applyProtection="1">
      <alignment/>
      <protection locked="0"/>
    </xf>
    <xf numFmtId="4" fontId="2" fillId="0" borderId="0" xfId="50" applyNumberFormat="1" applyProtection="1">
      <alignment/>
      <protection locked="0"/>
    </xf>
    <xf numFmtId="0" fontId="2" fillId="33" borderId="20" xfId="50" applyFill="1" applyBorder="1" applyAlignment="1" applyProtection="1">
      <alignment horizontal="left"/>
      <protection/>
    </xf>
    <xf numFmtId="4" fontId="2" fillId="33" borderId="22" xfId="50" applyNumberFormat="1" applyFill="1" applyBorder="1" applyProtection="1">
      <alignment/>
      <protection/>
    </xf>
    <xf numFmtId="0" fontId="24" fillId="33" borderId="21" xfId="50" applyFont="1" applyFill="1" applyBorder="1" applyAlignment="1" applyProtection="1">
      <alignment horizontal="left"/>
      <protection locked="0"/>
    </xf>
    <xf numFmtId="0" fontId="2" fillId="0" borderId="0" xfId="50" applyBorder="1" applyProtection="1">
      <alignment/>
      <protection locked="0"/>
    </xf>
    <xf numFmtId="0" fontId="2" fillId="33" borderId="19" xfId="50" applyFill="1" applyBorder="1" applyAlignment="1" applyProtection="1">
      <alignment horizontal="left" vertical="top"/>
      <protection/>
    </xf>
    <xf numFmtId="0" fontId="24" fillId="33" borderId="0" xfId="50" applyFont="1" applyFill="1" applyBorder="1" applyAlignment="1" applyProtection="1">
      <alignment horizontal="left" vertical="top"/>
      <protection locked="0"/>
    </xf>
    <xf numFmtId="0" fontId="26" fillId="33" borderId="19" xfId="50" applyFont="1" applyFill="1" applyBorder="1" applyAlignment="1" applyProtection="1">
      <alignment horizontal="left"/>
      <protection/>
    </xf>
    <xf numFmtId="0" fontId="25" fillId="33" borderId="0" xfId="50" applyFont="1" applyFill="1" applyBorder="1" applyAlignment="1" applyProtection="1">
      <alignment horizontal="center"/>
      <protection/>
    </xf>
    <xf numFmtId="167" fontId="4" fillId="33" borderId="18" xfId="0" applyNumberFormat="1" applyFont="1" applyFill="1" applyBorder="1" applyAlignment="1" applyProtection="1">
      <alignment horizontal="right"/>
      <protection/>
    </xf>
    <xf numFmtId="0" fontId="24" fillId="33" borderId="0" xfId="50" applyFont="1" applyFill="1" applyBorder="1" applyAlignment="1" applyProtection="1">
      <alignment horizontal="left"/>
      <protection locked="0"/>
    </xf>
    <xf numFmtId="14" fontId="27" fillId="33" borderId="23" xfId="50" applyNumberFormat="1" applyFont="1" applyFill="1" applyBorder="1" applyAlignment="1" applyProtection="1">
      <alignment horizontal="right" vertical="top"/>
      <protection/>
    </xf>
    <xf numFmtId="14" fontId="27" fillId="33" borderId="0" xfId="50" applyNumberFormat="1" applyFont="1" applyFill="1" applyBorder="1" applyAlignment="1" applyProtection="1">
      <alignment horizontal="left" vertical="top"/>
      <protection/>
    </xf>
    <xf numFmtId="0" fontId="2" fillId="33" borderId="24" xfId="50" applyFill="1" applyBorder="1" applyAlignment="1" applyProtection="1">
      <alignment horizontal="center"/>
      <protection/>
    </xf>
    <xf numFmtId="49" fontId="24" fillId="33" borderId="24" xfId="50" applyNumberFormat="1" applyFont="1" applyFill="1" applyBorder="1" applyAlignment="1" applyProtection="1">
      <alignment horizontal="center"/>
      <protection/>
    </xf>
    <xf numFmtId="4" fontId="28" fillId="33" borderId="25" xfId="0" applyNumberFormat="1" applyFont="1" applyFill="1" applyBorder="1" applyAlignment="1" applyProtection="1">
      <alignment horizontal="center"/>
      <protection/>
    </xf>
    <xf numFmtId="0" fontId="29" fillId="33" borderId="32" xfId="50" applyFont="1" applyFill="1" applyBorder="1" applyAlignment="1" applyProtection="1">
      <alignment horizontal="left"/>
      <protection/>
    </xf>
    <xf numFmtId="0" fontId="29" fillId="33" borderId="32" xfId="50" applyFont="1" applyFill="1" applyBorder="1" applyAlignment="1" applyProtection="1">
      <alignment horizontal="center"/>
      <protection/>
    </xf>
    <xf numFmtId="4" fontId="29" fillId="33" borderId="32" xfId="50" applyNumberFormat="1" applyFont="1" applyFill="1" applyBorder="1" applyAlignment="1" applyProtection="1">
      <alignment horizontal="center"/>
      <protection/>
    </xf>
    <xf numFmtId="4" fontId="30" fillId="33" borderId="32" xfId="50" applyNumberFormat="1" applyFont="1" applyFill="1" applyBorder="1" applyAlignment="1" applyProtection="1">
      <alignment horizontal="center" vertical="center"/>
      <protection/>
    </xf>
    <xf numFmtId="0" fontId="24" fillId="0" borderId="24" xfId="50" applyFont="1" applyBorder="1" applyAlignment="1" applyProtection="1">
      <alignment horizontal="left"/>
      <protection locked="0"/>
    </xf>
    <xf numFmtId="0" fontId="2" fillId="0" borderId="19" xfId="50" applyBorder="1" applyProtection="1">
      <alignment/>
      <protection locked="0"/>
    </xf>
    <xf numFmtId="14" fontId="31" fillId="34" borderId="33" xfId="50" applyNumberFormat="1" applyFont="1" applyFill="1" applyBorder="1" applyAlignment="1" applyProtection="1">
      <alignment horizontal="left" vertical="center"/>
      <protection locked="0"/>
    </xf>
    <xf numFmtId="0" fontId="32" fillId="34" borderId="33" xfId="50" applyFont="1" applyFill="1" applyBorder="1" applyAlignment="1" applyProtection="1">
      <alignment vertical="center"/>
      <protection locked="0"/>
    </xf>
    <xf numFmtId="0" fontId="32" fillId="34" borderId="0" xfId="50" applyFont="1" applyFill="1" applyBorder="1" applyAlignment="1" applyProtection="1">
      <alignment vertical="center"/>
      <protection locked="0"/>
    </xf>
    <xf numFmtId="4" fontId="32" fillId="34" borderId="33" xfId="50" applyNumberFormat="1" applyFont="1" applyFill="1" applyBorder="1" applyAlignment="1" applyProtection="1">
      <alignment vertical="center"/>
      <protection locked="0"/>
    </xf>
    <xf numFmtId="4" fontId="32" fillId="33" borderId="33" xfId="50" applyNumberFormat="1" applyFont="1" applyFill="1" applyBorder="1" applyAlignment="1" applyProtection="1">
      <alignment vertical="center"/>
      <protection/>
    </xf>
    <xf numFmtId="0" fontId="3" fillId="0" borderId="0" xfId="50" applyNumberFormat="1" applyFont="1" applyBorder="1" applyAlignment="1" applyProtection="1">
      <alignment horizontal="left" vertical="center"/>
      <protection locked="0"/>
    </xf>
    <xf numFmtId="0" fontId="32" fillId="0" borderId="0" xfId="50" applyFont="1" applyFill="1" applyBorder="1" applyAlignment="1" applyProtection="1">
      <alignment vertical="center"/>
      <protection locked="0"/>
    </xf>
    <xf numFmtId="14" fontId="31" fillId="0" borderId="33" xfId="50" applyNumberFormat="1" applyFont="1" applyBorder="1" applyAlignment="1" applyProtection="1">
      <alignment horizontal="left" vertical="center"/>
      <protection locked="0"/>
    </xf>
    <xf numFmtId="164" fontId="33" fillId="0" borderId="33" xfId="50" applyNumberFormat="1" applyFont="1" applyFill="1" applyBorder="1" applyAlignment="1" applyProtection="1">
      <alignment vertical="center"/>
      <protection locked="0"/>
    </xf>
    <xf numFmtId="0" fontId="32" fillId="35" borderId="0" xfId="50" applyFont="1" applyFill="1" applyBorder="1" applyAlignment="1" applyProtection="1">
      <alignment vertical="center"/>
      <protection locked="0"/>
    </xf>
    <xf numFmtId="2" fontId="32" fillId="0" borderId="33" xfId="50" applyNumberFormat="1" applyFont="1" applyFill="1" applyBorder="1" applyAlignment="1" applyProtection="1">
      <alignment vertical="center"/>
      <protection locked="0"/>
    </xf>
    <xf numFmtId="0" fontId="3" fillId="0" borderId="0" xfId="50" applyNumberFormat="1" applyFont="1" applyFill="1" applyBorder="1" applyAlignment="1" applyProtection="1">
      <alignment horizontal="left" vertical="center"/>
      <protection/>
    </xf>
    <xf numFmtId="0" fontId="32" fillId="33" borderId="0" xfId="50" applyNumberFormat="1" applyFont="1" applyFill="1" applyBorder="1" applyAlignment="1" applyProtection="1">
      <alignment horizontal="left" vertical="center"/>
      <protection/>
    </xf>
    <xf numFmtId="2" fontId="2" fillId="0" borderId="0" xfId="50" applyNumberFormat="1" applyProtection="1">
      <alignment/>
      <protection locked="0"/>
    </xf>
    <xf numFmtId="164" fontId="32" fillId="0" borderId="33" xfId="50" applyNumberFormat="1" applyFont="1" applyFill="1" applyBorder="1" applyAlignment="1" applyProtection="1">
      <alignment vertical="center"/>
      <protection locked="0"/>
    </xf>
    <xf numFmtId="2" fontId="3" fillId="0" borderId="33" xfId="50" applyNumberFormat="1" applyFont="1" applyFill="1" applyBorder="1" applyAlignment="1" applyProtection="1">
      <alignment vertical="center"/>
      <protection locked="0"/>
    </xf>
    <xf numFmtId="0" fontId="3" fillId="0" borderId="34" xfId="50" applyNumberFormat="1" applyFont="1" applyFill="1" applyBorder="1" applyAlignment="1" applyProtection="1">
      <alignment horizontal="left" vertical="center"/>
      <protection/>
    </xf>
    <xf numFmtId="0" fontId="34" fillId="0" borderId="33" xfId="50" applyFont="1" applyFill="1" applyBorder="1" applyAlignment="1" applyProtection="1">
      <alignment vertical="center"/>
      <protection locked="0"/>
    </xf>
    <xf numFmtId="2" fontId="3" fillId="35" borderId="33" xfId="50" applyNumberFormat="1" applyFont="1" applyFill="1" applyBorder="1" applyAlignment="1" applyProtection="1">
      <alignment vertical="center"/>
      <protection locked="0"/>
    </xf>
    <xf numFmtId="0" fontId="3" fillId="0" borderId="0" xfId="50" applyNumberFormat="1" applyFont="1" applyFill="1" applyBorder="1" applyAlignment="1" applyProtection="1">
      <alignment horizontal="left" vertical="center"/>
      <protection locked="0"/>
    </xf>
    <xf numFmtId="164" fontId="35" fillId="0" borderId="33" xfId="50" applyNumberFormat="1" applyFont="1" applyFill="1" applyBorder="1" applyAlignment="1" applyProtection="1">
      <alignment vertical="center"/>
      <protection locked="0"/>
    </xf>
    <xf numFmtId="2" fontId="32" fillId="35" borderId="33" xfId="50" applyNumberFormat="1" applyFont="1" applyFill="1" applyBorder="1" applyAlignment="1" applyProtection="1">
      <alignment vertical="center"/>
      <protection locked="0"/>
    </xf>
    <xf numFmtId="0" fontId="2" fillId="0" borderId="0" xfId="50" applyFont="1" applyProtection="1">
      <alignment/>
      <protection locked="0"/>
    </xf>
    <xf numFmtId="14" fontId="31" fillId="35" borderId="33" xfId="50" applyNumberFormat="1" applyFont="1" applyFill="1" applyBorder="1" applyAlignment="1" applyProtection="1">
      <alignment horizontal="left" vertical="center"/>
      <protection locked="0"/>
    </xf>
    <xf numFmtId="164" fontId="33" fillId="35" borderId="33" xfId="50" applyNumberFormat="1" applyFont="1" applyFill="1" applyBorder="1" applyAlignment="1" applyProtection="1">
      <alignment vertical="center"/>
      <protection locked="0"/>
    </xf>
    <xf numFmtId="2" fontId="2" fillId="0" borderId="0" xfId="50" applyNumberFormat="1" applyFont="1" applyProtection="1">
      <alignment/>
      <protection locked="0"/>
    </xf>
    <xf numFmtId="0" fontId="33" fillId="35" borderId="33" xfId="50" applyFont="1" applyFill="1" applyBorder="1" applyAlignment="1" applyProtection="1">
      <alignment vertical="center"/>
      <protection locked="0"/>
    </xf>
    <xf numFmtId="14" fontId="32" fillId="0" borderId="33" xfId="50" applyNumberFormat="1" applyFont="1" applyBorder="1" applyAlignment="1" applyProtection="1">
      <alignment horizontal="left" vertical="center"/>
      <protection locked="0"/>
    </xf>
    <xf numFmtId="164" fontId="3" fillId="0" borderId="33" xfId="50" applyNumberFormat="1" applyFont="1" applyFill="1" applyBorder="1" applyAlignment="1" applyProtection="1">
      <alignment vertical="center"/>
      <protection locked="0"/>
    </xf>
    <xf numFmtId="0" fontId="32" fillId="0" borderId="19" xfId="50" applyFont="1" applyFill="1" applyBorder="1" applyAlignment="1" applyProtection="1">
      <alignment vertical="center"/>
      <protection locked="0"/>
    </xf>
    <xf numFmtId="0" fontId="32" fillId="0" borderId="33" xfId="50" applyFont="1" applyFill="1" applyBorder="1" applyAlignment="1" applyProtection="1">
      <alignment vertical="center"/>
      <protection locked="0"/>
    </xf>
    <xf numFmtId="14" fontId="3" fillId="0" borderId="33" xfId="50" applyNumberFormat="1" applyFont="1" applyFill="1" applyBorder="1" applyAlignment="1" applyProtection="1">
      <alignment horizontal="left" vertical="center"/>
      <protection locked="0"/>
    </xf>
    <xf numFmtId="0" fontId="36" fillId="0" borderId="33" xfId="50" applyFont="1" applyFill="1" applyBorder="1" applyAlignment="1" applyProtection="1">
      <alignment horizontal="center" vertical="center"/>
      <protection locked="0"/>
    </xf>
    <xf numFmtId="49" fontId="24" fillId="0" borderId="0" xfId="50" applyNumberFormat="1" applyFont="1" applyAlignment="1" applyProtection="1">
      <alignment horizontal="center"/>
      <protection locked="0"/>
    </xf>
    <xf numFmtId="4" fontId="37" fillId="0" borderId="0" xfId="50" applyNumberFormat="1" applyFont="1" applyAlignment="1" applyProtection="1">
      <alignment horizontal="right"/>
      <protection locked="0"/>
    </xf>
    <xf numFmtId="0" fontId="23" fillId="33" borderId="20" xfId="0" applyFont="1" applyFill="1" applyBorder="1" applyAlignment="1" applyProtection="1">
      <alignment horizontal="left" vertical="center"/>
      <protection/>
    </xf>
    <xf numFmtId="0" fontId="24" fillId="33" borderId="21" xfId="50" applyFont="1" applyFill="1" applyBorder="1" applyAlignment="1" applyProtection="1">
      <alignment horizontal="left" vertical="center"/>
      <protection/>
    </xf>
    <xf numFmtId="0" fontId="37" fillId="33" borderId="22" xfId="50" applyFont="1" applyFill="1" applyBorder="1" applyAlignment="1" applyProtection="1">
      <alignment horizontal="right" vertical="center"/>
      <protection/>
    </xf>
    <xf numFmtId="0" fontId="2" fillId="0" borderId="0" xfId="50" applyBorder="1" applyAlignment="1" applyProtection="1">
      <alignment vertical="center"/>
      <protection locked="0"/>
    </xf>
    <xf numFmtId="0" fontId="2" fillId="0" borderId="0" xfId="50" applyAlignment="1" applyProtection="1">
      <alignment vertical="center"/>
      <protection locked="0"/>
    </xf>
    <xf numFmtId="0" fontId="24" fillId="33" borderId="0" xfId="50" applyFont="1" applyFill="1" applyBorder="1" applyAlignment="1" applyProtection="1">
      <alignment horizontal="left" vertical="top"/>
      <protection/>
    </xf>
    <xf numFmtId="4" fontId="4" fillId="33" borderId="18" xfId="0" applyNumberFormat="1" applyFont="1" applyFill="1" applyBorder="1" applyAlignment="1" applyProtection="1">
      <alignment horizontal="center"/>
      <protection/>
    </xf>
    <xf numFmtId="14" fontId="28" fillId="33" borderId="0" xfId="50" applyNumberFormat="1" applyFont="1" applyFill="1" applyBorder="1" applyAlignment="1" applyProtection="1">
      <alignment horizontal="left"/>
      <protection/>
    </xf>
    <xf numFmtId="0" fontId="2" fillId="33" borderId="0" xfId="50" applyFill="1" applyBorder="1" applyProtection="1">
      <alignment/>
      <protection/>
    </xf>
    <xf numFmtId="4" fontId="40" fillId="33" borderId="0" xfId="50" applyNumberFormat="1" applyFont="1" applyFill="1" applyBorder="1" applyAlignment="1" applyProtection="1">
      <alignment horizontal="left" vertical="top"/>
      <protection/>
    </xf>
    <xf numFmtId="0" fontId="24" fillId="33" borderId="0" xfId="50" applyFont="1" applyFill="1" applyBorder="1" applyAlignment="1" applyProtection="1">
      <alignment horizontal="left"/>
      <protection/>
    </xf>
    <xf numFmtId="0" fontId="41" fillId="33" borderId="18" xfId="50" applyFont="1" applyFill="1" applyBorder="1" applyAlignment="1" applyProtection="1">
      <alignment horizontal="right"/>
      <protection/>
    </xf>
    <xf numFmtId="0" fontId="37" fillId="33" borderId="18" xfId="50" applyFont="1" applyFill="1" applyBorder="1" applyAlignment="1" applyProtection="1">
      <alignment horizontal="center"/>
      <protection/>
    </xf>
    <xf numFmtId="0" fontId="42" fillId="0" borderId="0" xfId="50" applyFont="1" applyBorder="1" applyProtection="1">
      <alignment/>
      <protection locked="0"/>
    </xf>
    <xf numFmtId="0" fontId="30" fillId="33" borderId="32" xfId="50" applyFont="1" applyFill="1" applyBorder="1" applyAlignment="1" applyProtection="1">
      <alignment horizontal="left" vertical="center"/>
      <protection/>
    </xf>
    <xf numFmtId="0" fontId="30" fillId="33" borderId="32" xfId="50" applyFont="1" applyFill="1" applyBorder="1" applyAlignment="1" applyProtection="1">
      <alignment horizontal="center" vertical="center"/>
      <protection/>
    </xf>
    <xf numFmtId="49" fontId="43" fillId="33" borderId="32" xfId="50" applyNumberFormat="1" applyFont="1" applyFill="1" applyBorder="1" applyAlignment="1" applyProtection="1">
      <alignment horizontal="center" vertical="center"/>
      <protection/>
    </xf>
    <xf numFmtId="0" fontId="44" fillId="0" borderId="24" xfId="50" applyFont="1" applyBorder="1" applyAlignment="1" applyProtection="1">
      <alignment horizontal="center" vertical="center" wrapText="1"/>
      <protection/>
    </xf>
    <xf numFmtId="0" fontId="37" fillId="33" borderId="35" xfId="50" applyFont="1" applyFill="1" applyBorder="1" applyAlignment="1" applyProtection="1">
      <alignment horizontal="center" vertical="center"/>
      <protection/>
    </xf>
    <xf numFmtId="0" fontId="42" fillId="0" borderId="19" xfId="50" applyFont="1" applyBorder="1" applyProtection="1">
      <alignment/>
      <protection locked="0"/>
    </xf>
    <xf numFmtId="14" fontId="3" fillId="34" borderId="33" xfId="50" applyNumberFormat="1" applyFont="1" applyFill="1" applyBorder="1" applyAlignment="1" applyProtection="1">
      <alignment horizontal="left" vertical="center"/>
      <protection locked="0"/>
    </xf>
    <xf numFmtId="164" fontId="3" fillId="34" borderId="33" xfId="50" applyNumberFormat="1" applyFont="1" applyFill="1" applyBorder="1" applyAlignment="1" applyProtection="1">
      <alignment vertical="center"/>
      <protection locked="0"/>
    </xf>
    <xf numFmtId="0" fontId="3" fillId="34" borderId="0" xfId="50" applyFont="1" applyFill="1" applyBorder="1" applyAlignment="1" applyProtection="1">
      <alignment vertical="center"/>
      <protection locked="0"/>
    </xf>
    <xf numFmtId="49" fontId="14" fillId="34" borderId="33" xfId="50" applyNumberFormat="1" applyFont="1" applyFill="1" applyBorder="1" applyAlignment="1" applyProtection="1">
      <alignment horizontal="center" vertical="center"/>
      <protection locked="0"/>
    </xf>
    <xf numFmtId="2" fontId="3" fillId="34" borderId="33" xfId="50" applyNumberFormat="1" applyFont="1" applyFill="1" applyBorder="1" applyAlignment="1" applyProtection="1">
      <alignment vertical="center"/>
      <protection locked="0"/>
    </xf>
    <xf numFmtId="4" fontId="3" fillId="33" borderId="33" xfId="50" applyNumberFormat="1" applyFont="1" applyFill="1" applyBorder="1" applyAlignment="1" applyProtection="1">
      <alignment vertical="center"/>
      <protection/>
    </xf>
    <xf numFmtId="0" fontId="3" fillId="33" borderId="33" xfId="50" applyNumberFormat="1" applyFont="1" applyFill="1" applyBorder="1" applyAlignment="1" applyProtection="1">
      <alignment horizontal="left" vertical="center"/>
      <protection/>
    </xf>
    <xf numFmtId="2" fontId="3" fillId="33" borderId="36" xfId="50" applyNumberFormat="1" applyFont="1" applyFill="1" applyBorder="1" applyAlignment="1" applyProtection="1">
      <alignment horizontal="right" vertical="center"/>
      <protection/>
    </xf>
    <xf numFmtId="2" fontId="24" fillId="0" borderId="0" xfId="50" applyNumberFormat="1" applyFont="1" applyBorder="1" applyAlignment="1" applyProtection="1">
      <alignment/>
      <protection locked="0"/>
    </xf>
    <xf numFmtId="0" fontId="3" fillId="0" borderId="33" xfId="50" applyFont="1" applyFill="1" applyBorder="1" applyAlignment="1" applyProtection="1">
      <alignment vertical="center"/>
      <protection locked="0"/>
    </xf>
    <xf numFmtId="49" fontId="14" fillId="0" borderId="33" xfId="50" applyNumberFormat="1" applyFont="1" applyFill="1" applyBorder="1" applyAlignment="1" applyProtection="1">
      <alignment horizontal="center" vertical="center"/>
      <protection locked="0"/>
    </xf>
    <xf numFmtId="2" fontId="3" fillId="33" borderId="33" xfId="50" applyNumberFormat="1" applyFont="1" applyFill="1" applyBorder="1" applyAlignment="1" applyProtection="1">
      <alignment horizontal="right" vertical="center"/>
      <protection/>
    </xf>
    <xf numFmtId="0" fontId="3" fillId="0" borderId="0" xfId="50" applyFont="1" applyFill="1" applyBorder="1" applyAlignment="1" applyProtection="1">
      <alignment vertical="center"/>
      <protection locked="0"/>
    </xf>
    <xf numFmtId="0" fontId="3" fillId="35" borderId="0" xfId="50" applyFont="1" applyFill="1" applyBorder="1" applyAlignment="1" applyProtection="1">
      <alignment vertical="center"/>
      <protection locked="0"/>
    </xf>
    <xf numFmtId="0" fontId="3" fillId="35" borderId="33" xfId="50" applyFont="1" applyFill="1" applyBorder="1" applyAlignment="1" applyProtection="1">
      <alignment vertical="center"/>
      <protection locked="0"/>
    </xf>
    <xf numFmtId="49" fontId="14" fillId="35" borderId="33" xfId="50" applyNumberFormat="1" applyFont="1" applyFill="1" applyBorder="1" applyAlignment="1" applyProtection="1">
      <alignment horizontal="center" vertical="center"/>
      <protection locked="0"/>
    </xf>
    <xf numFmtId="164" fontId="45" fillId="0" borderId="0" xfId="50" applyNumberFormat="1" applyFont="1" applyFill="1" applyBorder="1" applyAlignment="1" applyProtection="1">
      <alignment horizontal="center" vertical="center"/>
      <protection locked="0"/>
    </xf>
    <xf numFmtId="0" fontId="2" fillId="0" borderId="0" xfId="50" applyFont="1" applyProtection="1">
      <alignment/>
      <protection locked="0"/>
    </xf>
    <xf numFmtId="0" fontId="2" fillId="35" borderId="0" xfId="50" applyFill="1" applyProtection="1">
      <alignment/>
      <protection locked="0"/>
    </xf>
    <xf numFmtId="168" fontId="26" fillId="0" borderId="0" xfId="50" applyNumberFormat="1" applyFont="1" applyProtection="1">
      <alignment/>
      <protection locked="0"/>
    </xf>
    <xf numFmtId="0" fontId="3" fillId="0" borderId="37" xfId="50" applyFont="1" applyFill="1" applyBorder="1" applyAlignment="1" applyProtection="1">
      <alignment vertical="center"/>
      <protection locked="0"/>
    </xf>
    <xf numFmtId="169" fontId="14" fillId="0" borderId="0" xfId="0" applyNumberFormat="1" applyFont="1" applyAlignment="1">
      <alignment/>
    </xf>
    <xf numFmtId="169" fontId="0" fillId="0" borderId="0" xfId="0" applyNumberFormat="1" applyAlignment="1">
      <alignment/>
    </xf>
    <xf numFmtId="2" fontId="3" fillId="0" borderId="38" xfId="50" applyNumberFormat="1" applyFont="1" applyFill="1" applyBorder="1" applyAlignment="1" applyProtection="1">
      <alignment vertical="center"/>
      <protection locked="0"/>
    </xf>
    <xf numFmtId="0" fontId="3" fillId="0" borderId="38" xfId="50" applyFont="1" applyFill="1" applyBorder="1" applyAlignment="1" applyProtection="1">
      <alignment vertical="center"/>
      <protection locked="0"/>
    </xf>
    <xf numFmtId="49" fontId="14" fillId="0" borderId="38" xfId="50" applyNumberFormat="1" applyFont="1" applyFill="1" applyBorder="1" applyAlignment="1" applyProtection="1">
      <alignment horizontal="center" vertical="center"/>
      <protection locked="0"/>
    </xf>
    <xf numFmtId="14" fontId="3" fillId="35" borderId="33" xfId="50" applyNumberFormat="1" applyFont="1" applyFill="1" applyBorder="1" applyAlignment="1" applyProtection="1">
      <alignment horizontal="left" vertical="center"/>
      <protection locked="0"/>
    </xf>
    <xf numFmtId="0" fontId="3" fillId="35" borderId="38" xfId="50" applyFont="1" applyFill="1" applyBorder="1" applyAlignment="1" applyProtection="1">
      <alignment vertical="center"/>
      <protection locked="0"/>
    </xf>
    <xf numFmtId="49" fontId="14" fillId="35" borderId="38" xfId="50" applyNumberFormat="1" applyFont="1" applyFill="1" applyBorder="1" applyAlignment="1" applyProtection="1">
      <alignment horizontal="center" vertical="center"/>
      <protection locked="0"/>
    </xf>
    <xf numFmtId="2" fontId="3" fillId="35" borderId="38" xfId="50" applyNumberFormat="1" applyFont="1" applyFill="1" applyBorder="1" applyAlignment="1" applyProtection="1">
      <alignment vertical="center"/>
      <protection locked="0"/>
    </xf>
    <xf numFmtId="0" fontId="32" fillId="0" borderId="38" xfId="50" applyFont="1" applyFill="1" applyBorder="1" applyAlignment="1" applyProtection="1">
      <alignment vertical="center"/>
      <protection locked="0"/>
    </xf>
    <xf numFmtId="0" fontId="3" fillId="0" borderId="19" xfId="50" applyFont="1" applyFill="1" applyBorder="1" applyAlignment="1" applyProtection="1">
      <alignment vertical="center"/>
      <protection locked="0"/>
    </xf>
    <xf numFmtId="0" fontId="24" fillId="0" borderId="0" xfId="50" applyFont="1" applyProtection="1">
      <alignment/>
      <protection locked="0"/>
    </xf>
    <xf numFmtId="0" fontId="4" fillId="0" borderId="0" xfId="50" applyFont="1" applyProtection="1">
      <alignment/>
      <protection locked="0"/>
    </xf>
    <xf numFmtId="0" fontId="46" fillId="0" borderId="0" xfId="50" applyFont="1" applyProtection="1">
      <alignment/>
      <protection locked="0"/>
    </xf>
    <xf numFmtId="0" fontId="47" fillId="0" borderId="0" xfId="50" applyFont="1" applyProtection="1">
      <alignment/>
      <protection locked="0"/>
    </xf>
    <xf numFmtId="0" fontId="48" fillId="0" borderId="33" xfId="50" applyFont="1" applyFill="1" applyBorder="1" applyAlignment="1" applyProtection="1">
      <alignment vertical="center"/>
      <protection locked="0"/>
    </xf>
    <xf numFmtId="2" fontId="48" fillId="0" borderId="33" xfId="50" applyNumberFormat="1" applyFont="1" applyFill="1" applyBorder="1" applyAlignment="1" applyProtection="1">
      <alignment vertical="center"/>
      <protection locked="0"/>
    </xf>
    <xf numFmtId="2" fontId="3" fillId="0" borderId="33" xfId="50" applyNumberFormat="1" applyFont="1" applyBorder="1" applyAlignment="1" applyProtection="1">
      <alignment horizontal="center" vertical="center"/>
      <protection locked="0"/>
    </xf>
    <xf numFmtId="0" fontId="2" fillId="33" borderId="20" xfId="50" applyFill="1" applyBorder="1" applyProtection="1">
      <alignment/>
      <protection/>
    </xf>
    <xf numFmtId="0" fontId="2" fillId="33" borderId="19" xfId="50" applyFill="1" applyBorder="1" applyAlignment="1" applyProtection="1">
      <alignment vertical="top"/>
      <protection/>
    </xf>
    <xf numFmtId="0" fontId="26" fillId="33" borderId="19" xfId="50" applyFont="1" applyFill="1" applyBorder="1" applyAlignment="1" applyProtection="1">
      <alignment horizontal="center"/>
      <protection/>
    </xf>
    <xf numFmtId="0" fontId="50" fillId="33" borderId="32" xfId="50" applyFont="1" applyFill="1" applyBorder="1" applyAlignment="1" applyProtection="1">
      <alignment horizontal="center"/>
      <protection/>
    </xf>
    <xf numFmtId="4" fontId="50" fillId="33" borderId="32" xfId="50" applyNumberFormat="1" applyFont="1" applyFill="1" applyBorder="1" applyAlignment="1" applyProtection="1">
      <alignment horizontal="center"/>
      <protection/>
    </xf>
    <xf numFmtId="14" fontId="51" fillId="34" borderId="33" xfId="50" applyNumberFormat="1" applyFont="1" applyFill="1" applyBorder="1" applyAlignment="1" applyProtection="1">
      <alignment vertical="center"/>
      <protection locked="0"/>
    </xf>
    <xf numFmtId="0" fontId="51" fillId="34" borderId="33" xfId="50" applyFont="1" applyFill="1" applyBorder="1" applyAlignment="1" applyProtection="1">
      <alignment vertical="center"/>
      <protection locked="0"/>
    </xf>
    <xf numFmtId="4" fontId="51" fillId="34" borderId="33" xfId="50" applyNumberFormat="1" applyFont="1" applyFill="1" applyBorder="1" applyAlignment="1" applyProtection="1">
      <alignment vertical="center"/>
      <protection locked="0"/>
    </xf>
    <xf numFmtId="4" fontId="51" fillId="33" borderId="33" xfId="50" applyNumberFormat="1" applyFont="1" applyFill="1" applyBorder="1" applyAlignment="1" applyProtection="1">
      <alignment vertical="center"/>
      <protection/>
    </xf>
    <xf numFmtId="14" fontId="51" fillId="0" borderId="33" xfId="50" applyNumberFormat="1" applyFont="1" applyBorder="1" applyAlignment="1" applyProtection="1">
      <alignment vertical="center"/>
      <protection locked="0"/>
    </xf>
    <xf numFmtId="164" fontId="51" fillId="0" borderId="33" xfId="50" applyNumberFormat="1" applyFont="1" applyFill="1" applyBorder="1" applyAlignment="1" applyProtection="1">
      <alignment vertical="center"/>
      <protection locked="0"/>
    </xf>
    <xf numFmtId="0" fontId="51" fillId="0" borderId="19" xfId="50" applyFont="1" applyFill="1" applyBorder="1" applyAlignment="1" applyProtection="1">
      <alignment vertical="center"/>
      <protection locked="0"/>
    </xf>
    <xf numFmtId="2" fontId="51" fillId="0" borderId="33" xfId="50" applyNumberFormat="1" applyFont="1" applyFill="1" applyBorder="1" applyAlignment="1" applyProtection="1">
      <alignment vertical="center"/>
      <protection locked="0"/>
    </xf>
    <xf numFmtId="4" fontId="51" fillId="0" borderId="33" xfId="50" applyNumberFormat="1" applyFont="1" applyFill="1" applyBorder="1" applyAlignment="1" applyProtection="1">
      <alignment vertical="center"/>
      <protection locked="0"/>
    </xf>
    <xf numFmtId="0" fontId="51" fillId="0" borderId="0" xfId="50" applyFont="1" applyFill="1" applyBorder="1" applyAlignment="1" applyProtection="1">
      <alignment vertical="center"/>
      <protection locked="0"/>
    </xf>
    <xf numFmtId="0" fontId="3" fillId="0" borderId="34" xfId="50" applyNumberFormat="1" applyFont="1" applyFill="1" applyBorder="1" applyAlignment="1" applyProtection="1">
      <alignment horizontal="left" vertical="center"/>
      <protection locked="0"/>
    </xf>
    <xf numFmtId="164" fontId="52" fillId="0" borderId="33" xfId="50" applyNumberFormat="1" applyFont="1" applyFill="1" applyBorder="1" applyAlignment="1" applyProtection="1">
      <alignment vertical="center"/>
      <protection locked="0"/>
    </xf>
    <xf numFmtId="0" fontId="51" fillId="0" borderId="33" xfId="50" applyFont="1" applyFill="1" applyBorder="1" applyAlignment="1" applyProtection="1">
      <alignment vertical="center"/>
      <protection locked="0"/>
    </xf>
    <xf numFmtId="14" fontId="51" fillId="0" borderId="33" xfId="50" applyNumberFormat="1" applyFont="1" applyFill="1" applyBorder="1" applyAlignment="1" applyProtection="1">
      <alignment vertical="center"/>
      <protection locked="0"/>
    </xf>
    <xf numFmtId="2" fontId="53" fillId="0" borderId="33" xfId="50" applyNumberFormat="1" applyFont="1" applyFill="1" applyBorder="1" applyAlignment="1" applyProtection="1">
      <alignment vertical="center"/>
      <protection locked="0"/>
    </xf>
    <xf numFmtId="0" fontId="54" fillId="0" borderId="33" xfId="5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55" fillId="0" borderId="0" xfId="0" applyFont="1" applyAlignment="1" applyProtection="1">
      <alignment horizontal="center"/>
      <protection/>
    </xf>
    <xf numFmtId="0" fontId="57" fillId="36" borderId="0" xfId="0" applyFont="1" applyFill="1" applyAlignment="1" applyProtection="1">
      <alignment horizontal="center"/>
      <protection/>
    </xf>
    <xf numFmtId="0" fontId="58" fillId="36" borderId="0" xfId="50" applyFont="1" applyFill="1" applyBorder="1" applyAlignment="1" applyProtection="1">
      <alignment/>
      <protection/>
    </xf>
    <xf numFmtId="0" fontId="58" fillId="36" borderId="0" xfId="50" applyFont="1" applyFill="1" applyBorder="1" applyAlignment="1" applyProtection="1">
      <alignment horizontal="center" wrapText="1" shrinkToFit="1"/>
      <protection/>
    </xf>
    <xf numFmtId="0" fontId="0" fillId="36" borderId="0" xfId="0" applyFill="1" applyAlignment="1" applyProtection="1">
      <alignment/>
      <protection/>
    </xf>
    <xf numFmtId="0" fontId="59" fillId="33" borderId="0" xfId="0" applyFont="1" applyFill="1" applyBorder="1" applyAlignment="1" applyProtection="1">
      <alignment horizontal="center"/>
      <protection/>
    </xf>
    <xf numFmtId="0" fontId="60" fillId="0" borderId="0" xfId="50" applyFont="1" applyFill="1" applyBorder="1" applyAlignment="1" applyProtection="1">
      <alignment vertical="center"/>
      <protection locked="0"/>
    </xf>
    <xf numFmtId="0" fontId="38" fillId="34" borderId="20" xfId="50" applyFont="1" applyFill="1" applyBorder="1" applyAlignment="1" applyProtection="1">
      <alignment horizontal="center"/>
      <protection/>
    </xf>
    <xf numFmtId="0" fontId="2" fillId="34" borderId="21" xfId="50" applyFill="1" applyBorder="1" applyProtection="1">
      <alignment/>
      <protection/>
    </xf>
    <xf numFmtId="2" fontId="24" fillId="34" borderId="22" xfId="50" applyNumberFormat="1" applyFont="1" applyFill="1" applyBorder="1" applyAlignment="1" applyProtection="1">
      <alignment/>
      <protection/>
    </xf>
    <xf numFmtId="0" fontId="24" fillId="37" borderId="0" xfId="50" applyFont="1" applyFill="1" applyBorder="1" applyAlignment="1" applyProtection="1">
      <alignment horizontal="left"/>
      <protection/>
    </xf>
    <xf numFmtId="2" fontId="0" fillId="34" borderId="18" xfId="0" applyNumberFormat="1" applyFill="1" applyBorder="1" applyAlignment="1" applyProtection="1">
      <alignment/>
      <protection/>
    </xf>
    <xf numFmtId="0" fontId="2" fillId="37" borderId="19" xfId="50" applyFont="1" applyFill="1" applyBorder="1" applyAlignment="1" applyProtection="1">
      <alignment horizontal="center"/>
      <protection/>
    </xf>
    <xf numFmtId="0" fontId="2" fillId="37" borderId="0" xfId="50" applyFont="1" applyFill="1" applyBorder="1" applyAlignment="1" applyProtection="1">
      <alignment horizontal="center"/>
      <protection/>
    </xf>
    <xf numFmtId="2" fontId="24" fillId="34" borderId="18" xfId="50" applyNumberFormat="1" applyFont="1" applyFill="1" applyBorder="1" applyAlignment="1" applyProtection="1">
      <alignment/>
      <protection/>
    </xf>
    <xf numFmtId="0" fontId="2" fillId="37" borderId="23" xfId="50" applyNumberFormat="1" applyFont="1" applyFill="1" applyBorder="1" applyProtection="1">
      <alignment/>
      <protection/>
    </xf>
    <xf numFmtId="0" fontId="2" fillId="37" borderId="24" xfId="50" applyFill="1" applyBorder="1" applyProtection="1">
      <alignment/>
      <protection/>
    </xf>
    <xf numFmtId="2" fontId="24" fillId="34" borderId="25" xfId="50" applyNumberFormat="1" applyFont="1" applyFill="1" applyBorder="1" applyAlignment="1" applyProtection="1">
      <alignment/>
      <protection/>
    </xf>
    <xf numFmtId="0" fontId="24" fillId="37" borderId="24" xfId="50" applyFont="1" applyFill="1" applyBorder="1" applyAlignment="1" applyProtection="1">
      <alignment horizontal="left"/>
      <protection/>
    </xf>
    <xf numFmtId="2" fontId="0" fillId="34" borderId="25" xfId="0" applyNumberFormat="1" applyFill="1" applyBorder="1" applyAlignment="1" applyProtection="1">
      <alignment/>
      <protection/>
    </xf>
    <xf numFmtId="0" fontId="11" fillId="0" borderId="20" xfId="0" applyFont="1" applyBorder="1" applyAlignment="1" applyProtection="1">
      <alignment horizontal="right"/>
      <protection/>
    </xf>
    <xf numFmtId="0" fontId="11" fillId="0" borderId="21" xfId="0" applyFont="1" applyBorder="1" applyAlignment="1" applyProtection="1">
      <alignment horizontal="center"/>
      <protection/>
    </xf>
    <xf numFmtId="0" fontId="11" fillId="0" borderId="22" xfId="0" applyFont="1" applyBorder="1" applyAlignment="1" applyProtection="1">
      <alignment horizontal="center"/>
      <protection/>
    </xf>
    <xf numFmtId="2" fontId="0" fillId="0" borderId="0" xfId="0" applyNumberFormat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11" fillId="0" borderId="0" xfId="0" applyFont="1" applyBorder="1" applyAlignment="1" applyProtection="1">
      <alignment horizontal="center"/>
      <protection/>
    </xf>
    <xf numFmtId="2" fontId="0" fillId="0" borderId="0" xfId="0" applyNumberFormat="1" applyBorder="1" applyAlignment="1" applyProtection="1">
      <alignment/>
      <protection/>
    </xf>
    <xf numFmtId="2" fontId="0" fillId="0" borderId="18" xfId="0" applyNumberFormat="1" applyBorder="1" applyAlignment="1" applyProtection="1">
      <alignment/>
      <protection/>
    </xf>
    <xf numFmtId="0" fontId="0" fillId="0" borderId="23" xfId="0" applyBorder="1" applyAlignment="1" applyProtection="1">
      <alignment/>
      <protection/>
    </xf>
    <xf numFmtId="0" fontId="11" fillId="0" borderId="24" xfId="0" applyFont="1" applyBorder="1" applyAlignment="1" applyProtection="1">
      <alignment horizontal="center"/>
      <protection/>
    </xf>
    <xf numFmtId="2" fontId="0" fillId="0" borderId="24" xfId="0" applyNumberFormat="1" applyBorder="1" applyAlignment="1" applyProtection="1">
      <alignment/>
      <protection/>
    </xf>
    <xf numFmtId="2" fontId="0" fillId="0" borderId="25" xfId="0" applyNumberFormat="1" applyBorder="1" applyAlignment="1" applyProtection="1">
      <alignment/>
      <protection/>
    </xf>
    <xf numFmtId="0" fontId="11" fillId="0" borderId="0" xfId="0" applyFont="1" applyAlignment="1" applyProtection="1">
      <alignment horizontal="right"/>
      <protection locked="0"/>
    </xf>
    <xf numFmtId="2" fontId="0" fillId="0" borderId="0" xfId="0" applyNumberFormat="1" applyAlignment="1" applyProtection="1">
      <alignment/>
      <protection locked="0"/>
    </xf>
    <xf numFmtId="0" fontId="34" fillId="0" borderId="0" xfId="0" applyFont="1" applyAlignment="1">
      <alignment horizontal="center"/>
    </xf>
    <xf numFmtId="165" fontId="0" fillId="0" borderId="0" xfId="0" applyNumberFormat="1" applyAlignment="1">
      <alignment/>
    </xf>
    <xf numFmtId="0" fontId="34" fillId="0" borderId="0" xfId="0" applyFont="1" applyAlignment="1" applyProtection="1">
      <alignment horizontal="center"/>
      <protection locked="0"/>
    </xf>
    <xf numFmtId="165" fontId="0" fillId="0" borderId="0" xfId="0" applyNumberFormat="1" applyAlignment="1" applyProtection="1">
      <alignment/>
      <protection locked="0"/>
    </xf>
    <xf numFmtId="165" fontId="7" fillId="0" borderId="39" xfId="0" applyNumberFormat="1" applyFont="1" applyBorder="1" applyAlignment="1" applyProtection="1">
      <alignment horizontal="center" vertical="center" wrapText="1"/>
      <protection locked="0"/>
    </xf>
    <xf numFmtId="2" fontId="0" fillId="37" borderId="0" xfId="0" applyNumberFormat="1" applyFill="1" applyAlignment="1">
      <alignment horizontal="center"/>
    </xf>
    <xf numFmtId="0" fontId="8" fillId="0" borderId="0" xfId="0" applyFont="1" applyAlignment="1">
      <alignment horizontal="left"/>
    </xf>
    <xf numFmtId="0" fontId="34" fillId="0" borderId="0" xfId="0" applyFont="1" applyBorder="1" applyAlignment="1" applyProtection="1">
      <alignment horizontal="center"/>
      <protection locked="0"/>
    </xf>
    <xf numFmtId="14" fontId="27" fillId="33" borderId="40" xfId="5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7" fillId="0" borderId="41" xfId="0" applyFont="1" applyFill="1" applyBorder="1" applyAlignment="1" applyProtection="1">
      <alignment horizontal="center" vertical="center"/>
      <protection locked="0"/>
    </xf>
    <xf numFmtId="168" fontId="7" fillId="0" borderId="40" xfId="0" applyNumberFormat="1" applyFont="1" applyFill="1" applyBorder="1" applyAlignment="1" applyProtection="1">
      <alignment horizontal="center" vertical="center"/>
      <protection locked="0"/>
    </xf>
    <xf numFmtId="0" fontId="7" fillId="0" borderId="42" xfId="0" applyFont="1" applyBorder="1" applyAlignment="1" applyProtection="1">
      <alignment horizontal="center" vertical="center" wrapText="1"/>
      <protection locked="0"/>
    </xf>
    <xf numFmtId="0" fontId="7" fillId="34" borderId="40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7" fillId="0" borderId="4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44" xfId="0" applyFont="1" applyFill="1" applyBorder="1" applyAlignment="1" applyProtection="1">
      <alignment horizontal="center" vertical="center"/>
      <protection/>
    </xf>
    <xf numFmtId="0" fontId="7" fillId="34" borderId="0" xfId="0" applyFont="1" applyFill="1" applyBorder="1" applyAlignment="1" applyProtection="1">
      <alignment horizontal="center" vertical="center" wrapText="1"/>
      <protection/>
    </xf>
    <xf numFmtId="170" fontId="12" fillId="34" borderId="45" xfId="0" applyNumberFormat="1" applyFont="1" applyFill="1" applyBorder="1" applyAlignment="1" applyProtection="1">
      <alignment horizontal="right" vertical="center"/>
      <protection/>
    </xf>
    <xf numFmtId="0" fontId="7" fillId="34" borderId="46" xfId="0" applyFont="1" applyFill="1" applyBorder="1" applyAlignment="1" applyProtection="1">
      <alignment horizontal="center" vertical="center"/>
      <protection/>
    </xf>
    <xf numFmtId="0" fontId="7" fillId="34" borderId="46" xfId="0" applyFont="1" applyFill="1" applyBorder="1" applyAlignment="1" applyProtection="1">
      <alignment horizontal="center" vertical="center" wrapText="1"/>
      <protection/>
    </xf>
    <xf numFmtId="170" fontId="12" fillId="34" borderId="47" xfId="0" applyNumberFormat="1" applyFont="1" applyFill="1" applyBorder="1" applyAlignment="1" applyProtection="1">
      <alignment horizontal="right" vertical="center"/>
      <protection/>
    </xf>
    <xf numFmtId="170" fontId="12" fillId="34" borderId="48" xfId="0" applyNumberFormat="1" applyFont="1" applyFill="1" applyBorder="1" applyAlignment="1" applyProtection="1">
      <alignment horizontal="right" vertical="center"/>
      <protection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2" xfId="0" applyBorder="1" applyAlignment="1">
      <alignment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49" xfId="0" applyFont="1" applyFill="1" applyBorder="1" applyAlignment="1" applyProtection="1">
      <alignment/>
      <protection locked="0"/>
    </xf>
    <xf numFmtId="0" fontId="7" fillId="34" borderId="0" xfId="0" applyFont="1" applyFill="1" applyBorder="1" applyAlignment="1" applyProtection="1">
      <alignment horizontal="center"/>
      <protection locked="0"/>
    </xf>
    <xf numFmtId="0" fontId="7" fillId="0" borderId="44" xfId="0" applyFont="1" applyFill="1" applyBorder="1" applyAlignment="1" applyProtection="1">
      <alignment horizontal="center"/>
      <protection locked="0"/>
    </xf>
    <xf numFmtId="165" fontId="7" fillId="34" borderId="45" xfId="0" applyNumberFormat="1" applyFont="1" applyFill="1" applyBorder="1" applyAlignment="1" applyProtection="1">
      <alignment horizontal="center"/>
      <protection locked="0"/>
    </xf>
    <xf numFmtId="0" fontId="7" fillId="34" borderId="46" xfId="0" applyFont="1" applyFill="1" applyBorder="1" applyAlignment="1" applyProtection="1">
      <alignment horizontal="center"/>
      <protection locked="0"/>
    </xf>
    <xf numFmtId="0" fontId="7" fillId="34" borderId="46" xfId="0" applyFont="1" applyFill="1" applyBorder="1" applyAlignment="1" applyProtection="1">
      <alignment horizontal="center"/>
      <protection/>
    </xf>
    <xf numFmtId="165" fontId="7" fillId="34" borderId="45" xfId="0" applyNumberFormat="1" applyFont="1" applyFill="1" applyBorder="1" applyAlignment="1" applyProtection="1">
      <alignment horizontal="center"/>
      <protection/>
    </xf>
    <xf numFmtId="165" fontId="7" fillId="34" borderId="47" xfId="0" applyNumberFormat="1" applyFont="1" applyFill="1" applyBorder="1" applyAlignment="1" applyProtection="1">
      <alignment horizontal="center"/>
      <protection locked="0"/>
    </xf>
    <xf numFmtId="165" fontId="7" fillId="0" borderId="50" xfId="0" applyNumberFormat="1" applyFont="1" applyFill="1" applyBorder="1" applyAlignment="1" applyProtection="1">
      <alignment horizontal="center"/>
      <protection locked="0"/>
    </xf>
    <xf numFmtId="0" fontId="0" fillId="0" borderId="19" xfId="0" applyFont="1" applyBorder="1" applyAlignment="1">
      <alignment horizontal="center"/>
    </xf>
    <xf numFmtId="171" fontId="7" fillId="0" borderId="0" xfId="0" applyNumberFormat="1" applyFont="1" applyFill="1" applyBorder="1" applyAlignment="1" applyProtection="1">
      <alignment/>
      <protection locked="0"/>
    </xf>
    <xf numFmtId="171" fontId="0" fillId="0" borderId="44" xfId="0" applyNumberFormat="1" applyFont="1" applyFill="1" applyBorder="1" applyAlignment="1" applyProtection="1">
      <alignment/>
      <protection locked="0"/>
    </xf>
    <xf numFmtId="172" fontId="0" fillId="0" borderId="46" xfId="0" applyNumberFormat="1" applyFont="1" applyFill="1" applyBorder="1" applyAlignment="1" applyProtection="1">
      <alignment/>
      <protection locked="0"/>
    </xf>
    <xf numFmtId="165" fontId="0" fillId="34" borderId="45" xfId="0" applyNumberFormat="1" applyFont="1" applyFill="1" applyBorder="1" applyAlignment="1" applyProtection="1">
      <alignment horizontal="right" indent="1"/>
      <protection locked="0"/>
    </xf>
    <xf numFmtId="172" fontId="0" fillId="38" borderId="46" xfId="0" applyNumberFormat="1" applyFont="1" applyFill="1" applyBorder="1" applyAlignment="1" applyProtection="1">
      <alignment/>
      <protection/>
    </xf>
    <xf numFmtId="165" fontId="0" fillId="38" borderId="45" xfId="0" applyNumberFormat="1" applyFont="1" applyFill="1" applyBorder="1" applyAlignment="1" applyProtection="1">
      <alignment horizontal="right" indent="1"/>
      <protection/>
    </xf>
    <xf numFmtId="165" fontId="0" fillId="34" borderId="47" xfId="0" applyNumberFormat="1" applyFont="1" applyFill="1" applyBorder="1" applyAlignment="1" applyProtection="1">
      <alignment horizontal="right" indent="1"/>
      <protection locked="0"/>
    </xf>
    <xf numFmtId="165" fontId="0" fillId="0" borderId="50" xfId="0" applyNumberFormat="1" applyFont="1" applyFill="1" applyBorder="1" applyAlignment="1" applyProtection="1">
      <alignment horizontal="right" indent="1"/>
      <protection locked="0"/>
    </xf>
    <xf numFmtId="0" fontId="7" fillId="0" borderId="0" xfId="0" applyFont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Font="1" applyBorder="1" applyAlignment="1">
      <alignment/>
    </xf>
    <xf numFmtId="173" fontId="0" fillId="0" borderId="46" xfId="0" applyNumberFormat="1" applyFont="1" applyFill="1" applyBorder="1" applyAlignment="1" applyProtection="1">
      <alignment/>
      <protection locked="0"/>
    </xf>
    <xf numFmtId="174" fontId="0" fillId="0" borderId="0" xfId="0" applyNumberFormat="1" applyAlignment="1">
      <alignment/>
    </xf>
    <xf numFmtId="0" fontId="0" fillId="0" borderId="0" xfId="0" applyFont="1" applyAlignment="1">
      <alignment horizontal="center"/>
    </xf>
    <xf numFmtId="171" fontId="0" fillId="0" borderId="44" xfId="0" applyNumberFormat="1" applyFont="1" applyFill="1" applyBorder="1" applyAlignment="1" applyProtection="1">
      <alignment/>
      <protection locked="0"/>
    </xf>
    <xf numFmtId="0" fontId="0" fillId="0" borderId="50" xfId="0" applyFill="1" applyBorder="1" applyAlignment="1" applyProtection="1">
      <alignment/>
      <protection locked="0"/>
    </xf>
    <xf numFmtId="175" fontId="0" fillId="0" borderId="46" xfId="0" applyNumberFormat="1" applyFont="1" applyFill="1" applyBorder="1" applyAlignment="1" applyProtection="1">
      <alignment/>
      <protection locked="0"/>
    </xf>
    <xf numFmtId="0" fontId="7" fillId="0" borderId="50" xfId="0" applyFont="1" applyFill="1" applyBorder="1" applyAlignment="1" applyProtection="1">
      <alignment horizontal="center"/>
      <protection locked="0"/>
    </xf>
    <xf numFmtId="171" fontId="0" fillId="0" borderId="0" xfId="0" applyNumberFormat="1" applyFont="1" applyFill="1" applyBorder="1" applyAlignment="1" applyProtection="1">
      <alignment/>
      <protection locked="0"/>
    </xf>
    <xf numFmtId="0" fontId="0" fillId="0" borderId="51" xfId="0" applyFont="1" applyFill="1" applyBorder="1" applyAlignment="1" applyProtection="1">
      <alignment/>
      <protection locked="0"/>
    </xf>
    <xf numFmtId="171" fontId="0" fillId="0" borderId="52" xfId="0" applyNumberFormat="1" applyFont="1" applyFill="1" applyBorder="1" applyAlignment="1" applyProtection="1">
      <alignment/>
      <protection locked="0"/>
    </xf>
    <xf numFmtId="171" fontId="0" fillId="0" borderId="53" xfId="0" applyNumberFormat="1" applyFont="1" applyFill="1" applyBorder="1" applyAlignment="1" applyProtection="1">
      <alignment/>
      <protection locked="0"/>
    </xf>
    <xf numFmtId="172" fontId="0" fillId="0" borderId="54" xfId="0" applyNumberFormat="1" applyFont="1" applyFill="1" applyBorder="1" applyAlignment="1" applyProtection="1">
      <alignment/>
      <protection locked="0"/>
    </xf>
    <xf numFmtId="165" fontId="0" fillId="34" borderId="55" xfId="0" applyNumberFormat="1" applyFont="1" applyFill="1" applyBorder="1" applyAlignment="1" applyProtection="1">
      <alignment horizontal="right" indent="1"/>
      <protection locked="0"/>
    </xf>
    <xf numFmtId="172" fontId="0" fillId="38" borderId="54" xfId="0" applyNumberFormat="1" applyFont="1" applyFill="1" applyBorder="1" applyAlignment="1" applyProtection="1">
      <alignment/>
      <protection/>
    </xf>
    <xf numFmtId="165" fontId="0" fillId="38" borderId="55" xfId="0" applyNumberFormat="1" applyFont="1" applyFill="1" applyBorder="1" applyAlignment="1" applyProtection="1">
      <alignment horizontal="right" indent="1"/>
      <protection/>
    </xf>
    <xf numFmtId="0" fontId="0" fillId="0" borderId="56" xfId="0" applyFill="1" applyBorder="1" applyAlignment="1" applyProtection="1">
      <alignment/>
      <protection locked="0"/>
    </xf>
    <xf numFmtId="171" fontId="0" fillId="0" borderId="0" xfId="0" applyNumberFormat="1" applyFont="1" applyFill="1" applyBorder="1" applyAlignment="1" applyProtection="1">
      <alignment/>
      <protection locked="0"/>
    </xf>
    <xf numFmtId="172" fontId="0" fillId="0" borderId="46" xfId="0" applyNumberFormat="1" applyFill="1" applyBorder="1" applyAlignment="1" applyProtection="1">
      <alignment/>
      <protection locked="0"/>
    </xf>
    <xf numFmtId="165" fontId="59" fillId="0" borderId="50" xfId="0" applyNumberFormat="1" applyFont="1" applyFill="1" applyBorder="1" applyAlignment="1" applyProtection="1">
      <alignment horizontal="right" indent="1"/>
      <protection locked="0"/>
    </xf>
    <xf numFmtId="0" fontId="0" fillId="0" borderId="20" xfId="0" applyFont="1" applyFill="1" applyBorder="1" applyAlignment="1">
      <alignment horizontal="center"/>
    </xf>
    <xf numFmtId="0" fontId="0" fillId="0" borderId="2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8" xfId="0" applyBorder="1" applyAlignment="1">
      <alignment horizontal="center"/>
    </xf>
    <xf numFmtId="2" fontId="0" fillId="0" borderId="18" xfId="0" applyNumberFormat="1" applyFont="1" applyBorder="1" applyAlignment="1">
      <alignment/>
    </xf>
    <xf numFmtId="0" fontId="0" fillId="0" borderId="23" xfId="0" applyBorder="1" applyAlignment="1">
      <alignment/>
    </xf>
    <xf numFmtId="174" fontId="0" fillId="0" borderId="24" xfId="0" applyNumberFormat="1" applyBorder="1" applyAlignment="1">
      <alignment/>
    </xf>
    <xf numFmtId="165" fontId="0" fillId="0" borderId="25" xfId="0" applyNumberFormat="1" applyBorder="1" applyAlignment="1">
      <alignment/>
    </xf>
    <xf numFmtId="0" fontId="59" fillId="0" borderId="0" xfId="0" applyFont="1" applyAlignment="1">
      <alignment/>
    </xf>
    <xf numFmtId="174" fontId="59" fillId="0" borderId="0" xfId="0" applyNumberFormat="1" applyFont="1" applyAlignment="1">
      <alignment/>
    </xf>
    <xf numFmtId="165" fontId="59" fillId="0" borderId="0" xfId="0" applyNumberFormat="1" applyFont="1" applyAlignment="1">
      <alignment/>
    </xf>
    <xf numFmtId="165" fontId="0" fillId="34" borderId="57" xfId="0" applyNumberFormat="1" applyFont="1" applyFill="1" applyBorder="1" applyAlignment="1" applyProtection="1">
      <alignment horizontal="right" indent="1"/>
      <protection locked="0"/>
    </xf>
    <xf numFmtId="0" fontId="0" fillId="0" borderId="52" xfId="0" applyFont="1" applyFill="1" applyBorder="1" applyAlignment="1" applyProtection="1">
      <alignment/>
      <protection locked="0"/>
    </xf>
    <xf numFmtId="0" fontId="0" fillId="0" borderId="52" xfId="0" applyBorder="1" applyAlignment="1" applyProtection="1">
      <alignment/>
      <protection locked="0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2" fillId="33" borderId="20" xfId="50" applyFill="1" applyBorder="1" applyProtection="1">
      <alignment/>
      <protection locked="0"/>
    </xf>
    <xf numFmtId="0" fontId="2" fillId="33" borderId="21" xfId="50" applyFill="1" applyBorder="1" applyProtection="1">
      <alignment/>
      <protection locked="0"/>
    </xf>
    <xf numFmtId="0" fontId="26" fillId="33" borderId="19" xfId="50" applyFont="1" applyFill="1" applyBorder="1" applyAlignment="1" applyProtection="1">
      <alignment horizontal="center"/>
      <protection locked="0"/>
    </xf>
    <xf numFmtId="14" fontId="28" fillId="33" borderId="0" xfId="50" applyNumberFormat="1" applyFont="1" applyFill="1" applyBorder="1" applyAlignment="1" applyProtection="1">
      <alignment horizontal="left"/>
      <protection locked="0"/>
    </xf>
    <xf numFmtId="0" fontId="2" fillId="33" borderId="0" xfId="50" applyFill="1" applyBorder="1" applyProtection="1">
      <alignment/>
      <protection locked="0"/>
    </xf>
    <xf numFmtId="14" fontId="27" fillId="33" borderId="23" xfId="50" applyNumberFormat="1" applyFont="1" applyFill="1" applyBorder="1" applyAlignment="1" applyProtection="1">
      <alignment horizontal="right" vertical="top"/>
      <protection locked="0"/>
    </xf>
    <xf numFmtId="14" fontId="27" fillId="33" borderId="0" xfId="50" applyNumberFormat="1" applyFont="1" applyFill="1" applyBorder="1" applyAlignment="1" applyProtection="1">
      <alignment horizontal="left" vertical="top"/>
      <protection locked="0"/>
    </xf>
    <xf numFmtId="0" fontId="2" fillId="33" borderId="24" xfId="50" applyFill="1" applyBorder="1" applyAlignment="1" applyProtection="1">
      <alignment horizontal="center"/>
      <protection locked="0"/>
    </xf>
    <xf numFmtId="0" fontId="30" fillId="0" borderId="32" xfId="50" applyFont="1" applyBorder="1" applyAlignment="1" applyProtection="1">
      <alignment horizontal="center" wrapText="1"/>
      <protection locked="0"/>
    </xf>
    <xf numFmtId="4" fontId="30" fillId="0" borderId="32" xfId="50" applyNumberFormat="1" applyFont="1" applyBorder="1" applyAlignment="1" applyProtection="1">
      <alignment horizontal="center" wrapText="1"/>
      <protection locked="0"/>
    </xf>
    <xf numFmtId="4" fontId="30" fillId="33" borderId="32" xfId="50" applyNumberFormat="1" applyFont="1" applyFill="1" applyBorder="1" applyAlignment="1" applyProtection="1">
      <alignment horizontal="center" wrapText="1"/>
      <protection locked="0"/>
    </xf>
    <xf numFmtId="14" fontId="3" fillId="0" borderId="33" xfId="50" applyNumberFormat="1" applyFont="1" applyFill="1" applyBorder="1" applyAlignment="1" applyProtection="1">
      <alignment vertical="center"/>
      <protection locked="0"/>
    </xf>
    <xf numFmtId="0" fontId="14" fillId="0" borderId="33" xfId="50" applyFont="1" applyFill="1" applyBorder="1" applyAlignment="1" applyProtection="1">
      <alignment vertical="center"/>
      <protection locked="0"/>
    </xf>
    <xf numFmtId="2" fontId="14" fillId="0" borderId="33" xfId="50" applyNumberFormat="1" applyFont="1" applyFill="1" applyBorder="1" applyAlignment="1" applyProtection="1">
      <alignment vertical="center"/>
      <protection locked="0"/>
    </xf>
    <xf numFmtId="2" fontId="14" fillId="33" borderId="33" xfId="50" applyNumberFormat="1" applyFont="1" applyFill="1" applyBorder="1" applyAlignment="1" applyProtection="1">
      <alignment vertical="center"/>
      <protection locked="0"/>
    </xf>
    <xf numFmtId="0" fontId="62" fillId="0" borderId="0" xfId="50" applyFont="1" applyFill="1" applyBorder="1" applyProtection="1">
      <alignment/>
      <protection locked="0"/>
    </xf>
    <xf numFmtId="0" fontId="2" fillId="0" borderId="0" xfId="50" applyFont="1" applyFill="1" applyProtection="1">
      <alignment/>
      <protection locked="0"/>
    </xf>
    <xf numFmtId="14" fontId="3" fillId="0" borderId="35" xfId="50" applyNumberFormat="1" applyFont="1" applyFill="1" applyBorder="1" applyAlignment="1" applyProtection="1">
      <alignment vertical="center"/>
      <protection locked="0"/>
    </xf>
    <xf numFmtId="0" fontId="3" fillId="0" borderId="35" xfId="50" applyFont="1" applyFill="1" applyBorder="1" applyAlignment="1" applyProtection="1">
      <alignment vertical="center"/>
      <protection locked="0"/>
    </xf>
    <xf numFmtId="0" fontId="14" fillId="0" borderId="35" xfId="50" applyFont="1" applyFill="1" applyBorder="1" applyAlignment="1" applyProtection="1">
      <alignment vertical="center"/>
      <protection locked="0"/>
    </xf>
    <xf numFmtId="2" fontId="14" fillId="0" borderId="35" xfId="50" applyNumberFormat="1" applyFont="1" applyFill="1" applyBorder="1" applyAlignment="1" applyProtection="1">
      <alignment vertical="center"/>
      <protection locked="0"/>
    </xf>
    <xf numFmtId="2" fontId="14" fillId="33" borderId="35" xfId="50" applyNumberFormat="1" applyFont="1" applyFill="1" applyBorder="1" applyAlignment="1" applyProtection="1">
      <alignment vertical="center"/>
      <protection locked="0"/>
    </xf>
    <xf numFmtId="0" fontId="2" fillId="0" borderId="0" xfId="50" applyFill="1" applyProtection="1">
      <alignment/>
      <protection locked="0"/>
    </xf>
    <xf numFmtId="176" fontId="44" fillId="0" borderId="0" xfId="50" applyNumberFormat="1" applyFont="1" applyFill="1" applyBorder="1" applyAlignment="1" applyProtection="1">
      <alignment horizontal="right" vertical="top"/>
      <protection locked="0"/>
    </xf>
    <xf numFmtId="177" fontId="34" fillId="0" borderId="0" xfId="0" applyNumberFormat="1" applyFont="1" applyAlignment="1">
      <alignment/>
    </xf>
    <xf numFmtId="49" fontId="44" fillId="0" borderId="0" xfId="50" applyNumberFormat="1" applyFont="1" applyFill="1" applyBorder="1" applyAlignment="1" applyProtection="1">
      <alignment horizontal="left" vertical="top"/>
      <protection locked="0"/>
    </xf>
    <xf numFmtId="178" fontId="0" fillId="0" borderId="0" xfId="0" applyNumberFormat="1" applyAlignment="1">
      <alignment/>
    </xf>
    <xf numFmtId="14" fontId="0" fillId="0" borderId="0" xfId="0" applyNumberFormat="1" applyAlignment="1">
      <alignment/>
    </xf>
    <xf numFmtId="179" fontId="0" fillId="0" borderId="58" xfId="0" applyNumberForma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3" fillId="0" borderId="66" xfId="0" applyFont="1" applyBorder="1" applyAlignment="1">
      <alignment/>
    </xf>
    <xf numFmtId="175" fontId="0" fillId="0" borderId="62" xfId="0" applyNumberFormat="1" applyFont="1" applyBorder="1" applyAlignment="1">
      <alignment/>
    </xf>
    <xf numFmtId="175" fontId="0" fillId="0" borderId="62" xfId="0" applyNumberFormat="1" applyBorder="1" applyAlignment="1">
      <alignment/>
    </xf>
    <xf numFmtId="0" fontId="0" fillId="0" borderId="67" xfId="0" applyBorder="1" applyAlignment="1">
      <alignment/>
    </xf>
    <xf numFmtId="180" fontId="0" fillId="0" borderId="68" xfId="0" applyNumberFormat="1" applyBorder="1" applyAlignment="1">
      <alignment horizontal="center"/>
    </xf>
    <xf numFmtId="0" fontId="3" fillId="0" borderId="66" xfId="0" applyFont="1" applyBorder="1" applyAlignment="1">
      <alignment/>
    </xf>
    <xf numFmtId="0" fontId="0" fillId="0" borderId="67" xfId="0" applyFont="1" applyBorder="1" applyAlignment="1">
      <alignment horizontal="center"/>
    </xf>
    <xf numFmtId="0" fontId="0" fillId="0" borderId="64" xfId="0" applyBorder="1" applyAlignment="1">
      <alignment horizontal="center"/>
    </xf>
    <xf numFmtId="0" fontId="0" fillId="0" borderId="64" xfId="0" applyBorder="1" applyAlignment="1">
      <alignment/>
    </xf>
    <xf numFmtId="0" fontId="3" fillId="0" borderId="69" xfId="0" applyFont="1" applyBorder="1" applyAlignment="1">
      <alignment/>
    </xf>
    <xf numFmtId="0" fontId="3" fillId="0" borderId="69" xfId="0" applyFont="1" applyBorder="1" applyAlignment="1">
      <alignment/>
    </xf>
    <xf numFmtId="0" fontId="0" fillId="0" borderId="70" xfId="0" applyBorder="1" applyAlignment="1">
      <alignment/>
    </xf>
    <xf numFmtId="175" fontId="0" fillId="0" borderId="62" xfId="0" applyNumberFormat="1" applyFont="1" applyBorder="1" applyAlignment="1">
      <alignment/>
    </xf>
    <xf numFmtId="0" fontId="0" fillId="0" borderId="0" xfId="0" applyAlignment="1">
      <alignment vertical="center"/>
    </xf>
    <xf numFmtId="0" fontId="0" fillId="0" borderId="23" xfId="0" applyBorder="1" applyAlignment="1">
      <alignment vertical="center"/>
    </xf>
    <xf numFmtId="0" fontId="0" fillId="0" borderId="71" xfId="0" applyFont="1" applyBorder="1" applyAlignment="1">
      <alignment horizontal="right" vertical="center"/>
    </xf>
    <xf numFmtId="175" fontId="0" fillId="0" borderId="72" xfId="0" applyNumberFormat="1" applyBorder="1" applyAlignment="1">
      <alignment horizontal="center" vertical="center"/>
    </xf>
    <xf numFmtId="0" fontId="7" fillId="0" borderId="73" xfId="0" applyFont="1" applyBorder="1" applyAlignment="1">
      <alignment horizontal="center" vertical="center"/>
    </xf>
    <xf numFmtId="2" fontId="7" fillId="0" borderId="74" xfId="0" applyNumberFormat="1" applyFont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63" fillId="0" borderId="0" xfId="49" applyFont="1">
      <alignment/>
      <protection/>
    </xf>
    <xf numFmtId="0" fontId="64" fillId="0" borderId="0" xfId="49" applyFont="1">
      <alignment/>
      <protection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23" fillId="33" borderId="21" xfId="0" applyFont="1" applyFill="1" applyBorder="1" applyAlignment="1" applyProtection="1">
      <alignment horizontal="center" vertical="center"/>
      <protection/>
    </xf>
    <xf numFmtId="0" fontId="25" fillId="33" borderId="18" xfId="50" applyFont="1" applyFill="1" applyBorder="1" applyAlignment="1" applyProtection="1">
      <alignment horizontal="center" vertical="top"/>
      <protection/>
    </xf>
    <xf numFmtId="0" fontId="25" fillId="33" borderId="0" xfId="50" applyFont="1" applyFill="1" applyBorder="1" applyAlignment="1" applyProtection="1">
      <alignment horizontal="center"/>
      <protection/>
    </xf>
    <xf numFmtId="0" fontId="38" fillId="33" borderId="0" xfId="50" applyFont="1" applyFill="1" applyBorder="1" applyAlignment="1" applyProtection="1">
      <alignment horizontal="center" vertical="top"/>
      <protection/>
    </xf>
    <xf numFmtId="0" fontId="39" fillId="33" borderId="0" xfId="50" applyFont="1" applyFill="1" applyBorder="1" applyAlignment="1" applyProtection="1">
      <alignment horizontal="right" vertical="top"/>
      <protection/>
    </xf>
    <xf numFmtId="164" fontId="45" fillId="0" borderId="0" xfId="50" applyNumberFormat="1" applyFont="1" applyFill="1" applyBorder="1" applyAlignment="1" applyProtection="1">
      <alignment horizontal="center" vertical="center"/>
      <protection locked="0"/>
    </xf>
    <xf numFmtId="0" fontId="56" fillId="0" borderId="0" xfId="0" applyFont="1" applyBorder="1" applyAlignment="1" applyProtection="1">
      <alignment horizontal="center" vertical="center"/>
      <protection/>
    </xf>
    <xf numFmtId="0" fontId="61" fillId="37" borderId="40" xfId="0" applyNumberFormat="1" applyFont="1" applyFill="1" applyBorder="1" applyAlignment="1" applyProtection="1">
      <alignment horizontal="center" vertical="center"/>
      <protection locked="0"/>
    </xf>
    <xf numFmtId="0" fontId="7" fillId="34" borderId="75" xfId="0" applyFont="1" applyFill="1" applyBorder="1" applyAlignment="1" applyProtection="1">
      <alignment horizontal="center" vertical="center" wrapText="1"/>
      <protection locked="0"/>
    </xf>
    <xf numFmtId="0" fontId="7" fillId="34" borderId="76" xfId="0" applyFont="1" applyFill="1" applyBorder="1" applyAlignment="1" applyProtection="1">
      <alignment horizontal="center" vertical="center"/>
      <protection locked="0"/>
    </xf>
    <xf numFmtId="0" fontId="7" fillId="34" borderId="76" xfId="0" applyFont="1" applyFill="1" applyBorder="1" applyAlignment="1" applyProtection="1">
      <alignment horizontal="center" vertical="center" wrapText="1"/>
      <protection locked="0"/>
    </xf>
    <xf numFmtId="0" fontId="7" fillId="34" borderId="77" xfId="0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horizontal="center"/>
    </xf>
    <xf numFmtId="0" fontId="38" fillId="33" borderId="19" xfId="50" applyFont="1" applyFill="1" applyBorder="1" applyAlignment="1" applyProtection="1">
      <alignment horizontal="center" vertical="top"/>
      <protection locked="0"/>
    </xf>
    <xf numFmtId="0" fontId="7" fillId="0" borderId="7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63" fillId="0" borderId="0" xfId="49" applyNumberFormat="1" applyFont="1" applyBorder="1" applyAlignment="1">
      <alignment horizontal="center"/>
      <protection/>
    </xf>
    <xf numFmtId="0" fontId="0" fillId="0" borderId="79" xfId="0" applyBorder="1" applyAlignment="1">
      <alignment/>
    </xf>
    <xf numFmtId="0" fontId="0" fillId="0" borderId="80" xfId="0" applyBorder="1" applyAlignment="1">
      <alignment/>
    </xf>
    <xf numFmtId="0" fontId="0" fillId="0" borderId="81" xfId="0" applyBorder="1" applyAlignment="1">
      <alignment/>
    </xf>
    <xf numFmtId="0" fontId="0" fillId="0" borderId="82" xfId="0" applyBorder="1" applyAlignment="1">
      <alignment/>
    </xf>
    <xf numFmtId="0" fontId="0" fillId="0" borderId="79" xfId="0" applyBorder="1" applyAlignment="1">
      <alignment/>
    </xf>
    <xf numFmtId="0" fontId="0" fillId="0" borderId="83" xfId="0" applyBorder="1" applyAlignment="1">
      <alignment/>
    </xf>
    <xf numFmtId="0" fontId="0" fillId="0" borderId="84" xfId="0" applyBorder="1" applyAlignment="1">
      <alignment/>
    </xf>
    <xf numFmtId="0" fontId="0" fillId="0" borderId="85" xfId="0" applyBorder="1" applyAlignment="1">
      <alignment/>
    </xf>
    <xf numFmtId="0" fontId="0" fillId="0" borderId="86" xfId="0" applyBorder="1" applyAlignment="1">
      <alignment/>
    </xf>
    <xf numFmtId="0" fontId="0" fillId="0" borderId="79" xfId="0" applyNumberFormat="1" applyBorder="1" applyAlignment="1">
      <alignment/>
    </xf>
    <xf numFmtId="0" fontId="0" fillId="0" borderId="86" xfId="0" applyNumberFormat="1" applyBorder="1" applyAlignment="1">
      <alignment/>
    </xf>
    <xf numFmtId="0" fontId="0" fillId="0" borderId="84" xfId="0" applyNumberFormat="1" applyBorder="1" applyAlignment="1">
      <alignment/>
    </xf>
    <xf numFmtId="0" fontId="0" fillId="0" borderId="87" xfId="0" applyNumberFormat="1" applyBorder="1" applyAlignment="1">
      <alignment/>
    </xf>
    <xf numFmtId="0" fontId="0" fillId="0" borderId="88" xfId="0" applyBorder="1" applyAlignment="1">
      <alignment/>
    </xf>
    <xf numFmtId="0" fontId="0" fillId="0" borderId="88" xfId="0" applyNumberFormat="1" applyBorder="1" applyAlignment="1">
      <alignment/>
    </xf>
    <xf numFmtId="0" fontId="0" fillId="0" borderId="89" xfId="0" applyNumberFormat="1" applyBorder="1" applyAlignment="1">
      <alignment/>
    </xf>
    <xf numFmtId="0" fontId="0" fillId="0" borderId="83" xfId="0" applyNumberFormat="1" applyBorder="1" applyAlignment="1">
      <alignment/>
    </xf>
    <xf numFmtId="0" fontId="0" fillId="0" borderId="90" xfId="0" applyNumberFormat="1" applyBorder="1" applyAlignment="1">
      <alignment/>
    </xf>
    <xf numFmtId="0" fontId="0" fillId="0" borderId="0" xfId="0" applyNumberFormat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rmal 2" xfId="49"/>
    <cellStyle name="Normal_comptes bancaires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0CB"/>
      <rgbColor rgb="00CCFF99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pivotCacheDefinition" Target="pivotCache/pivotCacheDefinition1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externalLink" Target="externalLinks/externalLink3.xml" /><Relationship Id="rId19" Type="http://schemas.openxmlformats.org/officeDocument/2006/relationships/externalLink" Target="externalLinks/externalLink4.xml" /><Relationship Id="rId20" Type="http://schemas.openxmlformats.org/officeDocument/2006/relationships/externalLink" Target="externalLinks/externalLink5.xml" /><Relationship Id="rId21" Type="http://schemas.openxmlformats.org/officeDocument/2006/relationships/externalLink" Target="externalLinks/externalLink6.xml" /><Relationship Id="rId2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419100</xdr:colOff>
      <xdr:row>4</xdr:row>
      <xdr:rowOff>19050</xdr:rowOff>
    </xdr:from>
    <xdr:to>
      <xdr:col>17</xdr:col>
      <xdr:colOff>95250</xdr:colOff>
      <xdr:row>4</xdr:row>
      <xdr:rowOff>285750</xdr:rowOff>
    </xdr:to>
    <xdr:sp macro="[0]!Module1.sélection_tableau_de_présentation" fLocksText="0">
      <xdr:nvSpPr>
        <xdr:cNvPr id="1" name="Text Box 1"/>
        <xdr:cNvSpPr txBox="1">
          <a:spLocks noChangeArrowheads="1"/>
        </xdr:cNvSpPr>
      </xdr:nvSpPr>
      <xdr:spPr>
        <a:xfrm>
          <a:off x="7943850" y="742950"/>
          <a:ext cx="2200275" cy="266700"/>
        </a:xfrm>
        <a:prstGeom prst="rect">
          <a:avLst/>
        </a:prstGeom>
        <a:solidFill>
          <a:srgbClr val="FF66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22680" rIns="27360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sélection le tableau de présentation</a:t>
          </a:r>
        </a:p>
      </xdr:txBody>
    </xdr:sp>
    <xdr:clientData/>
  </xdr:twoCellAnchor>
  <xdr:twoCellAnchor>
    <xdr:from>
      <xdr:col>3</xdr:col>
      <xdr:colOff>1485900</xdr:colOff>
      <xdr:row>114</xdr:row>
      <xdr:rowOff>38100</xdr:rowOff>
    </xdr:from>
    <xdr:to>
      <xdr:col>3</xdr:col>
      <xdr:colOff>1657350</xdr:colOff>
      <xdr:row>128</xdr:row>
      <xdr:rowOff>133350</xdr:rowOff>
    </xdr:to>
    <xdr:sp>
      <xdr:nvSpPr>
        <xdr:cNvPr id="2" name="AutoShape 60"/>
        <xdr:cNvSpPr>
          <a:spLocks/>
        </xdr:cNvSpPr>
      </xdr:nvSpPr>
      <xdr:spPr>
        <a:xfrm>
          <a:off x="2457450" y="18973800"/>
          <a:ext cx="171450" cy="2228850"/>
        </a:xfrm>
        <a:prstGeom prst="leftBrace">
          <a:avLst>
            <a:gd name="adj" fmla="val -146261722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466725</xdr:colOff>
      <xdr:row>6</xdr:row>
      <xdr:rowOff>47625</xdr:rowOff>
    </xdr:from>
    <xdr:to>
      <xdr:col>16</xdr:col>
      <xdr:colOff>152400</xdr:colOff>
      <xdr:row>8</xdr:row>
      <xdr:rowOff>28575</xdr:rowOff>
    </xdr:to>
    <xdr:sp macro="[0]!Module2.masquage" fLocksText="0">
      <xdr:nvSpPr>
        <xdr:cNvPr id="3" name="ZoneTexte 1"/>
        <xdr:cNvSpPr txBox="1">
          <a:spLocks noChangeArrowheads="1"/>
        </xdr:cNvSpPr>
      </xdr:nvSpPr>
      <xdr:spPr>
        <a:xfrm>
          <a:off x="8734425" y="1285875"/>
          <a:ext cx="923925" cy="285750"/>
        </a:xfrm>
        <a:prstGeom prst="rect">
          <a:avLst/>
        </a:prstGeom>
        <a:solidFill>
          <a:srgbClr val="FFC000"/>
        </a:solidFill>
        <a:ln w="9360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MASQUAGE</a:t>
          </a:r>
        </a:p>
      </xdr:txBody>
    </xdr:sp>
    <xdr:clientData/>
  </xdr:twoCellAnchor>
  <xdr:twoCellAnchor>
    <xdr:from>
      <xdr:col>15</xdr:col>
      <xdr:colOff>0</xdr:colOff>
      <xdr:row>10</xdr:row>
      <xdr:rowOff>0</xdr:rowOff>
    </xdr:from>
    <xdr:to>
      <xdr:col>16</xdr:col>
      <xdr:colOff>228600</xdr:colOff>
      <xdr:row>15</xdr:row>
      <xdr:rowOff>133350</xdr:rowOff>
    </xdr:to>
    <xdr:sp macro="[0]!Module2.Affichage" fLocksText="0">
      <xdr:nvSpPr>
        <xdr:cNvPr id="4" name="ZoneTexte 5"/>
        <xdr:cNvSpPr txBox="1">
          <a:spLocks noChangeArrowheads="1"/>
        </xdr:cNvSpPr>
      </xdr:nvSpPr>
      <xdr:spPr>
        <a:xfrm>
          <a:off x="8810625" y="1847850"/>
          <a:ext cx="923925" cy="895350"/>
        </a:xfrm>
        <a:prstGeom prst="rect">
          <a:avLst/>
        </a:prstGeom>
        <a:solidFill>
          <a:srgbClr val="FFFFFF"/>
        </a:solidFill>
        <a:ln w="9360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AFFICHAGE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1095375</xdr:colOff>
      <xdr:row>0</xdr:row>
      <xdr:rowOff>19050</xdr:rowOff>
    </xdr:from>
    <xdr:to>
      <xdr:col>2</xdr:col>
      <xdr:colOff>76200</xdr:colOff>
      <xdr:row>0</xdr:row>
      <xdr:rowOff>180975</xdr:rowOff>
    </xdr:to>
    <xdr:sp macro="[0]!Module1.sélection_belote" fLocksText="0">
      <xdr:nvSpPr>
        <xdr:cNvPr id="1" name="Text Box 2"/>
        <xdr:cNvSpPr txBox="1">
          <a:spLocks noChangeArrowheads="1"/>
        </xdr:cNvSpPr>
      </xdr:nvSpPr>
      <xdr:spPr>
        <a:xfrm>
          <a:off x="1285875" y="19050"/>
          <a:ext cx="990600" cy="161925"/>
        </a:xfrm>
        <a:prstGeom prst="rect">
          <a:avLst/>
        </a:prstGeom>
        <a:solidFill>
          <a:srgbClr val="FF66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22680" rIns="27360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sélection belote
</a:t>
          </a:r>
        </a:p>
      </xdr:txBody>
    </xdr:sp>
    <xdr:clientData/>
  </xdr:twoCellAnchor>
  <xdr:twoCellAnchor>
    <xdr:from>
      <xdr:col>2</xdr:col>
      <xdr:colOff>190500</xdr:colOff>
      <xdr:row>0</xdr:row>
      <xdr:rowOff>28575</xdr:rowOff>
    </xdr:from>
    <xdr:to>
      <xdr:col>4</xdr:col>
      <xdr:colOff>676275</xdr:colOff>
      <xdr:row>0</xdr:row>
      <xdr:rowOff>200025</xdr:rowOff>
    </xdr:to>
    <xdr:sp macro="[0]!Module1.sélection_dép_février" fLocksText="0">
      <xdr:nvSpPr>
        <xdr:cNvPr id="2" name="Text Box 7"/>
        <xdr:cNvSpPr txBox="1">
          <a:spLocks noChangeArrowheads="1"/>
        </xdr:cNvSpPr>
      </xdr:nvSpPr>
      <xdr:spPr>
        <a:xfrm>
          <a:off x="2390775" y="28575"/>
          <a:ext cx="1257300" cy="171450"/>
        </a:xfrm>
        <a:prstGeom prst="rect">
          <a:avLst/>
        </a:prstGeom>
        <a:solidFill>
          <a:srgbClr val="FF66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22680" rIns="27360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sélection dép février
</a:t>
          </a:r>
        </a:p>
      </xdr:txBody>
    </xdr:sp>
    <xdr:clientData/>
  </xdr:twoCellAnchor>
  <xdr:twoCellAnchor>
    <xdr:from>
      <xdr:col>5</xdr:col>
      <xdr:colOff>76200</xdr:colOff>
      <xdr:row>0</xdr:row>
      <xdr:rowOff>28575</xdr:rowOff>
    </xdr:from>
    <xdr:to>
      <xdr:col>6</xdr:col>
      <xdr:colOff>352425</xdr:colOff>
      <xdr:row>0</xdr:row>
      <xdr:rowOff>180975</xdr:rowOff>
    </xdr:to>
    <xdr:sp macro="[0]!Module1.sélection_concours_05_05" fLocksText="0">
      <xdr:nvSpPr>
        <xdr:cNvPr id="3" name="Text Box 8"/>
        <xdr:cNvSpPr txBox="1">
          <a:spLocks noChangeArrowheads="1"/>
        </xdr:cNvSpPr>
      </xdr:nvSpPr>
      <xdr:spPr>
        <a:xfrm>
          <a:off x="3752850" y="28575"/>
          <a:ext cx="1114425" cy="152400"/>
        </a:xfrm>
        <a:prstGeom prst="rect">
          <a:avLst/>
        </a:prstGeom>
        <a:solidFill>
          <a:srgbClr val="FF66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22680" rIns="27360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sélection vét mai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mai
</a:t>
          </a:r>
        </a:p>
      </xdr:txBody>
    </xdr:sp>
    <xdr:clientData/>
  </xdr:twoCellAnchor>
  <xdr:twoCellAnchor>
    <xdr:from>
      <xdr:col>8</xdr:col>
      <xdr:colOff>76200</xdr:colOff>
      <xdr:row>0</xdr:row>
      <xdr:rowOff>19050</xdr:rowOff>
    </xdr:from>
    <xdr:to>
      <xdr:col>9</xdr:col>
      <xdr:colOff>666750</xdr:colOff>
      <xdr:row>0</xdr:row>
      <xdr:rowOff>190500</xdr:rowOff>
    </xdr:to>
    <xdr:sp macro="[0]!Module1.sélection_concours_18_09" fLocksText="0">
      <xdr:nvSpPr>
        <xdr:cNvPr id="4" name="Text Box 9"/>
        <xdr:cNvSpPr txBox="1">
          <a:spLocks noChangeArrowheads="1"/>
        </xdr:cNvSpPr>
      </xdr:nvSpPr>
      <xdr:spPr>
        <a:xfrm>
          <a:off x="6038850" y="19050"/>
          <a:ext cx="1200150" cy="171450"/>
        </a:xfrm>
        <a:prstGeom prst="rect">
          <a:avLst/>
        </a:prstGeom>
        <a:solidFill>
          <a:srgbClr val="FF66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22680" rIns="27360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sélection Dép sept
</a:t>
          </a:r>
        </a:p>
      </xdr:txBody>
    </xdr:sp>
    <xdr:clientData/>
  </xdr:twoCellAnchor>
  <xdr:twoCellAnchor>
    <xdr:from>
      <xdr:col>10</xdr:col>
      <xdr:colOff>66675</xdr:colOff>
      <xdr:row>0</xdr:row>
      <xdr:rowOff>28575</xdr:rowOff>
    </xdr:from>
    <xdr:to>
      <xdr:col>12</xdr:col>
      <xdr:colOff>0</xdr:colOff>
      <xdr:row>0</xdr:row>
      <xdr:rowOff>200025</xdr:rowOff>
    </xdr:to>
    <xdr:sp macro="[0]!Module1.sélection_concours_29_09" fLocksText="0">
      <xdr:nvSpPr>
        <xdr:cNvPr id="5" name="Text Box 10"/>
        <xdr:cNvSpPr txBox="1">
          <a:spLocks noChangeArrowheads="1"/>
        </xdr:cNvSpPr>
      </xdr:nvSpPr>
      <xdr:spPr>
        <a:xfrm>
          <a:off x="7477125" y="28575"/>
          <a:ext cx="1381125" cy="171450"/>
        </a:xfrm>
        <a:prstGeom prst="rect">
          <a:avLst/>
        </a:prstGeom>
        <a:solidFill>
          <a:srgbClr val="FF66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22680" rIns="27360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sélection 29 septembre
</a:t>
          </a:r>
        </a:p>
      </xdr:txBody>
    </xdr:sp>
    <xdr:clientData/>
  </xdr:twoCellAnchor>
  <xdr:twoCellAnchor>
    <xdr:from>
      <xdr:col>1</xdr:col>
      <xdr:colOff>28575</xdr:colOff>
      <xdr:row>0</xdr:row>
      <xdr:rowOff>19050</xdr:rowOff>
    </xdr:from>
    <xdr:to>
      <xdr:col>1</xdr:col>
      <xdr:colOff>1047750</xdr:colOff>
      <xdr:row>0</xdr:row>
      <xdr:rowOff>180975</xdr:rowOff>
    </xdr:to>
    <xdr:sp macro="[0]!Module1.sélection_édition_AG" fLocksText="0">
      <xdr:nvSpPr>
        <xdr:cNvPr id="6" name="Text Box 28"/>
        <xdr:cNvSpPr txBox="1">
          <a:spLocks noChangeArrowheads="1"/>
        </xdr:cNvSpPr>
      </xdr:nvSpPr>
      <xdr:spPr>
        <a:xfrm>
          <a:off x="219075" y="19050"/>
          <a:ext cx="1019175" cy="161925"/>
        </a:xfrm>
        <a:prstGeom prst="rect">
          <a:avLst/>
        </a:prstGeom>
        <a:solidFill>
          <a:srgbClr val="FF66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22680" rIns="27360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sélection AG belote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rc\Documents\NOTRE%20MAISON\MARC\PETANQUE\COMPTABILITE\Documents%20and%20Settings\jean%20yves\Documents%20de%20jean%20yves\P&#233;tanque\p&#233;tanque\archives%20p&#233;tanque\Compte%202009%20par%20JLP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rc\Documents\NOTRE%20MAISON\MARC\PETANQUE\COMPTABILITE\Documents%20and%20Settings\jean%20yves\Documents%20de%20jean%20yves\P&#233;tanque\Mes%20comptes\comptes%20bancai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rc\Documents\NOTRE%20MAISON\MARC\PETANQUE\COMPTABILITE\Documents%20and%20Settings\jean%20yves\Documents%20de%20jean%20yves\Comptes%20P&#233;tanque%20201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rc\Documents\NOTRE%20MAISON\MARC\PETANQUE\COMPTABILITE\Documents%20and%20Settings\jean%20yves\Documents%20de%20jean%20yves\P&#233;tanque\archives%20p&#233;tanque\Compte%202009%20par%20JLP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rc\Documents\NOTRE%20MAISON\MARC\PETANQUE\COMPTABILITE\Documents%20and%20Settings\jean%20yves\Documents%20de%20jean%20yves\Mes%20comptes\comptes%20bancaires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rc\Documents\NOTRE%20MAISON\MARC\PETANQUE\COMPTABILITE\fichier%20P&#233;tanque%202019-10-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mpte 2009 par JLP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roupama"/>
      <sheetName val="Crédit mutuel"/>
      <sheetName val="Crédit agricole"/>
      <sheetName val="Récap comptes"/>
      <sheetName val="Voiture"/>
      <sheetName val="Vacances"/>
      <sheetName val="Epargne"/>
      <sheetName val="Ass Vie Michèle"/>
      <sheetName val="Sora perf"/>
      <sheetName val="CEL"/>
      <sheetName val="livret CA"/>
      <sheetName val="GPL"/>
      <sheetName val="code accès"/>
      <sheetName val="taxe foncière"/>
      <sheetName val="Assurances"/>
      <sheetName val="évol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mpte de résultat"/>
      <sheetName val="compta cahier"/>
      <sheetName val="espèces"/>
      <sheetName val="compte bancaire"/>
      <sheetName val="marchandises"/>
      <sheetName val="Achats &amp; investissements"/>
      <sheetName val="Principales dates"/>
      <sheetName val="adhérents"/>
      <sheetName val="cotisations"/>
      <sheetName val="prépa concours"/>
      <sheetName val="résultat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ompte 2009 par JLP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roupama"/>
      <sheetName val="Crédit mutuel"/>
      <sheetName val="Crédit agricole"/>
      <sheetName val="Récap comptes"/>
      <sheetName val="Voiture"/>
      <sheetName val="Vacances"/>
      <sheetName val="Epargne"/>
      <sheetName val="Ass Vie Michèle"/>
      <sheetName val="Sora perf"/>
      <sheetName val="CEL"/>
      <sheetName val="livret CA"/>
      <sheetName val="GPL"/>
      <sheetName val="code accès"/>
      <sheetName val="taxe foncière"/>
      <sheetName val="Assurances"/>
      <sheetName val="évol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 résultat"/>
      <sheetName val="espèces"/>
      <sheetName val="banque"/>
      <sheetName val="livret"/>
      <sheetName val="critères"/>
      <sheetName val="marchandises"/>
      <sheetName val="vêtements"/>
      <sheetName val="cotisations"/>
      <sheetName val="suivi avance du club"/>
      <sheetName val="calcul du bénef"/>
    </sheetNames>
  </externalBook>
</externalLink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5:I138" sheet="banque"/>
  </cacheSource>
  <cacheFields count="11">
    <cacheField name="date">
      <sharedItems containsSemiMixedTypes="0" containsNonDate="0" containsDate="1" containsString="0" containsMixedTypes="0" count="54">
        <d v="2019-10-25T00:00:00.000"/>
        <d v="2019-10-23T00:00:00.000"/>
        <d v="2019-11-06T00:00:00.000"/>
        <d v="2019-11-07T00:00:00.000"/>
        <d v="2019-11-10T00:00:00.000"/>
        <d v="2019-11-11T00:00:00.000"/>
        <d v="2019-11-15T00:00:00.000"/>
        <d v="2019-11-20T00:00:00.000"/>
        <d v="2019-11-21T00:00:00.000"/>
        <d v="2019-11-26T00:00:00.000"/>
        <d v="2019-12-07T00:00:00.000"/>
        <d v="2019-12-09T00:00:00.000"/>
        <d v="2019-12-16T00:00:00.000"/>
        <d v="2019-12-18T00:00:00.000"/>
        <d v="2019-12-19T00:00:00.000"/>
        <d v="2019-12-22T00:00:00.000"/>
        <d v="2019-12-23T00:00:00.000"/>
        <d v="2019-12-24T00:00:00.000"/>
        <d v="2019-12-27T00:00:00.000"/>
        <d v="2020-01-04T00:00:00.000"/>
        <d v="2020-01-07T00:00:00.000"/>
        <d v="2020-01-09T00:00:00.000"/>
        <d v="2020-01-20T00:00:00.000"/>
        <d v="2020-01-21T00:00:00.000"/>
        <d v="2020-01-18T00:00:00.000"/>
        <d v="2020-01-13T00:00:00.000"/>
        <d v="2020-01-10T00:00:00.000"/>
        <d v="2020-01-23T00:00:00.000"/>
        <d v="2020-01-25T00:00:00.000"/>
        <d v="2020-01-27T00:00:00.000"/>
        <d v="2020-01-24T00:00:00.000"/>
        <d v="2020-01-31T00:00:00.000"/>
        <d v="2020-02-01T00:00:00.000"/>
        <d v="2020-01-01T00:00:00.000"/>
        <d v="2020-01-03T00:00:00.000"/>
        <d v="2020-02-02T00:00:00.000"/>
        <d v="2020-02-04T00:00:00.000"/>
        <d v="2020-02-05T00:00:00.000"/>
        <d v="2020-02-11T00:00:00.000"/>
        <d v="2020-02-20T00:00:00.000"/>
        <d v="2020-03-05T00:00:00.000"/>
        <d v="2020-03-07T00:00:00.000"/>
        <d v="2020-02-19T00:00:00.000"/>
        <d v="2020-03-08T00:00:00.000"/>
        <d v="2020-02-13T00:00:00.000"/>
        <d v="2020-02-21T00:00:00.000"/>
        <d v="2020-03-10T00:00:00.000"/>
        <d v="2020-03-01T00:00:00.000"/>
        <d v="2020-03-13T00:00:00.000"/>
        <d v="2020-03-17T00:00:00.000"/>
        <d v="2020-05-06T00:00:00.000"/>
        <d v="2020-04-21T00:00:00.000"/>
        <d v="2020-04-28T00:00:00.000"/>
        <d v="2020-05-12T00:00:00.000"/>
      </sharedItems>
      <fieldGroup par="10" base="0">
        <rangePr groupBy="months" autoEnd="1" autoStart="1" startDate="2019-10-23T00:00:00.000" endDate="2020-07-01T00:00:00.000"/>
        <groupItems count="18">
          <s v="(vide)"/>
          <s v="janv"/>
          <s v="févr"/>
          <s v="mars"/>
          <s v="avr"/>
          <s v="mai"/>
          <s v="juin"/>
          <s v="juil"/>
          <s v="août"/>
          <s v="sept"/>
          <s v="oct"/>
          <s v="nov"/>
          <s v="déc"/>
          <s v="&gt;01/07/2020"/>
          <m/>
          <d v="2020-06-04T00:00:00.000"/>
          <d v="2020-06-05T00:00:00.000"/>
          <d v="2020-06-30T00:00:00.000"/>
        </groupItems>
      </fieldGroup>
    </cacheField>
    <cacheField name="ordre">
      <sharedItems containsMixedTypes="0"/>
    </cacheField>
    <cacheField name="libell?">
      <sharedItems containsBlank="1" containsMixedTypes="0" count="19">
        <m/>
        <s v="autres dépenses"/>
        <s v="concours extérieurs"/>
        <s v="vêtements"/>
        <s v="concours interne "/>
        <s v="affiliation"/>
        <s v="dépots/retraits"/>
        <s v="licences"/>
        <s v="sponsors"/>
        <s v="assurance"/>
        <s v="secrétariat"/>
        <s v="belote"/>
        <s v="calendriers comité"/>
        <s v="adhésions loisirs"/>
        <s v="transfert compte à compte"/>
        <s v="autres recettes"/>
        <s v="DXXX"/>
        <s v="frais de banque"/>
        <s v="concours vétérans mars"/>
      </sharedItems>
    </cacheField>
    <cacheField name="pointage">
      <sharedItems containsDate="1" containsMixedTypes="1"/>
    </cacheField>
    <cacheField name="d?bit">
      <sharedItems containsMixedTypes="1" containsNumber="1"/>
    </cacheField>
    <cacheField name="cr?dit">
      <sharedItems containsMixedTypes="1" containsNumber="1"/>
    </cacheField>
    <cacheField name="solde">
      <sharedItems containsMixedTypes="1" containsNumber="1"/>
    </cacheField>
    <cacheField name="pay? banque">
      <sharedItems containsMixedTypes="1" containsNumber="1" containsInteger="1"/>
    </cacheField>
    <cacheField name="banque">
      <sharedItems containsMixedTypes="1" containsNumber="1"/>
    </cacheField>
    <cacheField name="Trimestres">
      <sharedItems containsString="0" containsMixedTypes="1" count="0"/>
      <fieldGroup base="0">
        <rangePr groupBy="quarters" autoEnd="1" autoStart="1" startDate="2019-10-23T00:00:00.000" endDate="2020-07-01T00:00:00.000"/>
        <groupItems count="6">
          <s v="&lt;23/10/2019"/>
          <s v="Trimestre1"/>
          <s v="Trimestre2"/>
          <s v="Trimestre3"/>
          <s v="Trimestre4"/>
          <s v="&gt;01/07/2020"/>
        </groupItems>
      </fieldGroup>
    </cacheField>
    <cacheField name="Ann?es">
      <sharedItems containsString="0" containsMixedTypes="1" count="0"/>
      <fieldGroup base="0">
        <rangePr groupBy="years" autoEnd="1" autoStart="1" startDate="2019-10-23T00:00:00.000" endDate="2020-07-01T00:00:00.000"/>
        <groupItems count="4">
          <s v="&lt;23/10/2019"/>
          <s v="2019"/>
          <s v="2020"/>
          <s v="&gt;01/07/2020"/>
        </groupItems>
      </fieldGroup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eau croisé dynamique2" cacheId="1" applyNumberFormats="0" applyBorderFormats="0" applyFontFormats="0" applyPatternFormats="0" applyAlignmentFormats="0" applyWidthHeightFormats="0" dataCaption="Donn?es" showMissing="1" preserveFormatting="1" useAutoFormatting="1" itemPrintTitles="1" compactData="0" updatedVersion="2" indent="0" showMemberPropertyTips="1">
  <location ref="A3:F56" firstHeaderRow="1" firstDataRow="2" firstDataCol="3"/>
  <pivotFields count="11">
    <pivotField axis="axisRow" compact="0" outline="0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compact="0" outline="0" showAll="0"/>
    <pivotField axis="axisRow" compact="0" outline="0" showAll="0" defaultSubtotal="0">
      <items count="19">
        <item x="13"/>
        <item x="5"/>
        <item x="9"/>
        <item x="1"/>
        <item x="15"/>
        <item x="11"/>
        <item x="12"/>
        <item x="2"/>
        <item x="4"/>
        <item x="18"/>
        <item x="6"/>
        <item x="16"/>
        <item x="17"/>
        <item x="7"/>
        <item x="10"/>
        <item x="8"/>
        <item x="14"/>
        <item x="3"/>
        <item x="0"/>
      </items>
    </pivotField>
    <pivotField compact="0" outline="0" showAll="0"/>
    <pivotField dataField="1" compact="0" outline="0" showAll="0"/>
    <pivotField dataField="1" compact="0" outline="0" showAll="0"/>
    <pivotField dataField="1" compact="0" outline="0" showAll="0"/>
    <pivotField compact="0" outline="0" showAll="0"/>
    <pivotField compact="0" outline="0" showAll="0"/>
    <pivotField compact="0" outline="0" showAll="0" defaultSubtotal="0"/>
    <pivotField axis="axisRow" compact="0" outline="0" showAll="0" defaultSubtotal="0">
      <items count="4">
        <item sd="0" x="0"/>
        <item x="1"/>
        <item x="2"/>
        <item sd="0" x="3"/>
      </items>
    </pivotField>
  </pivotFields>
  <rowFields count="3">
    <field x="10"/>
    <field x="2"/>
    <field x="0"/>
  </rowFields>
  <rowItems count="52">
    <i>
      <x/>
    </i>
    <i>
      <x v="1"/>
      <x v="1"/>
      <x v="11"/>
    </i>
    <i r="1">
      <x v="2"/>
      <x v="12"/>
    </i>
    <i r="1">
      <x v="3"/>
      <x v="10"/>
    </i>
    <i r="1">
      <x v="5"/>
      <x v="12"/>
    </i>
    <i r="1">
      <x v="6"/>
      <x v="12"/>
    </i>
    <i r="1">
      <x v="7"/>
      <x v="10"/>
    </i>
    <i r="2">
      <x v="11"/>
    </i>
    <i r="2">
      <x v="12"/>
    </i>
    <i r="1">
      <x v="8"/>
      <x v="11"/>
    </i>
    <i r="1">
      <x v="10"/>
      <x v="11"/>
    </i>
    <i r="1">
      <x v="13"/>
      <x v="12"/>
    </i>
    <i r="1">
      <x v="14"/>
      <x v="12"/>
    </i>
    <i r="1">
      <x v="15"/>
      <x v="12"/>
    </i>
    <i r="1">
      <x v="17"/>
      <x v="11"/>
    </i>
    <i r="1">
      <x v="18"/>
      <x v="10"/>
    </i>
    <i>
      <x v="2"/>
      <x/>
      <x v="1"/>
    </i>
    <i r="2">
      <x v="2"/>
    </i>
    <i r="1">
      <x v="3"/>
      <x v="1"/>
    </i>
    <i r="2">
      <x v="4"/>
    </i>
    <i r="2">
      <x v="5"/>
    </i>
    <i r="1">
      <x v="4"/>
      <x v="1"/>
    </i>
    <i r="2">
      <x v="2"/>
    </i>
    <i r="2">
      <x v="5"/>
    </i>
    <i r="2">
      <x v="6"/>
    </i>
    <i r="1">
      <x v="5"/>
      <x v="1"/>
    </i>
    <i r="1">
      <x v="6"/>
      <x v="2"/>
    </i>
    <i r="1">
      <x v="7"/>
      <x v="1"/>
    </i>
    <i r="2">
      <x v="2"/>
    </i>
    <i r="2">
      <x v="3"/>
    </i>
    <i r="2">
      <x v="5"/>
    </i>
    <i r="1">
      <x v="9"/>
      <x v="3"/>
    </i>
    <i r="1">
      <x v="10"/>
      <x v="1"/>
    </i>
    <i r="2">
      <x v="3"/>
    </i>
    <i r="2">
      <x v="6"/>
    </i>
    <i r="1">
      <x v="11"/>
      <x v="2"/>
    </i>
    <i r="1">
      <x v="12"/>
      <x v="2"/>
    </i>
    <i r="2">
      <x v="3"/>
    </i>
    <i r="1">
      <x v="13"/>
      <x v="1"/>
    </i>
    <i r="2">
      <x v="2"/>
    </i>
    <i r="2">
      <x v="6"/>
    </i>
    <i r="1">
      <x v="15"/>
      <x v="1"/>
    </i>
    <i r="2">
      <x v="2"/>
    </i>
    <i r="2">
      <x v="3"/>
    </i>
    <i r="2">
      <x v="6"/>
    </i>
    <i r="1">
      <x v="16"/>
      <x v="1"/>
    </i>
    <i r="2">
      <x v="4"/>
    </i>
    <i r="1">
      <x v="17"/>
      <x v="1"/>
    </i>
    <i r="2">
      <x v="2"/>
    </i>
    <i r="2">
      <x v="3"/>
    </i>
    <i r="2">
      <x v="6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 d?bit" fld="4" baseField="0" baseItem="0"/>
    <dataField name=" cr?dit" fld="5" baseField="0" baseItem="0"/>
    <dataField name=" solde" fld="6" baseField="2" baseItem="3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3">
    <tabColor indexed="10"/>
  </sheetPr>
  <dimension ref="A1:S153"/>
  <sheetViews>
    <sheetView zoomScale="140" zoomScaleNormal="140" zoomScalePageLayoutView="0" workbookViewId="0" topLeftCell="A16">
      <selection activeCell="E12" sqref="E12"/>
    </sheetView>
  </sheetViews>
  <sheetFormatPr defaultColWidth="11.140625" defaultRowHeight="12"/>
  <cols>
    <col min="1" max="1" width="6.57421875" style="0" customWidth="1"/>
    <col min="2" max="2" width="1.57421875" style="0" customWidth="1"/>
    <col min="3" max="3" width="6.421875" style="0" customWidth="1"/>
    <col min="4" max="4" width="25.421875" style="0" customWidth="1"/>
    <col min="5" max="6" width="9.140625" style="0" customWidth="1"/>
    <col min="7" max="8" width="1.421875" style="0" customWidth="1"/>
    <col min="9" max="9" width="6.421875" style="0" customWidth="1"/>
    <col min="10" max="10" width="25.421875" style="0" customWidth="1"/>
    <col min="11" max="12" width="9.140625" style="0" customWidth="1"/>
    <col min="13" max="13" width="1.57421875" style="0" customWidth="1"/>
    <col min="14" max="14" width="11.140625" style="0" customWidth="1"/>
    <col min="15" max="15" width="8.140625" style="0" customWidth="1"/>
    <col min="16" max="16" width="10.421875" style="0" customWidth="1"/>
    <col min="17" max="19" width="8.140625" style="0" customWidth="1"/>
  </cols>
  <sheetData>
    <row r="1" ht="12">
      <c r="L1" s="1"/>
    </row>
    <row r="2" spans="3:12" ht="12">
      <c r="C2" s="2"/>
      <c r="D2" s="3"/>
      <c r="K2" s="2"/>
      <c r="L2" s="3"/>
    </row>
    <row r="3" spans="2:13" ht="17.25" customHeight="1">
      <c r="B3" s="4"/>
      <c r="C3" s="5"/>
      <c r="D3" s="6"/>
      <c r="E3" s="7"/>
      <c r="F3" s="7"/>
      <c r="G3" s="7"/>
      <c r="H3" s="7"/>
      <c r="I3" s="7"/>
      <c r="J3" s="7"/>
      <c r="K3" s="7"/>
      <c r="L3" s="8"/>
      <c r="M3" s="9"/>
    </row>
    <row r="4" spans="2:13" ht="15.75">
      <c r="B4" s="10"/>
      <c r="C4" s="407" t="s">
        <v>0</v>
      </c>
      <c r="D4" s="407"/>
      <c r="E4" s="407"/>
      <c r="F4" s="407"/>
      <c r="G4" s="407"/>
      <c r="H4" s="407"/>
      <c r="I4" s="407"/>
      <c r="J4" s="407"/>
      <c r="K4" s="407"/>
      <c r="L4" s="407"/>
      <c r="M4" s="11"/>
    </row>
    <row r="5" spans="2:13" ht="33.75">
      <c r="B5" s="10"/>
      <c r="C5" s="408" t="s">
        <v>1</v>
      </c>
      <c r="D5" s="408"/>
      <c r="E5" s="408"/>
      <c r="F5" s="408"/>
      <c r="G5" s="408"/>
      <c r="H5" s="408"/>
      <c r="I5" s="408"/>
      <c r="J5" s="408"/>
      <c r="K5" s="408"/>
      <c r="L5" s="408"/>
      <c r="M5" s="11"/>
    </row>
    <row r="6" spans="2:13" ht="6.75" customHeight="1">
      <c r="B6" s="12"/>
      <c r="C6" s="13"/>
      <c r="D6" s="13"/>
      <c r="E6" s="13"/>
      <c r="F6" s="13"/>
      <c r="G6" s="13"/>
      <c r="H6" s="13"/>
      <c r="I6" s="13"/>
      <c r="J6" s="13"/>
      <c r="K6" s="13"/>
      <c r="L6" s="13"/>
      <c r="M6" s="14"/>
    </row>
    <row r="7" spans="2:13" ht="12">
      <c r="B7" s="10"/>
      <c r="C7" s="15"/>
      <c r="D7" s="15"/>
      <c r="E7" s="15"/>
      <c r="F7" s="15"/>
      <c r="G7" s="16"/>
      <c r="H7" s="17"/>
      <c r="I7" s="15"/>
      <c r="J7" s="15"/>
      <c r="K7" s="15"/>
      <c r="L7" s="15"/>
      <c r="M7" s="11"/>
    </row>
    <row r="8" spans="2:13" ht="12">
      <c r="B8" s="10"/>
      <c r="C8" s="409" t="s">
        <v>2</v>
      </c>
      <c r="D8" s="409"/>
      <c r="E8" s="409"/>
      <c r="F8" s="409"/>
      <c r="G8" s="19"/>
      <c r="H8" s="20"/>
      <c r="I8" s="409" t="s">
        <v>3</v>
      </c>
      <c r="J8" s="409"/>
      <c r="K8" s="409"/>
      <c r="L8" s="409"/>
      <c r="M8" s="11"/>
    </row>
    <row r="9" spans="2:13" ht="12">
      <c r="B9" s="10"/>
      <c r="C9" s="18"/>
      <c r="D9" s="18"/>
      <c r="E9" s="18"/>
      <c r="F9" s="18"/>
      <c r="G9" s="19"/>
      <c r="H9" s="20"/>
      <c r="I9" s="18"/>
      <c r="J9" s="18"/>
      <c r="K9" s="18"/>
      <c r="L9" s="18"/>
      <c r="M9" s="11"/>
    </row>
    <row r="10" spans="2:13" ht="12">
      <c r="B10" s="10"/>
      <c r="C10" s="21" t="s">
        <v>4</v>
      </c>
      <c r="D10" s="15"/>
      <c r="E10" s="15"/>
      <c r="F10" s="22">
        <f>SUM(E12:E14)</f>
        <v>2192</v>
      </c>
      <c r="G10" s="23"/>
      <c r="H10" s="17"/>
      <c r="I10" s="21" t="s">
        <v>5</v>
      </c>
      <c r="J10" s="15"/>
      <c r="K10" s="15"/>
      <c r="L10" s="22">
        <f>SUM(K12:K14)</f>
        <v>2489</v>
      </c>
      <c r="M10" s="11"/>
    </row>
    <row r="11" spans="2:13" ht="12">
      <c r="B11" s="10"/>
      <c r="C11" s="21"/>
      <c r="F11" s="15"/>
      <c r="G11" s="16"/>
      <c r="H11" s="17"/>
      <c r="I11" s="21"/>
      <c r="J11" s="15"/>
      <c r="K11" s="15"/>
      <c r="L11" s="15"/>
      <c r="M11" s="11"/>
    </row>
    <row r="12" spans="2:13" ht="12">
      <c r="B12" s="10"/>
      <c r="C12" s="21"/>
      <c r="D12" s="15" t="s">
        <v>6</v>
      </c>
      <c r="E12" s="22">
        <f>+critères!J12+critères!J21</f>
        <v>2092</v>
      </c>
      <c r="F12" s="22"/>
      <c r="G12" s="23"/>
      <c r="H12" s="17"/>
      <c r="I12" s="21"/>
      <c r="J12" s="15" t="s">
        <v>7</v>
      </c>
      <c r="K12" s="24">
        <f>critères!J11</f>
        <v>2345</v>
      </c>
      <c r="L12" s="15"/>
      <c r="M12" s="11"/>
    </row>
    <row r="13" spans="2:15" ht="12">
      <c r="B13" s="10"/>
      <c r="C13" s="21"/>
      <c r="D13" s="15" t="s">
        <v>8</v>
      </c>
      <c r="E13" s="22">
        <f>critères!J9</f>
        <v>100</v>
      </c>
      <c r="F13" s="22"/>
      <c r="G13" s="23"/>
      <c r="H13" s="17"/>
      <c r="I13" s="21"/>
      <c r="J13" t="s">
        <v>9</v>
      </c>
      <c r="K13" s="25">
        <f>+critères!J53</f>
        <v>144</v>
      </c>
      <c r="L13" s="15"/>
      <c r="M13" s="11"/>
      <c r="O13" s="26"/>
    </row>
    <row r="14" spans="2:13" ht="12">
      <c r="B14" s="10"/>
      <c r="C14" s="21"/>
      <c r="D14" s="15" t="s">
        <v>10</v>
      </c>
      <c r="E14" s="22">
        <f>critères!J18</f>
        <v>0</v>
      </c>
      <c r="F14" s="15"/>
      <c r="G14" s="16"/>
      <c r="H14" s="17"/>
      <c r="I14" s="21"/>
      <c r="L14" s="15"/>
      <c r="M14" s="11"/>
    </row>
    <row r="15" spans="2:13" ht="12">
      <c r="B15" s="10"/>
      <c r="C15" s="15"/>
      <c r="F15" s="15"/>
      <c r="G15" s="16"/>
      <c r="H15" s="17"/>
      <c r="I15" s="15"/>
      <c r="J15" s="15"/>
      <c r="K15" s="15"/>
      <c r="L15" s="15"/>
      <c r="M15" s="11"/>
    </row>
    <row r="16" spans="2:13" ht="12">
      <c r="B16" s="10"/>
      <c r="C16" s="21"/>
      <c r="D16" s="15"/>
      <c r="E16" s="15"/>
      <c r="F16" s="22"/>
      <c r="G16" s="23"/>
      <c r="H16" s="17"/>
      <c r="I16" s="21" t="s">
        <v>11</v>
      </c>
      <c r="J16" s="15"/>
      <c r="K16" s="15"/>
      <c r="L16" s="22">
        <f>SUM(K18:K19)</f>
        <v>0</v>
      </c>
      <c r="M16" s="11"/>
    </row>
    <row r="17" spans="2:13" ht="12">
      <c r="B17" s="10"/>
      <c r="C17" s="15"/>
      <c r="D17" s="15"/>
      <c r="E17" s="15"/>
      <c r="F17" s="15"/>
      <c r="G17" s="16"/>
      <c r="H17" s="17"/>
      <c r="I17" s="21"/>
      <c r="J17" s="15"/>
      <c r="K17" s="15"/>
      <c r="L17" s="22"/>
      <c r="M17" s="11"/>
    </row>
    <row r="18" spans="2:13" ht="12">
      <c r="B18" s="10"/>
      <c r="C18" s="15"/>
      <c r="D18" s="15"/>
      <c r="E18" s="22"/>
      <c r="F18" s="15"/>
      <c r="G18" s="16"/>
      <c r="H18" s="17"/>
      <c r="I18" s="15"/>
      <c r="J18" s="15" t="s">
        <v>12</v>
      </c>
      <c r="K18" s="22">
        <f>critères!J37</f>
        <v>0</v>
      </c>
      <c r="L18" s="15"/>
      <c r="M18" s="11"/>
    </row>
    <row r="19" spans="2:13" ht="12">
      <c r="B19" s="10"/>
      <c r="C19" s="21"/>
      <c r="D19" s="15"/>
      <c r="E19" s="22"/>
      <c r="F19" s="22"/>
      <c r="G19" s="23"/>
      <c r="H19" s="17"/>
      <c r="I19" s="15"/>
      <c r="J19" s="15" t="s">
        <v>13</v>
      </c>
      <c r="K19" s="24">
        <f>critères!J40</f>
        <v>0</v>
      </c>
      <c r="L19" s="15"/>
      <c r="M19" s="11"/>
    </row>
    <row r="20" spans="2:13" ht="12">
      <c r="B20" s="10"/>
      <c r="G20" s="16"/>
      <c r="H20" s="17"/>
      <c r="I20" s="15"/>
      <c r="J20" s="15"/>
      <c r="K20" s="27"/>
      <c r="L20" s="15"/>
      <c r="M20" s="11"/>
    </row>
    <row r="21" spans="2:13" ht="12">
      <c r="B21" s="10"/>
      <c r="C21" s="21" t="s">
        <v>14</v>
      </c>
      <c r="D21" s="15"/>
      <c r="E21" s="22"/>
      <c r="F21" s="22">
        <f>+E23</f>
        <v>0</v>
      </c>
      <c r="G21" s="23"/>
      <c r="H21" s="17"/>
      <c r="I21" s="21"/>
      <c r="J21" s="28" t="s">
        <v>15</v>
      </c>
      <c r="K21" s="29"/>
      <c r="L21" s="22">
        <f>+K23</f>
        <v>900</v>
      </c>
      <c r="M21" s="11"/>
    </row>
    <row r="22" spans="2:13" ht="12">
      <c r="B22" s="10"/>
      <c r="C22" s="15"/>
      <c r="D22" s="15"/>
      <c r="E22" s="15"/>
      <c r="F22" s="15"/>
      <c r="G22" s="16"/>
      <c r="H22" s="17"/>
      <c r="I22" s="15"/>
      <c r="J22" s="15"/>
      <c r="K22" s="27"/>
      <c r="L22" s="15"/>
      <c r="M22" s="11"/>
    </row>
    <row r="23" spans="2:13" ht="12">
      <c r="B23" s="10"/>
      <c r="C23" s="30"/>
      <c r="D23" s="28" t="s">
        <v>16</v>
      </c>
      <c r="E23" s="31">
        <f>critères!J51</f>
        <v>0</v>
      </c>
      <c r="F23" s="22"/>
      <c r="G23" s="16"/>
      <c r="H23" s="17"/>
      <c r="I23" s="30"/>
      <c r="K23" s="24">
        <f>+critères!J50</f>
        <v>900</v>
      </c>
      <c r="L23" s="22"/>
      <c r="M23" s="11"/>
    </row>
    <row r="24" spans="2:13" ht="12">
      <c r="B24" s="10"/>
      <c r="C24" s="15"/>
      <c r="D24" s="15"/>
      <c r="E24" s="15"/>
      <c r="F24" s="15"/>
      <c r="G24" s="16"/>
      <c r="H24" s="17"/>
      <c r="L24" s="22"/>
      <c r="M24" s="11"/>
    </row>
    <row r="25" spans="2:13" ht="12">
      <c r="B25" s="10"/>
      <c r="G25" s="23"/>
      <c r="H25" s="17"/>
      <c r="I25" s="410" t="s">
        <v>17</v>
      </c>
      <c r="J25" s="410"/>
      <c r="K25" s="410"/>
      <c r="L25" s="410"/>
      <c r="M25" s="11"/>
    </row>
    <row r="26" spans="2:13" ht="12">
      <c r="B26" s="10"/>
      <c r="G26" s="16"/>
      <c r="H26" s="17"/>
      <c r="M26" s="11"/>
    </row>
    <row r="27" spans="2:13" ht="12">
      <c r="B27" s="10"/>
      <c r="C27" s="21" t="s">
        <v>18</v>
      </c>
      <c r="D27" s="15"/>
      <c r="E27" s="15"/>
      <c r="F27" s="22">
        <f>SUM(E29:E34)</f>
        <v>1218.96</v>
      </c>
      <c r="G27" s="16"/>
      <c r="H27" s="17"/>
      <c r="I27" s="21" t="s">
        <v>19</v>
      </c>
      <c r="J27" s="15"/>
      <c r="K27" s="15"/>
      <c r="L27" s="22">
        <f>SUM(K29:K34)</f>
        <v>2922.16</v>
      </c>
      <c r="M27" s="11"/>
    </row>
    <row r="28" spans="2:15" ht="12">
      <c r="B28" s="10"/>
      <c r="C28" s="15"/>
      <c r="D28" s="15"/>
      <c r="E28" s="15"/>
      <c r="F28" s="15"/>
      <c r="G28" s="16"/>
      <c r="H28" s="17"/>
      <c r="I28" s="15"/>
      <c r="J28" s="15"/>
      <c r="K28" s="15"/>
      <c r="L28" s="15"/>
      <c r="M28" s="11"/>
      <c r="O28" s="26"/>
    </row>
    <row r="29" spans="2:13" ht="12">
      <c r="B29" s="10"/>
      <c r="C29" s="15"/>
      <c r="D29" s="15" t="str">
        <f>critères!B29</f>
        <v>belote</v>
      </c>
      <c r="E29" s="22">
        <f>+critères!J78</f>
        <v>1128.66</v>
      </c>
      <c r="F29" s="15"/>
      <c r="G29" s="16"/>
      <c r="H29" s="17"/>
      <c r="I29" s="15"/>
      <c r="J29" s="15" t="str">
        <f>critères!B29</f>
        <v>belote</v>
      </c>
      <c r="K29" s="24">
        <f>+critères!J77</f>
        <v>2835.9</v>
      </c>
      <c r="L29" s="15"/>
      <c r="M29" s="11"/>
    </row>
    <row r="30" spans="2:13" ht="12">
      <c r="B30" s="10"/>
      <c r="C30" s="15"/>
      <c r="D30" s="15" t="str">
        <f>critères!B30</f>
        <v>concours vétérans mars</v>
      </c>
      <c r="E30" s="22">
        <f>+critères!J81</f>
        <v>40.04</v>
      </c>
      <c r="F30" s="15"/>
      <c r="G30" s="16"/>
      <c r="H30" s="17"/>
      <c r="I30" s="15"/>
      <c r="J30" s="15" t="str">
        <f>critères!B30</f>
        <v>concours vétérans mars</v>
      </c>
      <c r="K30" s="24">
        <f>+critères!J80</f>
        <v>0</v>
      </c>
      <c r="L30" s="15"/>
      <c r="M30" s="11"/>
    </row>
    <row r="31" spans="2:13" ht="12">
      <c r="B31" s="10"/>
      <c r="C31" s="15"/>
      <c r="D31" s="15" t="str">
        <f>critères!B31</f>
        <v>coupe de m&amp;l 55 ans</v>
      </c>
      <c r="E31" s="22">
        <f>+critères!J84</f>
        <v>0</v>
      </c>
      <c r="F31" s="15"/>
      <c r="G31" s="16"/>
      <c r="H31" s="17"/>
      <c r="I31" s="15"/>
      <c r="J31" s="15" t="str">
        <f>critères!B31</f>
        <v>coupe de m&amp;l 55 ans</v>
      </c>
      <c r="K31" s="24">
        <f>+critères!J83</f>
        <v>0</v>
      </c>
      <c r="L31" s="15"/>
      <c r="M31" s="11"/>
    </row>
    <row r="32" spans="2:13" ht="12">
      <c r="B32" s="10"/>
      <c r="C32" s="15"/>
      <c r="D32" s="15" t="s">
        <v>20</v>
      </c>
      <c r="E32" s="22">
        <f>critères!J75</f>
        <v>50.26</v>
      </c>
      <c r="F32" s="15"/>
      <c r="G32" s="16"/>
      <c r="H32" s="17"/>
      <c r="I32" s="15"/>
      <c r="J32" s="15" t="s">
        <v>20</v>
      </c>
      <c r="K32" s="24">
        <f>critères!J74</f>
        <v>86.25999999999999</v>
      </c>
      <c r="L32" s="15"/>
      <c r="M32" s="11"/>
    </row>
    <row r="33" spans="2:13" ht="12">
      <c r="B33" s="10"/>
      <c r="C33" s="15"/>
      <c r="D33" s="15" t="s">
        <v>21</v>
      </c>
      <c r="E33" s="22">
        <f>critères!J87</f>
        <v>0</v>
      </c>
      <c r="F33" s="15"/>
      <c r="G33" s="16"/>
      <c r="H33" s="17"/>
      <c r="I33" s="15"/>
      <c r="J33" s="15" t="s">
        <v>21</v>
      </c>
      <c r="K33" s="24">
        <f>critères!J86</f>
        <v>0</v>
      </c>
      <c r="L33" s="15"/>
      <c r="M33" s="11"/>
    </row>
    <row r="34" spans="2:13" ht="12">
      <c r="B34" s="10"/>
      <c r="C34" s="15"/>
      <c r="D34" s="15"/>
      <c r="E34" s="22"/>
      <c r="F34" s="15"/>
      <c r="G34" s="16"/>
      <c r="H34" s="17"/>
      <c r="I34" s="15"/>
      <c r="J34" s="15"/>
      <c r="K34" s="24"/>
      <c r="L34" s="15"/>
      <c r="M34" s="11"/>
    </row>
    <row r="35" spans="2:13" ht="12">
      <c r="B35" s="10"/>
      <c r="C35" s="15"/>
      <c r="D35" s="15"/>
      <c r="E35" s="22"/>
      <c r="F35" s="15"/>
      <c r="G35" s="16"/>
      <c r="H35" s="17"/>
      <c r="I35" s="15"/>
      <c r="J35" s="15"/>
      <c r="K35" s="24"/>
      <c r="L35" s="15"/>
      <c r="M35" s="11"/>
    </row>
    <row r="36" spans="2:13" ht="12">
      <c r="B36" s="10"/>
      <c r="C36" s="21" t="s">
        <v>22</v>
      </c>
      <c r="D36" s="15"/>
      <c r="E36" s="15"/>
      <c r="F36" s="22">
        <f>SUM(E38:E40)</f>
        <v>117.35</v>
      </c>
      <c r="G36" s="16"/>
      <c r="H36" s="17"/>
      <c r="I36" s="21" t="s">
        <v>22</v>
      </c>
      <c r="J36" s="15"/>
      <c r="K36" s="27"/>
      <c r="L36" s="22"/>
      <c r="M36" s="11"/>
    </row>
    <row r="37" spans="2:13" ht="12">
      <c r="B37" s="10"/>
      <c r="C37" s="15"/>
      <c r="D37" s="15"/>
      <c r="E37" s="15"/>
      <c r="F37" s="15"/>
      <c r="G37" s="16"/>
      <c r="H37" s="17"/>
      <c r="I37" s="15"/>
      <c r="J37" s="15"/>
      <c r="K37" s="27"/>
      <c r="L37" s="15"/>
      <c r="M37" s="11"/>
    </row>
    <row r="38" spans="2:13" ht="12">
      <c r="B38" s="10"/>
      <c r="C38" s="15"/>
      <c r="D38" s="15" t="s">
        <v>23</v>
      </c>
      <c r="E38" s="22">
        <f>critères!J30</f>
        <v>34.79</v>
      </c>
      <c r="F38" s="15"/>
      <c r="G38" s="16"/>
      <c r="H38" s="17"/>
      <c r="K38" s="29"/>
      <c r="M38" s="11"/>
    </row>
    <row r="39" spans="2:13" ht="12">
      <c r="B39" s="10"/>
      <c r="C39" s="15"/>
      <c r="D39" s="15" t="s">
        <v>24</v>
      </c>
      <c r="E39" s="22">
        <f>critères!J27</f>
        <v>82.56</v>
      </c>
      <c r="F39" s="15"/>
      <c r="G39" s="16"/>
      <c r="H39" s="17"/>
      <c r="K39" s="29"/>
      <c r="M39" s="11"/>
    </row>
    <row r="40" spans="2:13" ht="12">
      <c r="B40" s="10"/>
      <c r="G40" s="23"/>
      <c r="H40" s="17"/>
      <c r="K40" s="29"/>
      <c r="M40" s="11"/>
    </row>
    <row r="41" spans="2:13" ht="12">
      <c r="B41" s="10"/>
      <c r="G41" s="16"/>
      <c r="H41" s="17"/>
      <c r="I41" s="15"/>
      <c r="J41" s="15"/>
      <c r="K41" s="27"/>
      <c r="L41" s="15"/>
      <c r="M41" s="11"/>
    </row>
    <row r="42" spans="2:13" ht="12">
      <c r="B42" s="10"/>
      <c r="C42" s="21" t="s">
        <v>25</v>
      </c>
      <c r="D42" s="15"/>
      <c r="E42" s="15"/>
      <c r="F42" s="22">
        <f>SUM(E44:E52)</f>
        <v>3287.1399999999994</v>
      </c>
      <c r="G42" s="16"/>
      <c r="H42" s="17"/>
      <c r="I42" s="21" t="s">
        <v>26</v>
      </c>
      <c r="J42" s="15"/>
      <c r="K42" s="32"/>
      <c r="L42" s="22">
        <f>SUM(K44:K52)</f>
        <v>2289.34</v>
      </c>
      <c r="M42" s="11"/>
    </row>
    <row r="43" spans="2:13" ht="12">
      <c r="B43" s="10"/>
      <c r="G43" s="16"/>
      <c r="H43" s="17"/>
      <c r="I43" s="15"/>
      <c r="J43" s="15"/>
      <c r="K43" s="27"/>
      <c r="L43" s="15"/>
      <c r="M43" s="11"/>
    </row>
    <row r="44" spans="2:13" ht="12">
      <c r="B44" s="10"/>
      <c r="D44" t="s">
        <v>27</v>
      </c>
      <c r="E44" s="26">
        <f>+critères!J69</f>
        <v>740.7</v>
      </c>
      <c r="G44" s="16"/>
      <c r="H44" s="17"/>
      <c r="J44" t="s">
        <v>27</v>
      </c>
      <c r="K44" s="25">
        <f>+critères!J68</f>
        <v>879.34</v>
      </c>
      <c r="M44" s="11"/>
    </row>
    <row r="45" spans="2:13" ht="12">
      <c r="B45" s="10"/>
      <c r="G45" s="16"/>
      <c r="H45" s="17"/>
      <c r="I45" s="15"/>
      <c r="J45" s="15"/>
      <c r="K45" s="15"/>
      <c r="L45" s="15"/>
      <c r="M45" s="11"/>
    </row>
    <row r="46" spans="2:13" ht="12" customHeight="1">
      <c r="B46" s="10"/>
      <c r="D46" t="s">
        <v>28</v>
      </c>
      <c r="E46" s="26">
        <f>+critères!J33</f>
        <v>0</v>
      </c>
      <c r="G46" s="16"/>
      <c r="H46" s="17"/>
      <c r="J46" t="s">
        <v>28</v>
      </c>
      <c r="K46" s="26">
        <f>critères!J32</f>
        <v>0</v>
      </c>
      <c r="M46" s="11"/>
    </row>
    <row r="47" spans="2:13" ht="12" customHeight="1">
      <c r="B47" s="10"/>
      <c r="D47" t="s">
        <v>29</v>
      </c>
      <c r="E47" s="26">
        <f>critères!J57</f>
        <v>0</v>
      </c>
      <c r="G47" s="23"/>
      <c r="H47" s="17"/>
      <c r="I47" s="15"/>
      <c r="J47" s="15"/>
      <c r="K47" s="15"/>
      <c r="L47" s="15"/>
      <c r="M47" s="11"/>
    </row>
    <row r="48" spans="2:13" ht="12" customHeight="1">
      <c r="B48" s="10"/>
      <c r="C48" s="15"/>
      <c r="D48" s="28" t="s">
        <v>30</v>
      </c>
      <c r="E48" s="22">
        <f>critères!J48</f>
        <v>2425.95</v>
      </c>
      <c r="F48" s="15"/>
      <c r="G48" s="16"/>
      <c r="H48" s="17"/>
      <c r="I48" s="15"/>
      <c r="L48" s="15"/>
      <c r="M48" s="11"/>
    </row>
    <row r="49" spans="2:13" ht="12" customHeight="1">
      <c r="B49" s="10"/>
      <c r="C49" s="15"/>
      <c r="D49" s="28" t="s">
        <v>31</v>
      </c>
      <c r="F49" s="15"/>
      <c r="G49" s="16"/>
      <c r="H49" s="17"/>
      <c r="I49" s="28" t="s">
        <v>32</v>
      </c>
      <c r="K49" s="24">
        <f>+critères!J47</f>
        <v>1410</v>
      </c>
      <c r="M49" s="11"/>
    </row>
    <row r="50" spans="2:13" ht="12" customHeight="1">
      <c r="B50" s="10"/>
      <c r="C50" s="15"/>
      <c r="D50" s="33" t="s">
        <v>33</v>
      </c>
      <c r="E50" s="26">
        <f>+critères!J45</f>
        <v>120.49</v>
      </c>
      <c r="F50" s="15"/>
      <c r="G50" s="16"/>
      <c r="H50" s="17"/>
      <c r="J50" s="33"/>
      <c r="K50" s="29"/>
      <c r="M50" s="11"/>
    </row>
    <row r="51" spans="2:16" ht="12" customHeight="1">
      <c r="B51" s="10"/>
      <c r="C51" s="15"/>
      <c r="E51" s="22"/>
      <c r="F51" s="15"/>
      <c r="G51" s="16"/>
      <c r="H51" s="17"/>
      <c r="I51" s="28"/>
      <c r="K51" s="24"/>
      <c r="M51" s="11"/>
      <c r="P51" s="26"/>
    </row>
    <row r="52" spans="2:13" ht="12" customHeight="1">
      <c r="B52" s="10"/>
      <c r="C52" s="15"/>
      <c r="D52" t="s">
        <v>34</v>
      </c>
      <c r="E52" s="24">
        <f>+critères!J6</f>
        <v>0</v>
      </c>
      <c r="F52" s="15"/>
      <c r="G52" s="16"/>
      <c r="H52" s="17"/>
      <c r="J52" t="s">
        <v>34</v>
      </c>
      <c r="K52" s="25">
        <f>+critères!J5</f>
        <v>0</v>
      </c>
      <c r="L52" s="22"/>
      <c r="M52" s="11"/>
    </row>
    <row r="53" spans="2:13" ht="12" customHeight="1">
      <c r="B53" s="10"/>
      <c r="C53" s="30"/>
      <c r="D53" s="34"/>
      <c r="E53" s="30"/>
      <c r="F53" s="15"/>
      <c r="G53" s="16"/>
      <c r="H53" s="17"/>
      <c r="I53" s="15"/>
      <c r="J53" s="2" t="s">
        <v>35</v>
      </c>
      <c r="K53" s="15"/>
      <c r="L53" s="15"/>
      <c r="M53" s="11"/>
    </row>
    <row r="54" spans="2:19" ht="12" customHeight="1">
      <c r="B54" s="10"/>
      <c r="C54" s="15"/>
      <c r="D54" s="35"/>
      <c r="E54" s="15"/>
      <c r="F54" s="15"/>
      <c r="G54" s="16"/>
      <c r="H54" s="17"/>
      <c r="I54" s="15"/>
      <c r="J54" s="2"/>
      <c r="K54" s="15"/>
      <c r="L54" s="15"/>
      <c r="M54" s="11"/>
      <c r="O54" s="411" t="s">
        <v>36</v>
      </c>
      <c r="P54" s="411"/>
      <c r="Q54" s="411"/>
      <c r="R54" s="411"/>
      <c r="S54" s="411"/>
    </row>
    <row r="55" spans="2:19" ht="12">
      <c r="B55" s="10"/>
      <c r="C55" s="15"/>
      <c r="D55" s="36" t="s">
        <v>37</v>
      </c>
      <c r="E55" s="15"/>
      <c r="F55" s="22">
        <f>+F10+F16+F21+F27+F36+F42</f>
        <v>6815.449999999999</v>
      </c>
      <c r="G55" s="23"/>
      <c r="H55" s="17"/>
      <c r="I55" s="15"/>
      <c r="J55" s="36" t="s">
        <v>38</v>
      </c>
      <c r="K55" s="36"/>
      <c r="L55" s="22">
        <f>+L10+L16+L21+L27+L42</f>
        <v>8600.5</v>
      </c>
      <c r="M55" s="11"/>
      <c r="O55" s="37" t="s">
        <v>39</v>
      </c>
      <c r="P55" s="38"/>
      <c r="Q55" s="39" t="s">
        <v>40</v>
      </c>
      <c r="R55" s="39" t="s">
        <v>41</v>
      </c>
      <c r="S55" s="40" t="s">
        <v>42</v>
      </c>
    </row>
    <row r="56" spans="2:19" ht="12">
      <c r="B56" s="10"/>
      <c r="C56" s="15"/>
      <c r="D56" s="15"/>
      <c r="E56" s="15"/>
      <c r="F56" s="15"/>
      <c r="G56" s="16"/>
      <c r="H56" s="17"/>
      <c r="I56" s="15"/>
      <c r="J56" s="15"/>
      <c r="K56" s="15"/>
      <c r="L56" s="15"/>
      <c r="M56" s="11"/>
      <c r="N56" s="41"/>
      <c r="O56" s="42">
        <f>+P56-L55</f>
        <v>3751.1000000000004</v>
      </c>
      <c r="P56" s="22">
        <f>+R56+S56</f>
        <v>12351.6</v>
      </c>
      <c r="Q56" s="43" t="s">
        <v>43</v>
      </c>
      <c r="R56" s="22">
        <f>critères!G103</f>
        <v>699.1</v>
      </c>
      <c r="S56" s="23">
        <f>critères!H103</f>
        <v>11652.5</v>
      </c>
    </row>
    <row r="57" spans="2:19" ht="12">
      <c r="B57" s="10"/>
      <c r="C57" s="15"/>
      <c r="D57" s="36" t="s">
        <v>44</v>
      </c>
      <c r="E57" s="15"/>
      <c r="F57" s="22">
        <f>+F59-F55</f>
        <v>1785.050000000001</v>
      </c>
      <c r="G57" s="16"/>
      <c r="H57" s="17"/>
      <c r="I57" s="15"/>
      <c r="J57" s="36" t="s">
        <v>45</v>
      </c>
      <c r="K57" s="36"/>
      <c r="L57" s="22">
        <f>+L59-L55</f>
        <v>0</v>
      </c>
      <c r="M57" s="11"/>
      <c r="N57" s="44"/>
      <c r="O57" s="45">
        <f>+P57-F55</f>
        <v>2712.380000000003</v>
      </c>
      <c r="P57" s="46">
        <f>+R57+S57</f>
        <v>9527.830000000002</v>
      </c>
      <c r="Q57" s="47" t="s">
        <v>46</v>
      </c>
      <c r="R57" s="46">
        <f>critères!G104</f>
        <v>0</v>
      </c>
      <c r="S57" s="48">
        <f>critères!H104</f>
        <v>9527.830000000002</v>
      </c>
    </row>
    <row r="58" spans="2:14" ht="12">
      <c r="B58" s="10"/>
      <c r="C58" s="15"/>
      <c r="D58" s="15"/>
      <c r="E58" s="15"/>
      <c r="F58" s="15"/>
      <c r="G58" s="16"/>
      <c r="H58" s="17"/>
      <c r="I58" s="15"/>
      <c r="J58" s="15"/>
      <c r="K58" s="15"/>
      <c r="L58" s="15"/>
      <c r="M58" s="11"/>
      <c r="N58" s="2"/>
    </row>
    <row r="59" spans="2:13" ht="12">
      <c r="B59" s="10"/>
      <c r="C59" s="15"/>
      <c r="D59" s="36" t="s">
        <v>47</v>
      </c>
      <c r="E59" s="15"/>
      <c r="F59" s="22">
        <f>MAX(F55,L55)</f>
        <v>8600.5</v>
      </c>
      <c r="G59" s="23"/>
      <c r="H59" s="17"/>
      <c r="I59" s="15"/>
      <c r="J59" s="36" t="s">
        <v>47</v>
      </c>
      <c r="K59" s="36"/>
      <c r="L59" s="22">
        <f>MAX(F55,L55)</f>
        <v>8600.5</v>
      </c>
      <c r="M59" s="11"/>
    </row>
    <row r="60" spans="2:13" ht="12">
      <c r="B60" s="12"/>
      <c r="C60" s="13"/>
      <c r="D60" s="13"/>
      <c r="E60" s="13"/>
      <c r="F60" s="13"/>
      <c r="G60" s="49"/>
      <c r="H60" s="50"/>
      <c r="I60" s="13"/>
      <c r="J60" s="13"/>
      <c r="K60" s="13"/>
      <c r="L60" s="13"/>
      <c r="M60" s="14"/>
    </row>
    <row r="61" ht="36.75" customHeight="1"/>
    <row r="62" spans="2:13" ht="13.5" customHeight="1">
      <c r="B62" s="4"/>
      <c r="C62" s="5"/>
      <c r="D62" s="6"/>
      <c r="E62" s="7"/>
      <c r="F62" s="7"/>
      <c r="G62" s="7"/>
      <c r="H62" s="7"/>
      <c r="I62" s="7"/>
      <c r="J62" s="7"/>
      <c r="K62" s="7"/>
      <c r="L62" s="7"/>
      <c r="M62" s="9"/>
    </row>
    <row r="63" spans="2:13" ht="13.5" customHeight="1">
      <c r="B63" s="10"/>
      <c r="C63" s="51"/>
      <c r="D63" s="52"/>
      <c r="E63" s="15"/>
      <c r="F63" s="15"/>
      <c r="G63" s="15"/>
      <c r="H63" s="15"/>
      <c r="I63" s="15"/>
      <c r="J63" s="15"/>
      <c r="K63" s="15"/>
      <c r="L63" s="15"/>
      <c r="M63" s="11"/>
    </row>
    <row r="64" spans="2:13" ht="15.75" customHeight="1">
      <c r="B64" s="10"/>
      <c r="C64" s="412" t="s">
        <v>48</v>
      </c>
      <c r="D64" s="412"/>
      <c r="E64" s="412"/>
      <c r="F64" s="412"/>
      <c r="G64" s="412"/>
      <c r="H64" s="412"/>
      <c r="I64" s="412"/>
      <c r="J64" s="412"/>
      <c r="K64" s="412"/>
      <c r="L64" s="412"/>
      <c r="M64" s="11"/>
    </row>
    <row r="65" spans="2:13" ht="9" customHeight="1">
      <c r="B65" s="10"/>
      <c r="C65" s="51"/>
      <c r="D65" s="52"/>
      <c r="E65" s="15"/>
      <c r="F65" s="15"/>
      <c r="G65" s="15"/>
      <c r="H65" s="15"/>
      <c r="I65" s="15"/>
      <c r="J65" s="15"/>
      <c r="K65" s="15"/>
      <c r="L65" s="15"/>
      <c r="M65" s="11"/>
    </row>
    <row r="66" spans="2:13" ht="15.75">
      <c r="B66" s="10"/>
      <c r="C66" s="407" t="s">
        <v>49</v>
      </c>
      <c r="D66" s="407"/>
      <c r="E66" s="407"/>
      <c r="F66" s="407"/>
      <c r="G66" s="407"/>
      <c r="H66" s="407"/>
      <c r="I66" s="407"/>
      <c r="J66" s="407"/>
      <c r="K66" s="407"/>
      <c r="L66" s="407"/>
      <c r="M66" s="11"/>
    </row>
    <row r="67" spans="2:13" ht="15.75">
      <c r="B67" s="10"/>
      <c r="C67" s="407" t="s">
        <v>50</v>
      </c>
      <c r="D67" s="407"/>
      <c r="E67" s="407"/>
      <c r="F67" s="407"/>
      <c r="G67" s="407"/>
      <c r="H67" s="407"/>
      <c r="I67" s="407"/>
      <c r="J67" s="407"/>
      <c r="K67" s="407"/>
      <c r="L67" s="407"/>
      <c r="M67" s="11"/>
    </row>
    <row r="68" spans="2:13" ht="12" customHeight="1">
      <c r="B68" s="10"/>
      <c r="M68" s="11"/>
    </row>
    <row r="69" spans="2:13" ht="12">
      <c r="B69" s="53"/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5"/>
    </row>
    <row r="70" spans="2:13" ht="12">
      <c r="B70" s="10"/>
      <c r="C70" s="18"/>
      <c r="E70" s="18"/>
      <c r="F70" s="18"/>
      <c r="G70" s="18"/>
      <c r="H70" s="18"/>
      <c r="I70" s="36" t="s">
        <v>51</v>
      </c>
      <c r="J70" s="56">
        <v>2220.51</v>
      </c>
      <c r="K70" s="56"/>
      <c r="L70" s="15"/>
      <c r="M70" s="11"/>
    </row>
    <row r="71" spans="2:13" ht="12">
      <c r="B71" s="10"/>
      <c r="C71" s="18"/>
      <c r="D71" s="18"/>
      <c r="E71" s="18"/>
      <c r="F71" s="18"/>
      <c r="G71" s="18"/>
      <c r="H71" s="18"/>
      <c r="I71" s="18"/>
      <c r="J71" s="56"/>
      <c r="K71" s="18"/>
      <c r="L71" s="15"/>
      <c r="M71" s="11"/>
    </row>
    <row r="72" spans="2:14" ht="12">
      <c r="B72" s="10"/>
      <c r="C72" s="18"/>
      <c r="D72" s="18"/>
      <c r="E72" s="57" t="s">
        <v>52</v>
      </c>
      <c r="F72" s="18"/>
      <c r="G72" s="18"/>
      <c r="H72" s="18"/>
      <c r="I72" s="18"/>
      <c r="J72" s="58">
        <f>IF(F57&gt;0,F57,L57)</f>
        <v>1785.050000000001</v>
      </c>
      <c r="K72" s="18"/>
      <c r="L72" s="15"/>
      <c r="M72" s="11"/>
      <c r="N72" s="58"/>
    </row>
    <row r="73" spans="2:18" ht="12">
      <c r="B73" s="10"/>
      <c r="C73" s="15"/>
      <c r="D73" s="15"/>
      <c r="E73" s="15"/>
      <c r="F73" s="59"/>
      <c r="G73" s="15"/>
      <c r="H73" s="15"/>
      <c r="I73" s="15"/>
      <c r="J73" s="15"/>
      <c r="K73" s="15"/>
      <c r="L73" s="15"/>
      <c r="M73" s="11"/>
      <c r="N73" s="15" t="s">
        <v>53</v>
      </c>
      <c r="O73" s="15"/>
      <c r="P73" s="15"/>
      <c r="Q73" s="15"/>
      <c r="R73" s="21"/>
    </row>
    <row r="74" spans="2:16" ht="19.5" customHeight="1">
      <c r="B74" s="10"/>
      <c r="C74" s="15"/>
      <c r="D74" s="15"/>
      <c r="G74" s="60"/>
      <c r="H74" s="15"/>
      <c r="I74" s="36" t="s">
        <v>54</v>
      </c>
      <c r="J74" s="61" t="e">
        <f>banque!I2</f>
        <v>#VALUE!</v>
      </c>
      <c r="K74" s="61"/>
      <c r="L74" s="15"/>
      <c r="M74" s="11"/>
      <c r="N74" s="61" t="e">
        <f>banque!I2</f>
        <v>#VALUE!</v>
      </c>
      <c r="O74" s="62" t="s">
        <v>55</v>
      </c>
      <c r="P74" s="63" t="e">
        <f>+N74-J74</f>
        <v>#VALUE!</v>
      </c>
    </row>
    <row r="75" spans="2:13" ht="12">
      <c r="B75" s="10"/>
      <c r="C75" s="21"/>
      <c r="D75" s="15"/>
      <c r="E75" s="15"/>
      <c r="F75" s="22"/>
      <c r="G75" s="22"/>
      <c r="H75" s="15"/>
      <c r="I75" s="21"/>
      <c r="J75" s="15"/>
      <c r="K75" s="15"/>
      <c r="L75" s="22"/>
      <c r="M75" s="11"/>
    </row>
    <row r="76" spans="2:13" ht="12">
      <c r="B76" s="10"/>
      <c r="C76" s="21"/>
      <c r="D76" s="15"/>
      <c r="K76" s="15"/>
      <c r="L76" s="22"/>
      <c r="M76" s="11"/>
    </row>
    <row r="77" spans="2:13" ht="12">
      <c r="B77" s="10"/>
      <c r="C77" s="21"/>
      <c r="D77" s="15"/>
      <c r="E77" s="15"/>
      <c r="F77" s="64" t="s">
        <v>56</v>
      </c>
      <c r="G77" s="18"/>
      <c r="H77" s="18"/>
      <c r="I77" s="18"/>
      <c r="J77" s="61">
        <f>espèces!F3</f>
        <v>58.89999999999999</v>
      </c>
      <c r="K77" s="15"/>
      <c r="L77" s="22"/>
      <c r="M77" s="11"/>
    </row>
    <row r="78" spans="2:13" ht="12">
      <c r="B78" s="10"/>
      <c r="D78" s="15"/>
      <c r="F78" s="22"/>
      <c r="G78" s="22"/>
      <c r="H78" s="15"/>
      <c r="I78" s="21"/>
      <c r="J78" s="15"/>
      <c r="K78" s="15"/>
      <c r="L78" s="22"/>
      <c r="M78" s="11"/>
    </row>
    <row r="79" spans="2:13" ht="12">
      <c r="B79" s="10"/>
      <c r="C79" s="21"/>
      <c r="E79" s="15"/>
      <c r="F79" s="36" t="s">
        <v>57</v>
      </c>
      <c r="J79" s="61">
        <f>livret!F3</f>
        <v>3182.27</v>
      </c>
      <c r="K79" s="22"/>
      <c r="L79" s="15"/>
      <c r="M79" s="11"/>
    </row>
    <row r="80" spans="2:13" ht="12">
      <c r="B80" s="10"/>
      <c r="E80" s="15"/>
      <c r="F80" s="15"/>
      <c r="G80" s="15"/>
      <c r="H80" s="15"/>
      <c r="I80" s="21"/>
      <c r="K80" s="22"/>
      <c r="L80" s="15"/>
      <c r="M80" s="11"/>
    </row>
    <row r="81" spans="2:13" ht="12">
      <c r="B81" s="10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1"/>
    </row>
    <row r="82" spans="2:14" ht="12">
      <c r="B82" s="10"/>
      <c r="C82" s="15"/>
      <c r="F82" s="15"/>
      <c r="G82" s="15"/>
      <c r="H82" s="15"/>
      <c r="I82" s="36" t="s">
        <v>58</v>
      </c>
      <c r="J82" s="56" t="e">
        <f>+J74+J77+J79</f>
        <v>#VALUE!</v>
      </c>
      <c r="K82" s="15"/>
      <c r="L82" s="15"/>
      <c r="M82" s="11"/>
      <c r="N82" s="65"/>
    </row>
    <row r="83" spans="2:13" ht="12">
      <c r="B83" s="10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1"/>
    </row>
    <row r="84" spans="2:13" ht="12">
      <c r="B84" s="10"/>
      <c r="C84" s="15"/>
      <c r="D84" s="15"/>
      <c r="E84" s="15"/>
      <c r="F84" s="15"/>
      <c r="G84" s="15"/>
      <c r="H84" s="15"/>
      <c r="I84" s="66" t="s">
        <v>59</v>
      </c>
      <c r="J84" s="67" t="e">
        <f>+J82-J70</f>
        <v>#VALUE!</v>
      </c>
      <c r="K84" s="15"/>
      <c r="L84" s="15"/>
      <c r="M84" s="11"/>
    </row>
    <row r="85" spans="2:13" ht="12">
      <c r="B85" s="10"/>
      <c r="C85" s="15"/>
      <c r="D85" s="15"/>
      <c r="E85" s="15"/>
      <c r="F85" s="15"/>
      <c r="G85" s="15"/>
      <c r="H85" s="15"/>
      <c r="I85" s="66"/>
      <c r="J85" s="67"/>
      <c r="K85" s="15"/>
      <c r="L85" s="15"/>
      <c r="M85" s="11"/>
    </row>
    <row r="86" spans="2:13" ht="12">
      <c r="B86" s="10"/>
      <c r="C86" s="15"/>
      <c r="D86" s="15"/>
      <c r="E86" s="15"/>
      <c r="F86" s="15"/>
      <c r="G86" s="15"/>
      <c r="H86" s="15"/>
      <c r="I86" s="66"/>
      <c r="J86" s="67"/>
      <c r="K86" s="15"/>
      <c r="L86" s="15"/>
      <c r="M86" s="11"/>
    </row>
    <row r="87" spans="2:13" ht="12">
      <c r="B87" s="10"/>
      <c r="C87" s="15"/>
      <c r="D87" s="15"/>
      <c r="E87" s="15"/>
      <c r="F87" s="15"/>
      <c r="G87" s="15"/>
      <c r="H87" s="15"/>
      <c r="I87" s="36" t="s">
        <v>60</v>
      </c>
      <c r="J87" s="68">
        <v>173</v>
      </c>
      <c r="K87" s="69" t="s">
        <v>61</v>
      </c>
      <c r="L87" s="15"/>
      <c r="M87" s="11"/>
    </row>
    <row r="88" spans="2:13" ht="12">
      <c r="B88" s="10"/>
      <c r="C88" s="15"/>
      <c r="D88" s="15"/>
      <c r="K88" s="15"/>
      <c r="L88" s="15"/>
      <c r="M88" s="11"/>
    </row>
    <row r="89" spans="2:13" ht="12">
      <c r="B89" s="10"/>
      <c r="C89" s="15"/>
      <c r="E89" s="15" t="s">
        <v>62</v>
      </c>
      <c r="F89" s="15"/>
      <c r="G89" s="15"/>
      <c r="H89" s="15"/>
      <c r="I89" s="15"/>
      <c r="J89" s="61">
        <v>131.08</v>
      </c>
      <c r="K89" s="15"/>
      <c r="L89" s="15"/>
      <c r="M89" s="11"/>
    </row>
    <row r="90" spans="2:13" ht="12">
      <c r="B90" s="10"/>
      <c r="C90" s="15"/>
      <c r="E90" s="15"/>
      <c r="F90" s="15"/>
      <c r="G90" s="15"/>
      <c r="H90" s="15"/>
      <c r="I90" s="15"/>
      <c r="J90" s="61"/>
      <c r="K90" s="15"/>
      <c r="L90" s="15"/>
      <c r="M90" s="11"/>
    </row>
    <row r="91" spans="2:13" ht="12">
      <c r="B91" s="10"/>
      <c r="C91" s="15"/>
      <c r="E91" s="15" t="s">
        <v>63</v>
      </c>
      <c r="F91" s="15"/>
      <c r="G91" s="15"/>
      <c r="H91" s="15"/>
      <c r="I91" s="15"/>
      <c r="J91" s="70">
        <v>1151</v>
      </c>
      <c r="K91" s="69"/>
      <c r="L91" s="15"/>
      <c r="M91" s="11"/>
    </row>
    <row r="92" spans="2:13" ht="12">
      <c r="B92" s="10"/>
      <c r="C92" s="15"/>
      <c r="D92" s="15"/>
      <c r="E92" s="15"/>
      <c r="F92" s="15"/>
      <c r="G92" s="15"/>
      <c r="I92" s="15"/>
      <c r="J92" s="15"/>
      <c r="K92" s="15"/>
      <c r="L92" s="15"/>
      <c r="M92" s="11"/>
    </row>
    <row r="93" spans="2:13" ht="12">
      <c r="B93" s="10"/>
      <c r="C93" s="15"/>
      <c r="G93" s="15"/>
      <c r="H93" s="15"/>
      <c r="I93" s="36" t="s">
        <v>64</v>
      </c>
      <c r="J93" s="71" t="e">
        <f>+J82-J87+J89+J91</f>
        <v>#VALUE!</v>
      </c>
      <c r="K93" s="15"/>
      <c r="L93" s="15"/>
      <c r="M93" s="11"/>
    </row>
    <row r="94" spans="2:13" ht="12">
      <c r="B94" s="12"/>
      <c r="C94" s="13"/>
      <c r="D94" s="13"/>
      <c r="E94" s="13"/>
      <c r="F94" s="13"/>
      <c r="G94" s="13"/>
      <c r="H94" s="13"/>
      <c r="I94" s="72"/>
      <c r="J94" s="73"/>
      <c r="K94" s="13"/>
      <c r="L94" s="13"/>
      <c r="M94" s="14"/>
    </row>
    <row r="95" spans="2:13" ht="12">
      <c r="B95" s="10"/>
      <c r="C95" s="15"/>
      <c r="D95" s="15"/>
      <c r="E95" s="15"/>
      <c r="F95" s="15"/>
      <c r="G95" s="15"/>
      <c r="H95" s="15"/>
      <c r="I95" s="36"/>
      <c r="J95" s="71"/>
      <c r="K95" s="15"/>
      <c r="L95" s="15"/>
      <c r="M95" s="11"/>
    </row>
    <row r="96" spans="2:13" ht="15.75">
      <c r="B96" s="10"/>
      <c r="C96" s="74" t="s">
        <v>65</v>
      </c>
      <c r="E96" s="15"/>
      <c r="F96" s="15"/>
      <c r="G96" s="15"/>
      <c r="H96" s="15"/>
      <c r="I96" s="36"/>
      <c r="J96" s="71"/>
      <c r="K96" s="15"/>
      <c r="L96" s="15"/>
      <c r="M96" s="11"/>
    </row>
    <row r="97" spans="2:13" ht="18.75" customHeight="1">
      <c r="B97" s="10"/>
      <c r="D97" s="75" t="s">
        <v>66</v>
      </c>
      <c r="E97" s="76"/>
      <c r="F97" s="77"/>
      <c r="G97" s="77"/>
      <c r="H97" s="78"/>
      <c r="J97" s="75" t="s">
        <v>67</v>
      </c>
      <c r="M97" s="11"/>
    </row>
    <row r="98" spans="2:13" ht="18.75" customHeight="1">
      <c r="B98" s="10"/>
      <c r="C98" s="15"/>
      <c r="D98" s="76" t="s">
        <v>68</v>
      </c>
      <c r="E98" s="76"/>
      <c r="F98" s="77"/>
      <c r="G98" s="77"/>
      <c r="H98" s="78"/>
      <c r="I98" s="78"/>
      <c r="J98" s="79" t="s">
        <v>69</v>
      </c>
      <c r="K98" s="77"/>
      <c r="L98" s="77"/>
      <c r="M98" s="11"/>
    </row>
    <row r="99" spans="2:13" ht="18.75" customHeight="1">
      <c r="B99" s="10"/>
      <c r="C99" s="15"/>
      <c r="D99" s="76" t="s">
        <v>70</v>
      </c>
      <c r="E99" s="76"/>
      <c r="F99" s="77"/>
      <c r="G99" s="77"/>
      <c r="H99" s="78"/>
      <c r="J99" s="79" t="s">
        <v>71</v>
      </c>
      <c r="K99" s="77"/>
      <c r="L99" s="77"/>
      <c r="M99" s="11"/>
    </row>
    <row r="100" spans="2:13" ht="18.75" customHeight="1">
      <c r="B100" s="10"/>
      <c r="C100" s="15"/>
      <c r="D100" s="76" t="s">
        <v>72</v>
      </c>
      <c r="E100" s="76"/>
      <c r="F100" s="77"/>
      <c r="G100" s="77"/>
      <c r="H100" s="78"/>
      <c r="J100" s="79" t="s">
        <v>73</v>
      </c>
      <c r="K100" s="77"/>
      <c r="M100" s="11"/>
    </row>
    <row r="101" spans="2:13" ht="18.75" customHeight="1">
      <c r="B101" s="10"/>
      <c r="C101" s="15"/>
      <c r="D101" s="76" t="s">
        <v>74</v>
      </c>
      <c r="E101" s="76"/>
      <c r="F101" s="77"/>
      <c r="G101" s="77"/>
      <c r="H101" s="78"/>
      <c r="J101" s="79" t="s">
        <v>75</v>
      </c>
      <c r="K101" s="77"/>
      <c r="L101" s="77"/>
      <c r="M101" s="11"/>
    </row>
    <row r="102" spans="2:13" ht="18.75" customHeight="1">
      <c r="B102" s="10"/>
      <c r="C102" s="15"/>
      <c r="D102" s="80"/>
      <c r="J102" s="79" t="s">
        <v>76</v>
      </c>
      <c r="K102" s="77"/>
      <c r="L102" s="77"/>
      <c r="M102" s="11"/>
    </row>
    <row r="103" spans="2:13" ht="18.75" customHeight="1">
      <c r="B103" s="10"/>
      <c r="C103" s="74" t="s">
        <v>77</v>
      </c>
      <c r="E103" s="80" t="s">
        <v>78</v>
      </c>
      <c r="F103" s="80"/>
      <c r="G103" s="21"/>
      <c r="H103" s="21"/>
      <c r="I103" s="36"/>
      <c r="J103" s="71"/>
      <c r="K103" s="15"/>
      <c r="L103" s="15"/>
      <c r="M103" s="11"/>
    </row>
    <row r="104" spans="2:13" ht="12">
      <c r="B104" s="12"/>
      <c r="C104" s="13"/>
      <c r="D104" s="13"/>
      <c r="E104" s="13"/>
      <c r="F104" s="13"/>
      <c r="G104" s="13"/>
      <c r="H104" s="13"/>
      <c r="I104" s="13"/>
      <c r="J104" s="81"/>
      <c r="K104" s="13"/>
      <c r="L104" s="13"/>
      <c r="M104" s="14"/>
    </row>
    <row r="105" spans="2:13" ht="15">
      <c r="B105" s="10"/>
      <c r="C105" s="15"/>
      <c r="D105" s="18" t="s">
        <v>79</v>
      </c>
      <c r="E105" s="15"/>
      <c r="F105" s="15"/>
      <c r="G105" s="15"/>
      <c r="H105" s="15"/>
      <c r="I105" s="15"/>
      <c r="J105" s="56"/>
      <c r="K105" s="15"/>
      <c r="L105" s="15"/>
      <c r="M105" s="11"/>
    </row>
    <row r="106" spans="2:13" ht="12">
      <c r="B106" s="10"/>
      <c r="C106" s="15"/>
      <c r="D106" s="15"/>
      <c r="E106" s="15"/>
      <c r="F106" s="15"/>
      <c r="G106" s="15"/>
      <c r="H106" s="15"/>
      <c r="I106" s="15"/>
      <c r="J106" s="56"/>
      <c r="K106" s="15"/>
      <c r="L106" s="15"/>
      <c r="M106" s="11"/>
    </row>
    <row r="107" spans="2:13" ht="12">
      <c r="B107" s="10"/>
      <c r="C107" s="15"/>
      <c r="D107" s="15"/>
      <c r="E107" s="15" t="s">
        <v>80</v>
      </c>
      <c r="F107" s="15"/>
      <c r="G107" s="15"/>
      <c r="H107" s="15"/>
      <c r="I107" s="15"/>
      <c r="J107" s="67">
        <f>+L10-F10</f>
        <v>297</v>
      </c>
      <c r="K107" s="15"/>
      <c r="L107" s="15"/>
      <c r="M107" s="11"/>
    </row>
    <row r="108" spans="2:13" ht="12">
      <c r="B108" s="10"/>
      <c r="C108" s="15"/>
      <c r="D108" s="15"/>
      <c r="E108" s="15"/>
      <c r="F108" s="15"/>
      <c r="G108" s="15"/>
      <c r="H108" s="15"/>
      <c r="I108" s="15"/>
      <c r="J108" s="58"/>
      <c r="K108" s="15"/>
      <c r="L108" s="15"/>
      <c r="M108" s="11"/>
    </row>
    <row r="109" spans="2:13" ht="12">
      <c r="B109" s="10"/>
      <c r="C109" s="15"/>
      <c r="D109" s="15"/>
      <c r="E109" s="15" t="s">
        <v>81</v>
      </c>
      <c r="F109" s="15"/>
      <c r="G109" s="15"/>
      <c r="H109" s="15"/>
      <c r="I109" s="15"/>
      <c r="J109" s="67">
        <f>+L16</f>
        <v>0</v>
      </c>
      <c r="K109" s="15"/>
      <c r="L109" s="15"/>
      <c r="M109" s="11"/>
    </row>
    <row r="110" spans="2:13" ht="12">
      <c r="B110" s="10"/>
      <c r="C110" s="15"/>
      <c r="D110" s="15"/>
      <c r="E110" s="15"/>
      <c r="F110" s="15"/>
      <c r="G110" s="15"/>
      <c r="H110" s="15"/>
      <c r="I110" s="15"/>
      <c r="J110" s="58"/>
      <c r="K110" s="15"/>
      <c r="L110" s="15"/>
      <c r="M110" s="11"/>
    </row>
    <row r="111" spans="2:13" ht="12">
      <c r="B111" s="10"/>
      <c r="C111" s="15"/>
      <c r="D111" s="15"/>
      <c r="E111" s="27" t="s">
        <v>82</v>
      </c>
      <c r="F111" s="15"/>
      <c r="G111" s="15"/>
      <c r="H111" s="15"/>
      <c r="I111" s="15"/>
      <c r="J111" s="67">
        <f>+F36*-1</f>
        <v>-117.35</v>
      </c>
      <c r="K111" s="15"/>
      <c r="L111" s="15"/>
      <c r="M111" s="11"/>
    </row>
    <row r="112" spans="2:13" ht="12">
      <c r="B112" s="10"/>
      <c r="C112" s="15"/>
      <c r="D112" s="15"/>
      <c r="E112" s="27"/>
      <c r="F112" s="15"/>
      <c r="G112" s="15"/>
      <c r="H112" s="15"/>
      <c r="I112" s="15"/>
      <c r="J112" s="58"/>
      <c r="K112" s="15"/>
      <c r="L112" s="15"/>
      <c r="M112" s="11"/>
    </row>
    <row r="113" spans="2:13" ht="12">
      <c r="B113" s="10"/>
      <c r="C113" s="15"/>
      <c r="D113" s="15"/>
      <c r="E113" s="27" t="s">
        <v>83</v>
      </c>
      <c r="F113" s="15"/>
      <c r="G113" s="15"/>
      <c r="H113" s="15"/>
      <c r="I113" s="15"/>
      <c r="J113" s="67">
        <f>+K49+-E48-E18</f>
        <v>-1015.9499999999998</v>
      </c>
      <c r="K113" s="15"/>
      <c r="L113" s="15"/>
      <c r="M113" s="11"/>
    </row>
    <row r="114" spans="2:13" ht="12">
      <c r="B114" s="10"/>
      <c r="C114" s="15"/>
      <c r="D114" s="15"/>
      <c r="E114" s="27"/>
      <c r="F114" s="15"/>
      <c r="G114" s="15"/>
      <c r="H114" s="15"/>
      <c r="I114" s="15"/>
      <c r="J114" s="58"/>
      <c r="K114" s="15"/>
      <c r="L114" s="15"/>
      <c r="M114" s="11"/>
    </row>
    <row r="115" spans="2:13" ht="12">
      <c r="B115" s="10"/>
      <c r="C115" s="15"/>
      <c r="D115" s="15"/>
      <c r="E115" s="15" t="s">
        <v>84</v>
      </c>
      <c r="F115" s="15"/>
      <c r="G115" s="15"/>
      <c r="H115" s="15"/>
      <c r="I115" s="15"/>
      <c r="J115" s="67" t="e">
        <f>+#REF!-#REF!+marchandises!M33</f>
        <v>#REF!</v>
      </c>
      <c r="K115" s="15"/>
      <c r="L115" s="15"/>
      <c r="M115" s="11"/>
    </row>
    <row r="116" spans="2:13" ht="12">
      <c r="B116" s="10"/>
      <c r="C116" s="15"/>
      <c r="D116" s="15"/>
      <c r="E116" s="15"/>
      <c r="F116" s="15"/>
      <c r="G116" s="15"/>
      <c r="H116" s="15"/>
      <c r="I116" s="15"/>
      <c r="J116" s="58"/>
      <c r="K116" s="15"/>
      <c r="L116" s="15"/>
      <c r="M116" s="11"/>
    </row>
    <row r="117" spans="2:13" ht="12">
      <c r="B117" s="10"/>
      <c r="C117" s="15"/>
      <c r="D117" s="15"/>
      <c r="E117" s="15" t="s">
        <v>85</v>
      </c>
      <c r="F117" s="15"/>
      <c r="G117" s="15"/>
      <c r="H117" s="15"/>
      <c r="I117" s="15"/>
      <c r="J117" s="67">
        <f>+K29-E29+marchandises!M63</f>
        <v>1580.5686</v>
      </c>
      <c r="K117" s="15"/>
      <c r="L117" s="15"/>
      <c r="M117" s="11"/>
    </row>
    <row r="118" spans="2:13" ht="12">
      <c r="B118" s="10"/>
      <c r="C118" s="15"/>
      <c r="D118" s="15"/>
      <c r="E118" s="15"/>
      <c r="F118" s="15"/>
      <c r="G118" s="15"/>
      <c r="H118" s="15"/>
      <c r="I118" s="15"/>
      <c r="J118" s="58"/>
      <c r="K118" s="15"/>
      <c r="L118" s="15"/>
      <c r="M118" s="11"/>
    </row>
    <row r="119" spans="2:13" ht="12">
      <c r="B119" s="10"/>
      <c r="C119" s="15"/>
      <c r="D119" s="15"/>
      <c r="E119" s="27" t="s">
        <v>86</v>
      </c>
      <c r="F119" s="15"/>
      <c r="G119" s="15"/>
      <c r="H119" s="15"/>
      <c r="I119" s="15"/>
      <c r="J119" s="67">
        <f>+critères!J68-critères!J69+marchandises!M92</f>
        <v>138.64</v>
      </c>
      <c r="K119" s="15"/>
      <c r="L119" s="15"/>
      <c r="M119" s="11"/>
    </row>
    <row r="120" spans="2:13" ht="12">
      <c r="B120" s="10"/>
      <c r="C120" s="15"/>
      <c r="D120" s="15"/>
      <c r="E120" s="15"/>
      <c r="F120" s="15"/>
      <c r="G120" s="15"/>
      <c r="H120" s="15"/>
      <c r="I120" s="15"/>
      <c r="J120" s="58"/>
      <c r="K120" s="15"/>
      <c r="L120" s="15"/>
      <c r="M120" s="11"/>
    </row>
    <row r="121" spans="2:13" ht="12">
      <c r="B121" s="10"/>
      <c r="C121" s="15"/>
      <c r="D121" s="15"/>
      <c r="E121" s="15" t="s">
        <v>87</v>
      </c>
      <c r="F121" s="15"/>
      <c r="G121" s="15"/>
      <c r="H121" s="15"/>
      <c r="I121" s="15"/>
      <c r="J121" s="67">
        <f>+critères!J77-critères!J78+marchandises!M121</f>
        <v>1739.0618</v>
      </c>
      <c r="K121" s="15"/>
      <c r="L121" s="15"/>
      <c r="M121" s="11"/>
    </row>
    <row r="122" spans="2:13" ht="12">
      <c r="B122" s="10"/>
      <c r="C122" s="82" t="s">
        <v>88</v>
      </c>
      <c r="D122" s="15"/>
      <c r="E122" s="15"/>
      <c r="F122" s="15"/>
      <c r="G122" s="15"/>
      <c r="H122" s="15"/>
      <c r="I122" s="15"/>
      <c r="J122" s="58"/>
      <c r="K122" s="15"/>
      <c r="L122" s="15"/>
      <c r="M122" s="11"/>
    </row>
    <row r="123" spans="2:13" ht="12">
      <c r="B123" s="10"/>
      <c r="D123" s="15"/>
      <c r="E123" s="15" t="s">
        <v>89</v>
      </c>
      <c r="F123" s="15"/>
      <c r="G123" s="15"/>
      <c r="H123" s="15"/>
      <c r="I123" s="15"/>
      <c r="J123" s="67" t="e">
        <f>+#REF!-#REF!+marchandises!M150</f>
        <v>#REF!</v>
      </c>
      <c r="K123" s="15"/>
      <c r="L123" s="15"/>
      <c r="M123" s="11"/>
    </row>
    <row r="124" spans="2:13" ht="12">
      <c r="B124" s="10"/>
      <c r="C124" s="82"/>
      <c r="K124" s="15"/>
      <c r="L124" s="15"/>
      <c r="M124" s="11"/>
    </row>
    <row r="125" spans="2:13" ht="12">
      <c r="B125" s="10"/>
      <c r="C125" s="15"/>
      <c r="D125" s="15"/>
      <c r="E125" s="15" t="s">
        <v>90</v>
      </c>
      <c r="F125" s="15"/>
      <c r="G125" s="15"/>
      <c r="H125" s="15"/>
      <c r="I125" s="15"/>
      <c r="J125" s="67">
        <f>+K32-E32+marchandises!L208</f>
        <v>35.99999999999999</v>
      </c>
      <c r="K125" s="15"/>
      <c r="M125" s="11"/>
    </row>
    <row r="126" spans="2:13" ht="12">
      <c r="B126" s="10"/>
      <c r="C126" s="15"/>
      <c r="D126" s="15"/>
      <c r="E126" s="15"/>
      <c r="F126" s="15"/>
      <c r="G126" s="15"/>
      <c r="H126" s="15"/>
      <c r="I126" s="15"/>
      <c r="J126" s="67"/>
      <c r="K126" s="15"/>
      <c r="L126" s="15"/>
      <c r="M126" s="11"/>
    </row>
    <row r="127" spans="2:13" ht="12">
      <c r="B127" s="10"/>
      <c r="C127" s="15"/>
      <c r="D127" s="15"/>
      <c r="E127" s="15" t="s">
        <v>91</v>
      </c>
      <c r="F127" s="15"/>
      <c r="G127" s="15"/>
      <c r="H127" s="15"/>
      <c r="I127" s="15"/>
      <c r="J127" s="67" t="e">
        <f>+#REF!-#REF!+marchandises!M179</f>
        <v>#REF!</v>
      </c>
      <c r="K127" s="15"/>
      <c r="L127" s="15"/>
      <c r="M127" s="11"/>
    </row>
    <row r="128" spans="2:13" ht="12">
      <c r="B128" s="10"/>
      <c r="C128" s="15"/>
      <c r="D128" s="15"/>
      <c r="E128" s="15"/>
      <c r="F128" s="15"/>
      <c r="G128" s="15"/>
      <c r="H128" s="15"/>
      <c r="I128" s="15"/>
      <c r="J128" s="58"/>
      <c r="K128" s="15"/>
      <c r="L128" s="15"/>
      <c r="M128" s="11"/>
    </row>
    <row r="129" spans="2:14" ht="12">
      <c r="B129" s="10"/>
      <c r="C129" s="15"/>
      <c r="D129" s="15"/>
      <c r="E129" s="27" t="s">
        <v>92</v>
      </c>
      <c r="F129" s="15"/>
      <c r="G129" s="15"/>
      <c r="H129" s="15"/>
      <c r="I129" s="15"/>
      <c r="J129" s="67" t="e">
        <f>+#REF!-#REF!</f>
        <v>#REF!</v>
      </c>
      <c r="K129" s="15"/>
      <c r="L129" s="15"/>
      <c r="M129" s="11"/>
      <c r="N129" s="83"/>
    </row>
    <row r="130" spans="2:13" ht="12">
      <c r="B130" s="10"/>
      <c r="C130" s="15"/>
      <c r="D130" s="15"/>
      <c r="E130" s="27"/>
      <c r="F130" s="15"/>
      <c r="G130" s="15"/>
      <c r="H130" s="15"/>
      <c r="I130" s="15"/>
      <c r="J130" s="67"/>
      <c r="K130" s="15"/>
      <c r="L130" s="15"/>
      <c r="M130" s="11"/>
    </row>
    <row r="131" spans="2:14" ht="12">
      <c r="B131" s="10"/>
      <c r="C131" s="15"/>
      <c r="D131" s="15"/>
      <c r="E131" s="27"/>
      <c r="F131" s="15"/>
      <c r="G131" s="15"/>
      <c r="H131" s="15"/>
      <c r="I131" s="15"/>
      <c r="J131" s="67"/>
      <c r="K131" s="15"/>
      <c r="L131" s="15"/>
      <c r="M131" s="11"/>
      <c r="N131" s="84"/>
    </row>
    <row r="132" spans="2:13" ht="12">
      <c r="B132" s="10"/>
      <c r="C132" s="15"/>
      <c r="D132" s="15"/>
      <c r="E132" s="27"/>
      <c r="F132" s="15"/>
      <c r="G132" s="15"/>
      <c r="H132" s="15"/>
      <c r="I132" s="15"/>
      <c r="J132" s="67"/>
      <c r="K132" s="15"/>
      <c r="L132" s="15"/>
      <c r="M132" s="11"/>
    </row>
    <row r="133" spans="2:13" ht="12">
      <c r="B133" s="10"/>
      <c r="C133" s="15"/>
      <c r="D133" s="15"/>
      <c r="E133" s="27"/>
      <c r="F133" s="15"/>
      <c r="G133" s="15"/>
      <c r="H133" s="15"/>
      <c r="I133" s="15"/>
      <c r="J133" s="67"/>
      <c r="K133" s="15"/>
      <c r="L133" s="15"/>
      <c r="M133" s="11"/>
    </row>
    <row r="134" spans="2:13" ht="12">
      <c r="B134" s="10"/>
      <c r="C134" s="15"/>
      <c r="F134" s="15"/>
      <c r="G134" s="15"/>
      <c r="H134" s="15"/>
      <c r="I134" s="36"/>
      <c r="J134" s="56"/>
      <c r="K134" s="15"/>
      <c r="L134" s="15"/>
      <c r="M134" s="11"/>
    </row>
    <row r="135" spans="2:13" ht="12">
      <c r="B135" s="10"/>
      <c r="C135" s="15"/>
      <c r="D135" s="15"/>
      <c r="F135" s="15"/>
      <c r="G135" s="15"/>
      <c r="H135" s="15"/>
      <c r="I135" s="15"/>
      <c r="J135" s="56"/>
      <c r="K135" s="15"/>
      <c r="L135" s="15"/>
      <c r="M135" s="11"/>
    </row>
    <row r="136" spans="2:13" ht="12">
      <c r="B136" s="12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4"/>
    </row>
    <row r="139" spans="1:10" ht="12">
      <c r="A139" s="85"/>
      <c r="B139" s="85"/>
      <c r="C139" s="85" t="s">
        <v>93</v>
      </c>
      <c r="D139" s="85"/>
      <c r="E139" t="s">
        <v>94</v>
      </c>
      <c r="J139" s="56">
        <v>220</v>
      </c>
    </row>
    <row r="140" ht="12">
      <c r="J140" s="56"/>
    </row>
    <row r="141" spans="5:10" ht="12">
      <c r="E141" t="s">
        <v>95</v>
      </c>
      <c r="J141" s="56">
        <v>330</v>
      </c>
    </row>
    <row r="142" ht="12">
      <c r="J142" s="56"/>
    </row>
    <row r="143" spans="5:10" ht="12">
      <c r="E143" t="s">
        <v>96</v>
      </c>
      <c r="J143" s="56">
        <v>280</v>
      </c>
    </row>
    <row r="144" ht="12">
      <c r="J144" s="56"/>
    </row>
    <row r="145" spans="5:10" ht="12">
      <c r="E145" t="s">
        <v>97</v>
      </c>
      <c r="J145" s="56">
        <v>120</v>
      </c>
    </row>
    <row r="146" ht="12">
      <c r="J146" s="56"/>
    </row>
    <row r="147" spans="5:11" ht="12">
      <c r="E147" t="s">
        <v>98</v>
      </c>
      <c r="J147" s="56">
        <v>160</v>
      </c>
      <c r="K147" s="85" t="s">
        <v>61</v>
      </c>
    </row>
    <row r="148" ht="12">
      <c r="J148" s="56"/>
    </row>
    <row r="149" spans="5:10" ht="12">
      <c r="E149" t="s">
        <v>99</v>
      </c>
      <c r="J149" s="56">
        <v>60</v>
      </c>
    </row>
    <row r="150" ht="12">
      <c r="J150" s="56"/>
    </row>
    <row r="151" spans="5:10" ht="12">
      <c r="E151" t="s">
        <v>100</v>
      </c>
      <c r="J151" s="56">
        <v>30</v>
      </c>
    </row>
    <row r="152" ht="12">
      <c r="J152" s="56"/>
    </row>
    <row r="153" spans="5:10" ht="12">
      <c r="E153" s="30"/>
      <c r="G153" s="36" t="s">
        <v>101</v>
      </c>
      <c r="J153" s="56">
        <f>+J151+J149+J147+J145+J143+J141+J139</f>
        <v>1200</v>
      </c>
    </row>
  </sheetData>
  <sheetProtection selectLockedCells="1" selectUnlockedCells="1"/>
  <mergeCells count="9">
    <mergeCell ref="C64:L64"/>
    <mergeCell ref="C66:L66"/>
    <mergeCell ref="C67:L67"/>
    <mergeCell ref="C4:L4"/>
    <mergeCell ref="C5:L5"/>
    <mergeCell ref="C8:F8"/>
    <mergeCell ref="I8:L8"/>
    <mergeCell ref="I25:L25"/>
    <mergeCell ref="O54:S54"/>
  </mergeCells>
  <printOptions horizontalCentered="1"/>
  <pageMargins left="0.19652777777777777" right="0.19652777777777777" top="0.39375" bottom="0.19652777777777777" header="0.5118055555555555" footer="0.5118055555555555"/>
  <pageSetup horizontalDpi="300" verticalDpi="300" orientation="portrait" paperSize="9" scale="99"/>
  <rowBreaks count="1" manualBreakCount="1">
    <brk id="104" max="255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euil6"/>
  <dimension ref="A1:A1"/>
  <sheetViews>
    <sheetView zoomScale="140" zoomScaleNormal="140" zoomScalePageLayoutView="0" workbookViewId="0" topLeftCell="A1">
      <selection activeCell="A1" sqref="A1"/>
    </sheetView>
  </sheetViews>
  <sheetFormatPr defaultColWidth="11.140625" defaultRowHeight="12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Feuil8"/>
  <dimension ref="B5:H21"/>
  <sheetViews>
    <sheetView zoomScale="140" zoomScaleNormal="140" zoomScalePageLayoutView="0" workbookViewId="0" topLeftCell="A1">
      <selection activeCell="F8" sqref="F8"/>
    </sheetView>
  </sheetViews>
  <sheetFormatPr defaultColWidth="11.421875" defaultRowHeight="12"/>
  <cols>
    <col min="1" max="1" width="9.140625" style="405" customWidth="1"/>
    <col min="2" max="2" width="31.140625" style="405" customWidth="1"/>
    <col min="3" max="4" width="9.140625" style="405" customWidth="1"/>
    <col min="5" max="5" width="24.57421875" style="405" customWidth="1"/>
    <col min="6" max="6" width="31.140625" style="405" customWidth="1"/>
    <col min="7" max="16384" width="9.140625" style="405" customWidth="1"/>
  </cols>
  <sheetData>
    <row r="5" spans="4:6" ht="18">
      <c r="D5" s="406" t="s">
        <v>493</v>
      </c>
      <c r="E5" s="406"/>
      <c r="F5" s="406"/>
    </row>
    <row r="8" spans="2:6" ht="18">
      <c r="B8" s="406" t="s">
        <v>120</v>
      </c>
      <c r="F8" s="406" t="s">
        <v>494</v>
      </c>
    </row>
    <row r="10" spans="3:8" ht="15">
      <c r="C10" s="405" t="s">
        <v>107</v>
      </c>
      <c r="D10" s="405" t="s">
        <v>108</v>
      </c>
      <c r="G10" s="405" t="s">
        <v>107</v>
      </c>
      <c r="H10" s="405" t="s">
        <v>108</v>
      </c>
    </row>
    <row r="12" spans="2:8" ht="15">
      <c r="B12" s="405" t="s">
        <v>495</v>
      </c>
      <c r="D12" s="405">
        <v>816</v>
      </c>
      <c r="F12" s="405" t="s">
        <v>495</v>
      </c>
      <c r="H12" s="405">
        <v>360</v>
      </c>
    </row>
    <row r="13" spans="2:7" ht="15">
      <c r="B13" s="405" t="s">
        <v>496</v>
      </c>
      <c r="C13" s="405">
        <v>658</v>
      </c>
      <c r="F13" s="405" t="s">
        <v>497</v>
      </c>
      <c r="G13" s="405">
        <v>90</v>
      </c>
    </row>
    <row r="14" spans="2:7" ht="15">
      <c r="B14" s="405" t="s">
        <v>498</v>
      </c>
      <c r="D14" s="405">
        <v>1191.9</v>
      </c>
      <c r="F14" s="405" t="s">
        <v>499</v>
      </c>
      <c r="G14" s="405">
        <v>30</v>
      </c>
    </row>
    <row r="15" spans="2:7" ht="15">
      <c r="B15" s="405" t="s">
        <v>500</v>
      </c>
      <c r="C15" s="405">
        <v>433</v>
      </c>
      <c r="F15" s="405" t="s">
        <v>500</v>
      </c>
      <c r="G15" s="405">
        <v>433</v>
      </c>
    </row>
    <row r="17" spans="2:7" ht="15">
      <c r="B17" s="405" t="s">
        <v>501</v>
      </c>
      <c r="C17" s="405">
        <v>146.44</v>
      </c>
      <c r="F17" s="405" t="s">
        <v>501</v>
      </c>
      <c r="G17" s="405">
        <v>146.44</v>
      </c>
    </row>
    <row r="19" spans="3:8" ht="15">
      <c r="C19" s="405">
        <f>SUM(C12:C17)</f>
        <v>1237.44</v>
      </c>
      <c r="D19" s="405">
        <f>SUM(D12:D17)</f>
        <v>2007.9</v>
      </c>
      <c r="F19" s="405" t="s">
        <v>498</v>
      </c>
      <c r="G19" s="405">
        <f>SUM(G12:G17)</f>
        <v>699.44</v>
      </c>
      <c r="H19" s="405">
        <f>SUM(H12:H17)</f>
        <v>360</v>
      </c>
    </row>
    <row r="21" spans="3:8" ht="15">
      <c r="C21" s="430">
        <f>+D19-C19</f>
        <v>770.46</v>
      </c>
      <c r="D21" s="430"/>
      <c r="G21" s="430">
        <f>+H19-G19</f>
        <v>-339.44000000000005</v>
      </c>
      <c r="H21" s="430"/>
    </row>
  </sheetData>
  <sheetProtection selectLockedCells="1" selectUnlockedCells="1"/>
  <mergeCells count="2">
    <mergeCell ref="C21:D21"/>
    <mergeCell ref="G21:H21"/>
  </mergeCells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="140" zoomScaleNormal="140" zoomScalePageLayoutView="0" workbookViewId="0" topLeftCell="A1">
      <selection activeCell="A2" sqref="A2"/>
    </sheetView>
  </sheetViews>
  <sheetFormatPr defaultColWidth="13.140625" defaultRowHeight="12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>
    <tabColor indexed="11"/>
  </sheetPr>
  <dimension ref="A1:J599"/>
  <sheetViews>
    <sheetView zoomScale="140" zoomScaleNormal="140" zoomScalePageLayoutView="0" workbookViewId="0" topLeftCell="A1">
      <pane ySplit="5" topLeftCell="A6" activePane="bottomLeft" state="frozen"/>
      <selection pane="topLeft" activeCell="A1" sqref="A1"/>
      <selection pane="bottomLeft" activeCell="B32" sqref="B32"/>
    </sheetView>
  </sheetViews>
  <sheetFormatPr defaultColWidth="11.421875" defaultRowHeight="12"/>
  <cols>
    <col min="1" max="1" width="10.140625" style="86" customWidth="1"/>
    <col min="2" max="3" width="26.57421875" style="87" customWidth="1"/>
    <col min="4" max="6" width="9.140625" style="88" customWidth="1"/>
    <col min="7" max="7" width="8.421875" style="88" hidden="1" customWidth="1"/>
    <col min="8" max="8" width="29.57421875" style="87" customWidth="1"/>
    <col min="9" max="9" width="21.140625" style="87" customWidth="1"/>
    <col min="10" max="16384" width="9.140625" style="87" customWidth="1"/>
  </cols>
  <sheetData>
    <row r="1" spans="1:8" ht="16.5">
      <c r="A1" s="89"/>
      <c r="B1" s="413" t="s">
        <v>102</v>
      </c>
      <c r="C1" s="413"/>
      <c r="D1" s="413"/>
      <c r="E1" s="413"/>
      <c r="F1" s="90"/>
      <c r="G1" s="91"/>
      <c r="H1" s="92"/>
    </row>
    <row r="2" spans="1:8" ht="7.5" customHeight="1">
      <c r="A2" s="93"/>
      <c r="B2" s="414"/>
      <c r="C2" s="414"/>
      <c r="D2" s="414"/>
      <c r="E2" s="414"/>
      <c r="F2" s="414"/>
      <c r="G2" s="94"/>
      <c r="H2" s="92"/>
    </row>
    <row r="3" spans="1:8" ht="15" customHeight="1">
      <c r="A3" s="95"/>
      <c r="B3" s="415" t="s">
        <v>41</v>
      </c>
      <c r="C3" s="415"/>
      <c r="D3" s="415"/>
      <c r="E3" s="415"/>
      <c r="F3" s="97">
        <f ca="1">VLOOKUP(TODAY(),base_de_données_espèces,6,TRUE)</f>
        <v>58.89999999999999</v>
      </c>
      <c r="G3" s="98"/>
      <c r="H3" s="92"/>
    </row>
    <row r="4" spans="1:8" ht="12.75">
      <c r="A4" s="99" t="s">
        <v>103</v>
      </c>
      <c r="B4" s="100">
        <f ca="1">TODAY()</f>
        <v>44111</v>
      </c>
      <c r="C4" s="101"/>
      <c r="D4" s="102"/>
      <c r="E4" s="102"/>
      <c r="F4" s="103"/>
      <c r="G4" s="98"/>
      <c r="H4" s="92"/>
    </row>
    <row r="5" spans="1:8" ht="12.75">
      <c r="A5" s="104" t="s">
        <v>104</v>
      </c>
      <c r="B5" s="105" t="s">
        <v>105</v>
      </c>
      <c r="C5" s="105" t="s">
        <v>106</v>
      </c>
      <c r="D5" s="106" t="s">
        <v>107</v>
      </c>
      <c r="E5" s="106" t="s">
        <v>108</v>
      </c>
      <c r="F5" s="107" t="s">
        <v>109</v>
      </c>
      <c r="G5" s="108"/>
      <c r="H5" s="109"/>
    </row>
    <row r="6" spans="1:8" ht="12.75">
      <c r="A6" s="110">
        <v>43763</v>
      </c>
      <c r="B6" s="111" t="s">
        <v>110</v>
      </c>
      <c r="C6" s="112"/>
      <c r="D6" s="113">
        <v>0</v>
      </c>
      <c r="E6" s="113">
        <v>0</v>
      </c>
      <c r="F6" s="114">
        <f>E6-D6+F4</f>
        <v>0</v>
      </c>
      <c r="G6" s="115" t="e">
        <f>IF(#REF!="",-E6+D6,"")</f>
        <v>#REF!</v>
      </c>
      <c r="H6" s="116"/>
    </row>
    <row r="7" spans="1:10" ht="12.75">
      <c r="A7" s="117">
        <v>43806</v>
      </c>
      <c r="B7" s="118" t="s">
        <v>111</v>
      </c>
      <c r="C7" s="119" t="s">
        <v>112</v>
      </c>
      <c r="D7" s="120"/>
      <c r="E7" s="120">
        <v>72</v>
      </c>
      <c r="F7" s="114">
        <f>IF(A7="","",F6+E7-D7)</f>
        <v>72</v>
      </c>
      <c r="G7" s="121" t="e">
        <f>IF(#REF!="",-E7+D7,"")</f>
        <v>#REF!</v>
      </c>
      <c r="H7" s="122" t="str">
        <f>critères!B5</f>
        <v>régul ex précédent</v>
      </c>
      <c r="J7" s="87" t="s">
        <v>61</v>
      </c>
    </row>
    <row r="8" spans="1:8" ht="12.75">
      <c r="A8" s="117">
        <v>43806</v>
      </c>
      <c r="B8" s="118" t="s">
        <v>113</v>
      </c>
      <c r="C8" s="116" t="s">
        <v>114</v>
      </c>
      <c r="D8" s="120"/>
      <c r="E8" s="120">
        <v>57</v>
      </c>
      <c r="F8" s="114">
        <f>IF(A8="","",F7+E8-D8)</f>
        <v>129</v>
      </c>
      <c r="G8" s="121" t="e">
        <f>IF(#REF!="",-E8+D8,"")</f>
        <v>#REF!</v>
      </c>
      <c r="H8" s="122" t="str">
        <f>critères!B7</f>
        <v>licences</v>
      </c>
    </row>
    <row r="9" spans="1:8" ht="12.75">
      <c r="A9" s="117">
        <v>43822</v>
      </c>
      <c r="B9" s="118" t="s">
        <v>115</v>
      </c>
      <c r="C9" s="119" t="s">
        <v>112</v>
      </c>
      <c r="D9" s="120"/>
      <c r="E9" s="120">
        <v>72</v>
      </c>
      <c r="F9" s="114">
        <f>IF(A9="","",F8+E9-D9)</f>
        <v>201</v>
      </c>
      <c r="G9" s="121" t="e">
        <f>IF(#REF!="",-E9+D9,"")</f>
        <v>#REF!</v>
      </c>
      <c r="H9" s="122" t="str">
        <f>critères!B8</f>
        <v>adhésion du club</v>
      </c>
    </row>
    <row r="10" spans="1:9" ht="12.75">
      <c r="A10" s="117">
        <v>43822</v>
      </c>
      <c r="B10" s="118" t="s">
        <v>113</v>
      </c>
      <c r="C10" s="116" t="s">
        <v>114</v>
      </c>
      <c r="D10" s="120"/>
      <c r="E10" s="120">
        <v>134.1</v>
      </c>
      <c r="F10" s="114">
        <f>IF(A10="","",F9+E10-D10)</f>
        <v>335.1</v>
      </c>
      <c r="G10" s="121" t="e">
        <f>IF(#REF!="",-E10+D10,"")</f>
        <v>#REF!</v>
      </c>
      <c r="H10" s="122" t="str">
        <f>critères!B9</f>
        <v>défaut arbitrage</v>
      </c>
      <c r="I10" s="123">
        <f>SUM(E7:E24)</f>
        <v>931.1</v>
      </c>
    </row>
    <row r="11" spans="1:9" ht="12.75">
      <c r="A11" s="117">
        <v>43822</v>
      </c>
      <c r="B11" s="118" t="s">
        <v>116</v>
      </c>
      <c r="C11" s="116"/>
      <c r="D11" s="120">
        <v>285.1</v>
      </c>
      <c r="E11" s="120"/>
      <c r="F11" s="114">
        <f>IF(A11="","",F10+E11-D11)</f>
        <v>50</v>
      </c>
      <c r="G11" s="121" t="e">
        <f>IF(#REF!="",-E11+D11,"")</f>
        <v>#REF!</v>
      </c>
      <c r="H11" s="122" t="str">
        <f>critères!B10</f>
        <v>calendriers comité</v>
      </c>
      <c r="I11" s="123">
        <f>SUM(D9:D23)</f>
        <v>720.1</v>
      </c>
    </row>
    <row r="12" spans="1:9" ht="12.75">
      <c r="A12" s="117">
        <v>43833</v>
      </c>
      <c r="B12" s="118" t="s">
        <v>117</v>
      </c>
      <c r="C12" s="119" t="s">
        <v>112</v>
      </c>
      <c r="D12" s="120"/>
      <c r="E12" s="120">
        <v>36</v>
      </c>
      <c r="F12" s="114">
        <f>IF(A12="","",F11+E12-D12)</f>
        <v>86</v>
      </c>
      <c r="G12" s="121" t="e">
        <f>IF(#REF!="",-E12+D12,"")</f>
        <v>#REF!</v>
      </c>
      <c r="H12" s="122" t="str">
        <f>critères!B11</f>
        <v>frais de banque</v>
      </c>
      <c r="I12" s="123"/>
    </row>
    <row r="13" spans="1:10" ht="12.75">
      <c r="A13" s="117">
        <v>43836</v>
      </c>
      <c r="B13" s="118" t="s">
        <v>118</v>
      </c>
      <c r="C13" s="119" t="s">
        <v>112</v>
      </c>
      <c r="D13" s="120"/>
      <c r="E13" s="120">
        <v>36</v>
      </c>
      <c r="F13" s="114">
        <f>IF(A13="","",F12+E13-D13)</f>
        <v>122</v>
      </c>
      <c r="G13" s="121" t="e">
        <f>IF(#REF!="",-E13+D13,"")</f>
        <v>#REF!</v>
      </c>
      <c r="H13" s="122" t="str">
        <f>critères!B12</f>
        <v>assurance</v>
      </c>
      <c r="J13" s="87" t="s">
        <v>61</v>
      </c>
    </row>
    <row r="14" spans="1:10" ht="12.75">
      <c r="A14" s="117">
        <v>43836</v>
      </c>
      <c r="B14" s="118" t="s">
        <v>119</v>
      </c>
      <c r="C14" s="124" t="s">
        <v>120</v>
      </c>
      <c r="D14" s="125"/>
      <c r="E14" s="125">
        <v>0</v>
      </c>
      <c r="F14" s="114">
        <f>IF(A14="","",F13+E14-D14)</f>
        <v>122</v>
      </c>
      <c r="G14" s="121" t="e">
        <f>IF(#REF!="",-E14+D14,"")</f>
        <v>#REF!</v>
      </c>
      <c r="H14" s="122" t="str">
        <f>critères!B13</f>
        <v>secrétariat</v>
      </c>
      <c r="J14" s="87" t="s">
        <v>61</v>
      </c>
    </row>
    <row r="15" spans="1:8" ht="12.75">
      <c r="A15" s="117">
        <v>43836</v>
      </c>
      <c r="B15" s="118" t="s">
        <v>121</v>
      </c>
      <c r="C15" s="116" t="s">
        <v>114</v>
      </c>
      <c r="D15" s="125"/>
      <c r="E15" s="125">
        <v>19</v>
      </c>
      <c r="F15" s="114">
        <f>IF(A15="","",F14+E15-D15)</f>
        <v>141</v>
      </c>
      <c r="G15" s="121" t="e">
        <f>IF(#REF!="",-E15+D15,"")</f>
        <v>#REF!</v>
      </c>
      <c r="H15" s="122" t="str">
        <f>critères!B14</f>
        <v>achat matériel</v>
      </c>
    </row>
    <row r="16" spans="1:9" ht="12.75">
      <c r="A16" s="117">
        <v>43839</v>
      </c>
      <c r="B16" s="118" t="s">
        <v>122</v>
      </c>
      <c r="C16" s="119" t="s">
        <v>112</v>
      </c>
      <c r="D16" s="125"/>
      <c r="E16" s="125">
        <v>0</v>
      </c>
      <c r="F16" s="114">
        <f>IF(A16="","",F15+E16-D16)</f>
        <v>141</v>
      </c>
      <c r="G16" s="121" t="e">
        <f>IF(#REF!="",-E16+D16,"")</f>
        <v>#REF!</v>
      </c>
      <c r="H16" s="122" t="str">
        <f>critères!B15</f>
        <v>subvention St Jean</v>
      </c>
      <c r="I16" s="123"/>
    </row>
    <row r="17" spans="1:8" ht="12.75">
      <c r="A17" s="117">
        <v>43839</v>
      </c>
      <c r="B17" s="118" t="s">
        <v>113</v>
      </c>
      <c r="C17" s="116" t="s">
        <v>114</v>
      </c>
      <c r="D17" s="125">
        <v>0</v>
      </c>
      <c r="E17" s="125">
        <v>4</v>
      </c>
      <c r="F17" s="114">
        <f>IF(A17="","",F16+E17-D17)</f>
        <v>145</v>
      </c>
      <c r="G17" s="121" t="e">
        <f>IF(#REF!="",-E17+D17,"")</f>
        <v>#REF!</v>
      </c>
      <c r="H17" s="122" t="str">
        <f>critères!B16</f>
        <v>subvention St Martin</v>
      </c>
    </row>
    <row r="18" spans="1:8" ht="12.75">
      <c r="A18" s="117">
        <v>43847</v>
      </c>
      <c r="B18" s="118" t="s">
        <v>123</v>
      </c>
      <c r="C18" s="119" t="s">
        <v>112</v>
      </c>
      <c r="D18" s="125"/>
      <c r="E18" s="125">
        <v>0</v>
      </c>
      <c r="F18" s="114">
        <f>IF(A18="","",F17+E18-D18)</f>
        <v>145</v>
      </c>
      <c r="G18" s="126" t="e">
        <f>IF(#REF!="",-E18+D18,"")</f>
        <v>#REF!</v>
      </c>
      <c r="H18" s="122" t="str">
        <f>critères!B17</f>
        <v>autres recettes</v>
      </c>
    </row>
    <row r="19" spans="1:8" ht="12.75">
      <c r="A19" s="117">
        <v>43850</v>
      </c>
      <c r="B19" s="118" t="s">
        <v>124</v>
      </c>
      <c r="C19" s="119" t="s">
        <v>112</v>
      </c>
      <c r="D19" s="125"/>
      <c r="E19" s="125">
        <v>0</v>
      </c>
      <c r="F19" s="114">
        <f>IF(A19="","",F18+E19-D19)</f>
        <v>145</v>
      </c>
      <c r="G19" s="121" t="e">
        <f>IF(#REF!="",-E19+D19,"")</f>
        <v>#REF!</v>
      </c>
      <c r="H19" s="122" t="str">
        <f>critères!B18</f>
        <v>autres dépenses</v>
      </c>
    </row>
    <row r="20" spans="1:8" ht="12.75">
      <c r="A20" s="117">
        <v>43850</v>
      </c>
      <c r="B20" s="118" t="s">
        <v>113</v>
      </c>
      <c r="C20" s="116" t="s">
        <v>114</v>
      </c>
      <c r="D20" s="125"/>
      <c r="E20" s="125">
        <v>0</v>
      </c>
      <c r="F20" s="114">
        <f>IF(A20="","",F19+E20-D20)</f>
        <v>145</v>
      </c>
      <c r="G20" s="121" t="e">
        <f>IF(#REF!="",-E20+D20,"")</f>
        <v>#REF!</v>
      </c>
      <c r="H20" s="122" t="str">
        <f>critères!B19</f>
        <v>vêtements</v>
      </c>
    </row>
    <row r="21" spans="1:8" ht="12.75">
      <c r="A21" s="117">
        <v>43850</v>
      </c>
      <c r="B21" s="118" t="s">
        <v>125</v>
      </c>
      <c r="C21" s="119" t="s">
        <v>112</v>
      </c>
      <c r="D21" s="125"/>
      <c r="E21" s="125">
        <v>0</v>
      </c>
      <c r="F21" s="114">
        <f>IF(A21="","",F20+E21-D21)</f>
        <v>145</v>
      </c>
      <c r="G21" s="121" t="e">
        <f aca="true" t="shared" si="0" ref="G21:G33">IF(#REF!="",-E21+D21,"")</f>
        <v>#REF!</v>
      </c>
      <c r="H21" s="122" t="str">
        <f>critères!B20</f>
        <v>sponsors</v>
      </c>
    </row>
    <row r="22" spans="1:8" ht="12.75">
      <c r="A22" s="117">
        <v>43851</v>
      </c>
      <c r="B22" s="118" t="s">
        <v>126</v>
      </c>
      <c r="C22" s="116"/>
      <c r="D22" s="125"/>
      <c r="E22" s="125">
        <v>477</v>
      </c>
      <c r="F22" s="114">
        <f>IF(A22="","",F21+E22-D22)</f>
        <v>622</v>
      </c>
      <c r="G22" s="121" t="e">
        <f t="shared" si="0"/>
        <v>#REF!</v>
      </c>
      <c r="H22" s="122" t="str">
        <f>critères!B21</f>
        <v>adhésions loisirs</v>
      </c>
    </row>
    <row r="23" spans="1:8" ht="12.75">
      <c r="A23" s="117">
        <v>43851</v>
      </c>
      <c r="B23" s="118" t="s">
        <v>127</v>
      </c>
      <c r="C23" s="116"/>
      <c r="D23" s="125">
        <v>435</v>
      </c>
      <c r="E23" s="125"/>
      <c r="F23" s="114">
        <f>IF(A23="","",F22+E23-D23)</f>
        <v>187</v>
      </c>
      <c r="G23" s="121" t="e">
        <f t="shared" si="0"/>
        <v>#REF!</v>
      </c>
      <c r="H23" s="122" t="str">
        <f>critères!B22</f>
        <v>indemnités kilométriques</v>
      </c>
    </row>
    <row r="24" spans="1:8" ht="12.75">
      <c r="A24" s="117">
        <v>43853</v>
      </c>
      <c r="B24" s="118" t="s">
        <v>128</v>
      </c>
      <c r="C24" s="116" t="s">
        <v>114</v>
      </c>
      <c r="D24" s="125"/>
      <c r="E24" s="125">
        <v>24</v>
      </c>
      <c r="F24" s="114">
        <f>IF(A24="","",F23+E24-D24)</f>
        <v>211</v>
      </c>
      <c r="G24" s="121" t="e">
        <f t="shared" si="0"/>
        <v>#REF!</v>
      </c>
      <c r="H24" s="122" t="str">
        <f>critères!B23</f>
        <v>transfert compte à compte</v>
      </c>
    </row>
    <row r="25" spans="1:8" ht="12.75">
      <c r="A25" s="117">
        <v>43860</v>
      </c>
      <c r="B25" s="118" t="s">
        <v>129</v>
      </c>
      <c r="C25" s="116" t="s">
        <v>114</v>
      </c>
      <c r="D25" s="125"/>
      <c r="E25" s="125">
        <v>60</v>
      </c>
      <c r="F25" s="114">
        <f>IF(A25="","",F24+E25-D25)</f>
        <v>271</v>
      </c>
      <c r="G25" s="121" t="e">
        <f t="shared" si="0"/>
        <v>#REF!</v>
      </c>
      <c r="H25" s="122" t="str">
        <f>critères!B24</f>
        <v>dépots/retraits</v>
      </c>
    </row>
    <row r="26" spans="1:8" ht="12.75">
      <c r="A26" s="117">
        <v>43860</v>
      </c>
      <c r="B26" s="118" t="s">
        <v>130</v>
      </c>
      <c r="C26" s="116" t="s">
        <v>9</v>
      </c>
      <c r="D26" s="125"/>
      <c r="E26" s="125">
        <v>48</v>
      </c>
      <c r="F26" s="114">
        <f>IF(A26="","",F25+E26-D26)</f>
        <v>319</v>
      </c>
      <c r="G26" s="121" t="e">
        <f t="shared" si="0"/>
        <v>#REF!</v>
      </c>
      <c r="H26" s="122" t="str">
        <f>critères!B25</f>
        <v>arbitrage</v>
      </c>
    </row>
    <row r="27" spans="1:8" ht="12.75">
      <c r="A27" s="117">
        <v>43855</v>
      </c>
      <c r="B27" s="118" t="s">
        <v>116</v>
      </c>
      <c r="C27" s="124"/>
      <c r="D27" s="125">
        <v>637</v>
      </c>
      <c r="E27" s="125">
        <v>637</v>
      </c>
      <c r="F27" s="114">
        <f>IF(A27="","",F26+E27-D27)</f>
        <v>319</v>
      </c>
      <c r="G27" s="121" t="e">
        <f t="shared" si="0"/>
        <v>#REF!</v>
      </c>
      <c r="H27" s="122" t="str">
        <f>critères!B26</f>
        <v>concours extérieurs</v>
      </c>
    </row>
    <row r="28" spans="1:8" ht="12.75">
      <c r="A28" s="117">
        <v>43855</v>
      </c>
      <c r="B28" s="118" t="s">
        <v>116</v>
      </c>
      <c r="C28" s="124" t="s">
        <v>61</v>
      </c>
      <c r="D28" s="125">
        <v>109.9</v>
      </c>
      <c r="E28" s="125">
        <v>109.9</v>
      </c>
      <c r="F28" s="114">
        <f>IF(A28="","",F27+E28-D28)</f>
        <v>319</v>
      </c>
      <c r="G28" s="121" t="e">
        <f t="shared" si="0"/>
        <v>#REF!</v>
      </c>
      <c r="H28" s="122">
        <f>critères!B27</f>
        <v>0</v>
      </c>
    </row>
    <row r="29" spans="1:8" ht="12.75">
      <c r="A29" s="117">
        <v>43855</v>
      </c>
      <c r="B29" s="118" t="s">
        <v>116</v>
      </c>
      <c r="C29" s="124" t="s">
        <v>61</v>
      </c>
      <c r="D29" s="125">
        <v>1360</v>
      </c>
      <c r="E29" s="125">
        <v>1360</v>
      </c>
      <c r="F29" s="114">
        <f>IF(A29="","",F28+E29-D29)</f>
        <v>319</v>
      </c>
      <c r="G29" s="121" t="e">
        <f t="shared" si="0"/>
        <v>#REF!</v>
      </c>
      <c r="H29" s="122" t="str">
        <f>critères!B28</f>
        <v>concours interne </v>
      </c>
    </row>
    <row r="30" spans="1:8" ht="12.75">
      <c r="A30" s="117">
        <v>43833</v>
      </c>
      <c r="B30" s="118" t="s">
        <v>131</v>
      </c>
      <c r="C30" s="116" t="s">
        <v>114</v>
      </c>
      <c r="D30" s="125"/>
      <c r="E30" s="125">
        <v>22</v>
      </c>
      <c r="F30" s="114">
        <f>IF(A30="","",F29+E30-D30)</f>
        <v>341</v>
      </c>
      <c r="G30" s="121" t="e">
        <f t="shared" si="0"/>
        <v>#REF!</v>
      </c>
      <c r="H30" s="122" t="str">
        <f>critères!B29</f>
        <v>belote</v>
      </c>
    </row>
    <row r="31" spans="1:8" ht="12.75">
      <c r="A31" s="117">
        <v>43864</v>
      </c>
      <c r="B31" s="118" t="s">
        <v>116</v>
      </c>
      <c r="C31" s="116"/>
      <c r="D31" s="125">
        <v>341</v>
      </c>
      <c r="E31" s="125"/>
      <c r="F31" s="114">
        <f>IF(A31="","",F30+E31-D31)</f>
        <v>0</v>
      </c>
      <c r="G31" s="121" t="e">
        <f t="shared" si="0"/>
        <v>#REF!</v>
      </c>
      <c r="H31" s="122" t="str">
        <f>critères!B30</f>
        <v>concours vétérans mars</v>
      </c>
    </row>
    <row r="32" spans="1:8" ht="12.75">
      <c r="A32" s="117">
        <v>43864</v>
      </c>
      <c r="B32" s="118" t="s">
        <v>132</v>
      </c>
      <c r="C32" s="116"/>
      <c r="D32" s="125"/>
      <c r="E32" s="125">
        <v>60.14</v>
      </c>
      <c r="F32" s="114">
        <f>IF(A32="","",F31+E32-D32)</f>
        <v>60.14</v>
      </c>
      <c r="G32" s="121" t="e">
        <f t="shared" si="0"/>
        <v>#REF!</v>
      </c>
      <c r="H32" s="122" t="str">
        <f>critères!B31</f>
        <v>coupe de m&amp;l 55 ans</v>
      </c>
    </row>
    <row r="33" spans="1:8" ht="12.75">
      <c r="A33" s="117">
        <v>43864</v>
      </c>
      <c r="B33" s="118" t="s">
        <v>133</v>
      </c>
      <c r="C33" s="116" t="s">
        <v>114</v>
      </c>
      <c r="D33" s="125"/>
      <c r="E33" s="125">
        <v>22</v>
      </c>
      <c r="F33" s="114">
        <f>IF(A33="","",F32+E33-D33)</f>
        <v>82.14</v>
      </c>
      <c r="G33" s="121" t="e">
        <f t="shared" si="0"/>
        <v>#REF!</v>
      </c>
      <c r="H33" s="122" t="str">
        <f>critères!B32</f>
        <v>concours vétérans septembre</v>
      </c>
    </row>
    <row r="34" spans="1:8" ht="12.75">
      <c r="A34" s="117">
        <v>43864</v>
      </c>
      <c r="B34" s="118" t="s">
        <v>134</v>
      </c>
      <c r="C34" s="116" t="s">
        <v>135</v>
      </c>
      <c r="D34" s="125"/>
      <c r="E34" s="125">
        <v>58</v>
      </c>
      <c r="F34" s="114">
        <f>IF(A34="","",F33+E34-D34)</f>
        <v>140.14</v>
      </c>
      <c r="G34" s="121" t="e">
        <f aca="true" t="shared" si="1" ref="G34:G39">IF(#REF!="",-E35+D35,"")</f>
        <v>#REF!</v>
      </c>
      <c r="H34" s="122" t="str">
        <f>critères!B33</f>
        <v>manifestation6</v>
      </c>
    </row>
    <row r="35" spans="1:8" ht="12.75">
      <c r="A35" s="117">
        <v>43864</v>
      </c>
      <c r="B35" s="127" t="s">
        <v>136</v>
      </c>
      <c r="C35" s="116" t="s">
        <v>114</v>
      </c>
      <c r="D35" s="125"/>
      <c r="E35" s="125">
        <v>3</v>
      </c>
      <c r="F35" s="114">
        <f>IF(A35="","",F34+E35-D35)</f>
        <v>143.14</v>
      </c>
      <c r="G35" s="121" t="e">
        <f t="shared" si="1"/>
        <v>#REF!</v>
      </c>
      <c r="H35" s="122" t="str">
        <f>critères!B34</f>
        <v>manifestation7</v>
      </c>
    </row>
    <row r="36" spans="1:8" ht="12.75">
      <c r="A36" s="117">
        <v>43864</v>
      </c>
      <c r="B36" s="118" t="s">
        <v>137</v>
      </c>
      <c r="C36" s="116" t="s">
        <v>114</v>
      </c>
      <c r="D36" s="125"/>
      <c r="E36" s="125">
        <v>4</v>
      </c>
      <c r="F36" s="114">
        <f>IF(A36="","",F35+E36-D36)</f>
        <v>147.14</v>
      </c>
      <c r="G36" s="121" t="e">
        <f t="shared" si="1"/>
        <v>#REF!</v>
      </c>
      <c r="H36" s="122" t="str">
        <f>critères!B35</f>
        <v>manifestation8</v>
      </c>
    </row>
    <row r="37" spans="1:8" ht="12.75">
      <c r="A37" s="117">
        <v>43866</v>
      </c>
      <c r="B37" s="118" t="s">
        <v>138</v>
      </c>
      <c r="C37" s="116" t="s">
        <v>135</v>
      </c>
      <c r="D37" s="125"/>
      <c r="E37" s="125">
        <v>28</v>
      </c>
      <c r="F37" s="114">
        <f>IF(A37="","",F36+E37-D37)</f>
        <v>175.14</v>
      </c>
      <c r="G37" s="121" t="e">
        <f t="shared" si="1"/>
        <v>#REF!</v>
      </c>
      <c r="H37" s="122" t="str">
        <f>critères!B36</f>
        <v>manifestation9</v>
      </c>
    </row>
    <row r="38" spans="1:7" ht="12.75">
      <c r="A38" s="117">
        <v>43866</v>
      </c>
      <c r="B38" s="118" t="s">
        <v>116</v>
      </c>
      <c r="C38" s="116"/>
      <c r="D38" s="125">
        <v>116.24</v>
      </c>
      <c r="E38" s="128"/>
      <c r="F38" s="114">
        <f>IF(A38="","",F37+E38-D38)</f>
        <v>58.89999999999999</v>
      </c>
      <c r="G38" s="129" t="e">
        <f t="shared" si="1"/>
        <v>#REF!</v>
      </c>
    </row>
    <row r="39" spans="1:7" ht="12.75">
      <c r="A39" s="117"/>
      <c r="B39" s="130"/>
      <c r="C39" s="116"/>
      <c r="D39" s="120"/>
      <c r="E39" s="120"/>
      <c r="F39" s="114">
        <f>IF(A39="","",F38+E39-D39)</f>
      </c>
      <c r="G39" s="129" t="e">
        <f t="shared" si="1"/>
        <v>#REF!</v>
      </c>
    </row>
    <row r="40" spans="1:8" ht="12.75">
      <c r="A40" s="117"/>
      <c r="B40" s="118"/>
      <c r="C40" s="116"/>
      <c r="D40" s="120"/>
      <c r="E40" s="131"/>
      <c r="F40" s="114">
        <f>IF(A40="","",F39+E40-D40)</f>
      </c>
      <c r="G40" s="129" t="e">
        <f>IF(#REF!="",-#REF!+#REF!,"")</f>
        <v>#REF!</v>
      </c>
      <c r="H40" s="132"/>
    </row>
    <row r="41" spans="1:8" ht="12.75">
      <c r="A41" s="117"/>
      <c r="B41" s="118"/>
      <c r="C41" s="116"/>
      <c r="D41" s="120"/>
      <c r="E41" s="120"/>
      <c r="F41" s="114">
        <f>IF(A41="","",F40+E41-D41)</f>
      </c>
      <c r="G41" s="129"/>
      <c r="H41" s="132"/>
    </row>
    <row r="42" spans="1:8" ht="12.75">
      <c r="A42" s="117"/>
      <c r="B42" s="118"/>
      <c r="C42" s="116"/>
      <c r="D42" s="120"/>
      <c r="E42" s="120"/>
      <c r="F42" s="114">
        <f>IF(A42="","",F41+E42-D42)</f>
      </c>
      <c r="G42" s="129"/>
      <c r="H42" s="132"/>
    </row>
    <row r="43" spans="1:8" ht="12.75">
      <c r="A43" s="133"/>
      <c r="B43" s="134"/>
      <c r="C43" s="119"/>
      <c r="D43" s="131"/>
      <c r="E43" s="131"/>
      <c r="F43" s="114">
        <f>IF(A43="","",F42+E43-D43)</f>
      </c>
      <c r="G43" s="129"/>
      <c r="H43" s="135"/>
    </row>
    <row r="44" spans="1:8" ht="12.75">
      <c r="A44" s="117"/>
      <c r="B44" s="136"/>
      <c r="C44" s="119"/>
      <c r="D44" s="120"/>
      <c r="E44" s="120"/>
      <c r="F44" s="114">
        <f>IF(A44="","",F43+E44-D44)</f>
      </c>
      <c r="G44" s="129"/>
      <c r="H44" s="132"/>
    </row>
    <row r="45" spans="1:8" ht="12.75">
      <c r="A45" s="117"/>
      <c r="B45" s="118"/>
      <c r="C45" s="119"/>
      <c r="D45" s="120"/>
      <c r="E45" s="120"/>
      <c r="F45" s="114">
        <f>IF(A45="","",F44+E45-D45)</f>
      </c>
      <c r="G45" s="129"/>
      <c r="H45" s="132"/>
    </row>
    <row r="46" spans="1:8" ht="12.75">
      <c r="A46" s="117"/>
      <c r="B46" s="118"/>
      <c r="C46" s="119"/>
      <c r="D46" s="120"/>
      <c r="E46" s="120"/>
      <c r="F46" s="114">
        <f>IF(A46="","",F45+E46-D46)</f>
      </c>
      <c r="G46" s="129"/>
      <c r="H46" s="132"/>
    </row>
    <row r="47" spans="1:8" ht="12.75">
      <c r="A47" s="117"/>
      <c r="B47" s="118"/>
      <c r="C47" s="119"/>
      <c r="D47" s="120"/>
      <c r="E47" s="120"/>
      <c r="F47" s="114">
        <f>IF(A47="","",F46+E47-D47)</f>
      </c>
      <c r="G47" s="129"/>
      <c r="H47" s="132"/>
    </row>
    <row r="48" spans="1:8" ht="12.75">
      <c r="A48" s="117"/>
      <c r="B48" s="118"/>
      <c r="C48" s="116"/>
      <c r="D48" s="120"/>
      <c r="E48" s="120"/>
      <c r="F48" s="114">
        <f>IF(A48="","",F47+E48-D48)</f>
      </c>
      <c r="G48" s="129"/>
      <c r="H48" s="132"/>
    </row>
    <row r="49" spans="1:8" ht="12.75">
      <c r="A49" s="117"/>
      <c r="B49" s="118"/>
      <c r="C49" s="116"/>
      <c r="D49" s="120"/>
      <c r="E49" s="120"/>
      <c r="F49" s="114">
        <f>IF(A49="","",F48+E49-D49)</f>
      </c>
      <c r="G49" s="129"/>
      <c r="H49" s="132"/>
    </row>
    <row r="50" spans="1:8" ht="12.75">
      <c r="A50" s="117"/>
      <c r="B50" s="118"/>
      <c r="C50" s="119"/>
      <c r="D50" s="120"/>
      <c r="E50" s="120"/>
      <c r="F50" s="114">
        <f>IF(A50="","",F49+E50-D50)</f>
      </c>
      <c r="G50" s="129"/>
      <c r="H50" s="132"/>
    </row>
    <row r="51" spans="1:8" ht="12.75">
      <c r="A51" s="117"/>
      <c r="B51" s="118"/>
      <c r="C51" s="116"/>
      <c r="D51" s="120"/>
      <c r="E51" s="120"/>
      <c r="F51" s="114">
        <f>IF(A51="","",F50+E51-D51)</f>
      </c>
      <c r="G51" s="129"/>
      <c r="H51" s="132"/>
    </row>
    <row r="52" spans="1:8" ht="12.75">
      <c r="A52" s="117"/>
      <c r="B52" s="118"/>
      <c r="C52" s="116"/>
      <c r="D52" s="120"/>
      <c r="E52" s="120"/>
      <c r="F52" s="114">
        <f>IF(A52="","",F51+E52-D52)</f>
      </c>
      <c r="G52" s="129"/>
      <c r="H52" s="132"/>
    </row>
    <row r="53" spans="1:8" ht="12.75">
      <c r="A53" s="137"/>
      <c r="B53" s="118"/>
      <c r="C53" s="116"/>
      <c r="D53" s="120"/>
      <c r="E53" s="120"/>
      <c r="F53" s="114">
        <f>IF(A53="","",F52+E53-D53)</f>
      </c>
      <c r="G53" s="129"/>
      <c r="H53" s="132"/>
    </row>
    <row r="54" spans="1:8" ht="12.75">
      <c r="A54" s="137"/>
      <c r="B54" s="118"/>
      <c r="C54" s="116"/>
      <c r="D54" s="120"/>
      <c r="E54" s="120"/>
      <c r="F54" s="114">
        <f>IF(A54="","",F53+E54-D54)</f>
      </c>
      <c r="G54" s="129"/>
      <c r="H54" s="132"/>
    </row>
    <row r="55" spans="1:8" ht="12.75">
      <c r="A55" s="137"/>
      <c r="B55" s="118"/>
      <c r="C55" s="116"/>
      <c r="D55" s="120"/>
      <c r="E55" s="120"/>
      <c r="F55" s="114">
        <f>IF(A55="","",F54+E55-D55)</f>
      </c>
      <c r="G55" s="129"/>
      <c r="H55" s="132"/>
    </row>
    <row r="56" spans="1:8" ht="12.75">
      <c r="A56" s="137"/>
      <c r="B56" s="118"/>
      <c r="C56" s="116"/>
      <c r="D56" s="120"/>
      <c r="E56" s="120"/>
      <c r="F56" s="114">
        <f>IF(A56="","",F55+E56-D56)</f>
      </c>
      <c r="G56" s="129"/>
      <c r="H56" s="132"/>
    </row>
    <row r="57" spans="1:8" ht="12.75">
      <c r="A57" s="137"/>
      <c r="B57" s="118"/>
      <c r="C57" s="116"/>
      <c r="D57" s="120"/>
      <c r="E57" s="120"/>
      <c r="F57" s="114">
        <f>IF(A57="","",F56+E57-D57)</f>
      </c>
      <c r="G57" s="129"/>
      <c r="H57" s="132"/>
    </row>
    <row r="58" spans="1:8" ht="12.75">
      <c r="A58" s="137"/>
      <c r="B58" s="118"/>
      <c r="C58" s="116"/>
      <c r="D58" s="120"/>
      <c r="E58" s="120"/>
      <c r="F58" s="114">
        <f>IF(A58="","",F57+E58-D58)</f>
      </c>
      <c r="G58" s="129"/>
      <c r="H58" s="132"/>
    </row>
    <row r="59" spans="1:8" ht="12.75">
      <c r="A59" s="137"/>
      <c r="B59" s="118"/>
      <c r="C59" s="116"/>
      <c r="D59" s="120"/>
      <c r="E59" s="120"/>
      <c r="F59" s="114">
        <f>IF(A59="","",F58+E59-D59)</f>
      </c>
      <c r="G59" s="129"/>
      <c r="H59" s="132"/>
    </row>
    <row r="60" spans="1:8" ht="12.75">
      <c r="A60" s="137"/>
      <c r="B60" s="118"/>
      <c r="C60" s="116"/>
      <c r="D60" s="120"/>
      <c r="E60" s="120"/>
      <c r="F60" s="114">
        <f>IF(A60="","",F59+E60-D60)</f>
      </c>
      <c r="G60" s="129"/>
      <c r="H60" s="132"/>
    </row>
    <row r="61" spans="1:8" ht="12.75">
      <c r="A61" s="137"/>
      <c r="B61" s="118"/>
      <c r="C61" s="116"/>
      <c r="D61" s="120"/>
      <c r="E61" s="120"/>
      <c r="F61" s="114">
        <f>IF(A61="","",F60+E61-D61)</f>
      </c>
      <c r="G61" s="129"/>
      <c r="H61" s="132"/>
    </row>
    <row r="62" spans="1:8" ht="12.75">
      <c r="A62" s="137"/>
      <c r="B62" s="118"/>
      <c r="C62" s="116"/>
      <c r="D62" s="120"/>
      <c r="E62" s="120"/>
      <c r="F62" s="114">
        <f>IF(A62="","",F61+E62-D62)</f>
      </c>
      <c r="G62" s="129"/>
      <c r="H62" s="132"/>
    </row>
    <row r="63" spans="1:8" ht="12.75">
      <c r="A63" s="137"/>
      <c r="B63" s="118"/>
      <c r="C63" s="116"/>
      <c r="D63" s="120"/>
      <c r="E63" s="120"/>
      <c r="F63" s="114">
        <f>IF(A63="","",F62+E63-D63)</f>
      </c>
      <c r="G63" s="129"/>
      <c r="H63" s="132"/>
    </row>
    <row r="64" spans="1:8" ht="12.75">
      <c r="A64" s="137"/>
      <c r="B64" s="118"/>
      <c r="C64" s="116"/>
      <c r="D64" s="120"/>
      <c r="E64" s="120"/>
      <c r="F64" s="114">
        <f>IF(A64="","",F63+E64-D64)</f>
      </c>
      <c r="G64" s="129"/>
      <c r="H64" s="132"/>
    </row>
    <row r="65" spans="1:8" ht="12.75">
      <c r="A65" s="137"/>
      <c r="B65" s="118"/>
      <c r="C65" s="116"/>
      <c r="D65" s="120"/>
      <c r="E65" s="120"/>
      <c r="F65" s="114">
        <f>IF(A65="","",F64+E65-D65)</f>
      </c>
      <c r="G65" s="129"/>
      <c r="H65" s="132"/>
    </row>
    <row r="66" spans="1:8" ht="12.75">
      <c r="A66" s="137"/>
      <c r="B66" s="118"/>
      <c r="C66" s="116"/>
      <c r="D66" s="120"/>
      <c r="E66" s="120"/>
      <c r="F66" s="114">
        <f>IF(A66="","",F65+E66-D66)</f>
      </c>
      <c r="G66" s="129"/>
      <c r="H66" s="132"/>
    </row>
    <row r="67" spans="1:8" ht="12.75">
      <c r="A67" s="137"/>
      <c r="B67" s="118"/>
      <c r="C67" s="116"/>
      <c r="D67" s="120"/>
      <c r="E67" s="120"/>
      <c r="F67" s="114">
        <f>IF(A67="","",F66+E67-D67)</f>
      </c>
      <c r="G67" s="129"/>
      <c r="H67" s="132"/>
    </row>
    <row r="68" spans="1:8" ht="12.75">
      <c r="A68" s="137"/>
      <c r="B68" s="118"/>
      <c r="C68" s="116"/>
      <c r="D68" s="120"/>
      <c r="E68" s="120"/>
      <c r="F68" s="114">
        <f>IF(A68="","",F67+E68-D68)</f>
      </c>
      <c r="G68" s="129"/>
      <c r="H68" s="132"/>
    </row>
    <row r="69" spans="1:8" ht="12.75">
      <c r="A69" s="137"/>
      <c r="B69" s="118"/>
      <c r="C69" s="116"/>
      <c r="D69" s="120"/>
      <c r="E69" s="120"/>
      <c r="F69" s="114">
        <f>IF(A69="","",F68+E69-D69)</f>
      </c>
      <c r="G69" s="129"/>
      <c r="H69" s="132"/>
    </row>
    <row r="70" spans="1:8" ht="12.75">
      <c r="A70" s="137"/>
      <c r="B70" s="118"/>
      <c r="C70" s="116"/>
      <c r="D70" s="120"/>
      <c r="E70" s="120"/>
      <c r="F70" s="114">
        <f>IF(A70="","",F69+E70-D70)</f>
      </c>
      <c r="G70" s="129"/>
      <c r="H70" s="132"/>
    </row>
    <row r="71" spans="1:8" ht="12.75">
      <c r="A71" s="137"/>
      <c r="B71" s="118"/>
      <c r="C71" s="116"/>
      <c r="D71" s="120"/>
      <c r="E71" s="120"/>
      <c r="F71" s="114">
        <f>IF(A71="","",F70+E71-D71)</f>
      </c>
      <c r="G71" s="129"/>
      <c r="H71" s="132"/>
    </row>
    <row r="72" spans="1:8" ht="12.75">
      <c r="A72" s="137"/>
      <c r="B72" s="118"/>
      <c r="C72" s="116"/>
      <c r="D72" s="120"/>
      <c r="E72" s="120"/>
      <c r="F72" s="114">
        <f>IF(A72="","",F71+E72-D72)</f>
      </c>
      <c r="G72" s="129"/>
      <c r="H72" s="132"/>
    </row>
    <row r="73" spans="1:8" ht="12.75">
      <c r="A73" s="137"/>
      <c r="B73" s="118"/>
      <c r="C73" s="116"/>
      <c r="D73" s="120"/>
      <c r="E73" s="120"/>
      <c r="F73" s="114">
        <f>IF(A73="","",F72+E73-D73)</f>
      </c>
      <c r="G73" s="129"/>
      <c r="H73" s="132"/>
    </row>
    <row r="74" spans="1:8" ht="12.75">
      <c r="A74" s="137"/>
      <c r="B74" s="118"/>
      <c r="C74" s="116"/>
      <c r="D74" s="120"/>
      <c r="E74" s="120"/>
      <c r="F74" s="114">
        <f>IF(A74="","",F73+E74-D74)</f>
      </c>
      <c r="G74" s="129"/>
      <c r="H74" s="132"/>
    </row>
    <row r="75" spans="1:8" ht="12.75">
      <c r="A75" s="137"/>
      <c r="B75" s="118"/>
      <c r="C75" s="116"/>
      <c r="D75" s="120"/>
      <c r="E75" s="120"/>
      <c r="F75" s="114">
        <f>IF(A75="","",F74+E75-D75)</f>
      </c>
      <c r="G75" s="129"/>
      <c r="H75" s="132"/>
    </row>
    <row r="76" spans="1:8" ht="12.75">
      <c r="A76" s="137"/>
      <c r="B76" s="118"/>
      <c r="C76" s="116"/>
      <c r="D76" s="120"/>
      <c r="E76" s="120"/>
      <c r="F76" s="114">
        <f>IF(A76="","",F75+E76-D76)</f>
      </c>
      <c r="G76" s="129"/>
      <c r="H76" s="132"/>
    </row>
    <row r="77" spans="1:8" ht="12.75">
      <c r="A77" s="137"/>
      <c r="B77" s="118"/>
      <c r="C77" s="116"/>
      <c r="D77" s="120"/>
      <c r="E77" s="120"/>
      <c r="F77" s="114">
        <f>IF(A77="","",F76+E77-D77)</f>
      </c>
      <c r="G77" s="129"/>
      <c r="H77" s="132"/>
    </row>
    <row r="78" spans="1:8" ht="12.75">
      <c r="A78" s="137"/>
      <c r="B78" s="118"/>
      <c r="C78" s="116"/>
      <c r="D78" s="120"/>
      <c r="E78" s="120"/>
      <c r="F78" s="114">
        <f>IF(A78="","",F77+E78-D78)</f>
      </c>
      <c r="G78" s="129"/>
      <c r="H78" s="132"/>
    </row>
    <row r="79" spans="1:8" ht="12.75">
      <c r="A79" s="137"/>
      <c r="B79" s="118"/>
      <c r="C79" s="116"/>
      <c r="D79" s="120"/>
      <c r="E79" s="120"/>
      <c r="F79" s="114">
        <f>IF(A79="","",F78+E79-D79)</f>
      </c>
      <c r="G79" s="129"/>
      <c r="H79" s="132"/>
    </row>
    <row r="80" spans="1:8" ht="12.75">
      <c r="A80" s="137"/>
      <c r="B80" s="118"/>
      <c r="C80" s="116"/>
      <c r="D80" s="120"/>
      <c r="E80" s="120"/>
      <c r="F80" s="114">
        <f>IF(A80="","",F79+E80-D80)</f>
      </c>
      <c r="G80" s="129"/>
      <c r="H80" s="132"/>
    </row>
    <row r="81" spans="1:8" ht="12.75">
      <c r="A81" s="137"/>
      <c r="B81" s="124"/>
      <c r="C81" s="116"/>
      <c r="D81" s="120"/>
      <c r="E81" s="120"/>
      <c r="F81" s="114">
        <f>IF(A81="","",F80+E81-D81)</f>
      </c>
      <c r="G81" s="129"/>
      <c r="H81" s="132"/>
    </row>
    <row r="82" spans="1:8" ht="12.75">
      <c r="A82" s="137"/>
      <c r="B82" s="124"/>
      <c r="C82" s="116"/>
      <c r="D82" s="120"/>
      <c r="E82" s="120"/>
      <c r="F82" s="114">
        <f>IF(A82="","",F81+E82-D82)</f>
      </c>
      <c r="G82" s="129"/>
      <c r="H82" s="132"/>
    </row>
    <row r="83" spans="1:8" ht="12.75">
      <c r="A83" s="137"/>
      <c r="B83" s="124"/>
      <c r="C83" s="116"/>
      <c r="D83" s="120"/>
      <c r="E83" s="120"/>
      <c r="F83" s="114">
        <f>IF(A83="","",F82+E83-D83)</f>
      </c>
      <c r="G83" s="129"/>
      <c r="H83" s="132"/>
    </row>
    <row r="84" spans="1:8" ht="12.75">
      <c r="A84" s="137"/>
      <c r="B84" s="124"/>
      <c r="C84" s="116"/>
      <c r="D84" s="120"/>
      <c r="E84" s="120"/>
      <c r="F84" s="114">
        <f>IF(A84="","",F83+E84-D84)</f>
      </c>
      <c r="G84" s="129"/>
      <c r="H84" s="132"/>
    </row>
    <row r="85" spans="1:8" ht="12.75">
      <c r="A85" s="137"/>
      <c r="B85" s="124"/>
      <c r="C85" s="116"/>
      <c r="D85" s="120"/>
      <c r="E85" s="120"/>
      <c r="F85" s="114">
        <f>IF(A85="","",F84+E85-D85)</f>
      </c>
      <c r="G85" s="129"/>
      <c r="H85" s="132"/>
    </row>
    <row r="86" spans="1:8" ht="12.75">
      <c r="A86" s="137"/>
      <c r="B86" s="124"/>
      <c r="C86" s="116"/>
      <c r="D86" s="120"/>
      <c r="E86" s="120"/>
      <c r="F86" s="114">
        <f>IF(A86="","",F85+E86-D86)</f>
      </c>
      <c r="G86" s="129"/>
      <c r="H86" s="132"/>
    </row>
    <row r="87" spans="1:8" ht="12.75">
      <c r="A87" s="137"/>
      <c r="B87" s="124"/>
      <c r="C87" s="116"/>
      <c r="D87" s="120"/>
      <c r="E87" s="120"/>
      <c r="F87" s="114">
        <f>IF(A87="","",F86+E87-D87)</f>
      </c>
      <c r="G87" s="129"/>
      <c r="H87" s="132"/>
    </row>
    <row r="88" spans="1:8" ht="12.75">
      <c r="A88" s="137"/>
      <c r="B88" s="124"/>
      <c r="C88" s="116"/>
      <c r="D88" s="120"/>
      <c r="E88" s="120"/>
      <c r="F88" s="114">
        <f>IF(A88="","",F87+E88-D88)</f>
      </c>
      <c r="G88" s="129"/>
      <c r="H88" s="132"/>
    </row>
    <row r="89" spans="1:8" ht="12.75">
      <c r="A89" s="137"/>
      <c r="B89" s="124"/>
      <c r="C89" s="116"/>
      <c r="D89" s="120"/>
      <c r="E89" s="120"/>
      <c r="F89" s="114">
        <f>IF(A89="","",F88+E89-D89)</f>
      </c>
      <c r="G89" s="129"/>
      <c r="H89" s="132"/>
    </row>
    <row r="90" spans="1:8" ht="12.75">
      <c r="A90" s="137"/>
      <c r="B90" s="124"/>
      <c r="C90" s="116"/>
      <c r="D90" s="120"/>
      <c r="E90" s="120"/>
      <c r="F90" s="114">
        <f>IF(A90="","",F89+E90-D90)</f>
      </c>
      <c r="G90" s="129"/>
      <c r="H90" s="132"/>
    </row>
    <row r="91" spans="1:8" ht="12.75">
      <c r="A91" s="137"/>
      <c r="B91" s="124"/>
      <c r="C91" s="116"/>
      <c r="D91" s="120"/>
      <c r="E91" s="120"/>
      <c r="F91" s="114">
        <f>IF(A91="","",F90+E91-D91)</f>
      </c>
      <c r="G91" s="129"/>
      <c r="H91" s="132"/>
    </row>
    <row r="92" spans="1:8" ht="12.75">
      <c r="A92" s="137"/>
      <c r="B92" s="124"/>
      <c r="C92" s="116"/>
      <c r="D92" s="120"/>
      <c r="E92" s="120"/>
      <c r="F92" s="114">
        <f>IF(A92="","",F91+E92-D92)</f>
      </c>
      <c r="G92" s="129"/>
      <c r="H92" s="132"/>
    </row>
    <row r="93" spans="1:8" ht="12.75">
      <c r="A93" s="137"/>
      <c r="B93" s="124"/>
      <c r="C93" s="116"/>
      <c r="D93" s="120"/>
      <c r="E93" s="120"/>
      <c r="F93" s="114">
        <f>IF(A93="","",F92+E93-D93)</f>
      </c>
      <c r="G93" s="129"/>
      <c r="H93" s="132"/>
    </row>
    <row r="94" spans="1:8" ht="12.75">
      <c r="A94" s="137"/>
      <c r="B94" s="124"/>
      <c r="C94" s="116"/>
      <c r="D94" s="120"/>
      <c r="E94" s="120"/>
      <c r="F94" s="114">
        <f>IF(A94="","",F93+E94-D94)</f>
      </c>
      <c r="G94" s="129"/>
      <c r="H94" s="132"/>
    </row>
    <row r="95" spans="1:8" ht="12.75">
      <c r="A95" s="137"/>
      <c r="B95" s="124"/>
      <c r="C95" s="116"/>
      <c r="D95" s="120"/>
      <c r="E95" s="120"/>
      <c r="F95" s="114">
        <f>IF(A95="","",F94+E95-D95)</f>
      </c>
      <c r="G95" s="129"/>
      <c r="H95" s="132"/>
    </row>
    <row r="96" spans="1:8" ht="12.75">
      <c r="A96" s="137"/>
      <c r="B96" s="124"/>
      <c r="C96" s="116"/>
      <c r="D96" s="120"/>
      <c r="E96" s="120"/>
      <c r="F96" s="114">
        <f>IF(A96="","",F95+E96-D96)</f>
      </c>
      <c r="G96" s="129"/>
      <c r="H96" s="132"/>
    </row>
    <row r="97" spans="1:8" ht="12.75">
      <c r="A97" s="137"/>
      <c r="B97" s="124"/>
      <c r="C97" s="116"/>
      <c r="D97" s="120"/>
      <c r="E97" s="120"/>
      <c r="F97" s="114">
        <f>IF(A97="","",F96+E97-D97)</f>
      </c>
      <c r="G97" s="129"/>
      <c r="H97" s="132"/>
    </row>
    <row r="98" spans="1:8" ht="12.75">
      <c r="A98" s="137"/>
      <c r="B98" s="124"/>
      <c r="C98" s="116"/>
      <c r="D98" s="120"/>
      <c r="E98" s="120"/>
      <c r="F98" s="114">
        <f>IF(A98="","",F97+E98-D98)</f>
      </c>
      <c r="G98" s="129"/>
      <c r="H98" s="132"/>
    </row>
    <row r="99" spans="1:8" ht="12.75">
      <c r="A99" s="137"/>
      <c r="B99" s="124"/>
      <c r="C99" s="116"/>
      <c r="D99" s="120"/>
      <c r="E99" s="120"/>
      <c r="F99" s="114">
        <f>IF(A99="","",F98+E99-D99)</f>
      </c>
      <c r="G99" s="129"/>
      <c r="H99" s="132"/>
    </row>
    <row r="100" spans="1:8" ht="12.75">
      <c r="A100" s="137"/>
      <c r="B100" s="124"/>
      <c r="C100" s="116"/>
      <c r="D100" s="120"/>
      <c r="E100" s="120"/>
      <c r="F100" s="114">
        <f>IF(A100="","",F99+E100-D100)</f>
      </c>
      <c r="G100" s="129"/>
      <c r="H100" s="132"/>
    </row>
    <row r="101" spans="1:8" ht="12.75">
      <c r="A101" s="137"/>
      <c r="B101" s="124"/>
      <c r="C101" s="116"/>
      <c r="D101" s="120"/>
      <c r="E101" s="120"/>
      <c r="F101" s="114">
        <f>IF(A101="","",F100+E101-D101)</f>
      </c>
      <c r="G101" s="129"/>
      <c r="H101" s="132"/>
    </row>
    <row r="102" spans="1:8" ht="12.75">
      <c r="A102" s="137"/>
      <c r="B102" s="124"/>
      <c r="C102" s="116"/>
      <c r="D102" s="120"/>
      <c r="E102" s="120"/>
      <c r="F102" s="114">
        <f>IF(A102="","",F101+E102-D102)</f>
      </c>
      <c r="G102" s="129"/>
      <c r="H102" s="132"/>
    </row>
    <row r="103" spans="1:8" ht="12.75">
      <c r="A103" s="137"/>
      <c r="B103" s="124"/>
      <c r="C103" s="116"/>
      <c r="D103" s="120"/>
      <c r="E103" s="120"/>
      <c r="F103" s="114">
        <f>IF(A103="","",F102+E103-D103)</f>
      </c>
      <c r="G103" s="129"/>
      <c r="H103" s="132"/>
    </row>
    <row r="104" spans="1:8" ht="12.75">
      <c r="A104" s="137"/>
      <c r="B104" s="124"/>
      <c r="C104" s="116"/>
      <c r="D104" s="120"/>
      <c r="E104" s="120"/>
      <c r="F104" s="114">
        <f>IF(A104="","",F103+E104-D104)</f>
      </c>
      <c r="G104" s="129"/>
      <c r="H104" s="132"/>
    </row>
    <row r="105" spans="1:8" ht="12.75">
      <c r="A105" s="137"/>
      <c r="B105" s="124"/>
      <c r="C105" s="116"/>
      <c r="D105" s="120"/>
      <c r="E105" s="120"/>
      <c r="F105" s="114">
        <f>IF(A105="","",F104+E105-D105)</f>
      </c>
      <c r="G105" s="129"/>
      <c r="H105" s="132"/>
    </row>
    <row r="106" spans="1:8" ht="12.75">
      <c r="A106" s="137"/>
      <c r="B106" s="124"/>
      <c r="C106" s="116"/>
      <c r="D106" s="120"/>
      <c r="E106" s="120"/>
      <c r="F106" s="114">
        <f>IF(A106="","",F105+E106-D106)</f>
      </c>
      <c r="G106" s="129"/>
      <c r="H106" s="132"/>
    </row>
    <row r="107" spans="1:8" ht="12.75">
      <c r="A107" s="137"/>
      <c r="B107" s="124"/>
      <c r="C107" s="116"/>
      <c r="D107" s="120"/>
      <c r="E107" s="120"/>
      <c r="F107" s="114">
        <f>IF(A107="","",F106+E107-D107)</f>
      </c>
      <c r="G107" s="129"/>
      <c r="H107" s="132"/>
    </row>
    <row r="108" spans="1:8" ht="12.75">
      <c r="A108" s="137"/>
      <c r="B108" s="124"/>
      <c r="C108" s="116"/>
      <c r="D108" s="120"/>
      <c r="E108" s="120"/>
      <c r="F108" s="114">
        <f>IF(A108="","",F107+E108-D108)</f>
      </c>
      <c r="G108" s="129"/>
      <c r="H108" s="132"/>
    </row>
    <row r="109" spans="1:8" ht="12.75">
      <c r="A109" s="137"/>
      <c r="B109" s="124"/>
      <c r="C109" s="116"/>
      <c r="D109" s="120"/>
      <c r="E109" s="120"/>
      <c r="F109" s="114">
        <f>IF(A109="","",F108+E109-D109)</f>
      </c>
      <c r="G109" s="129"/>
      <c r="H109" s="132"/>
    </row>
    <row r="110" spans="1:8" ht="12.75">
      <c r="A110" s="137"/>
      <c r="B110" s="124"/>
      <c r="C110" s="116"/>
      <c r="D110" s="120"/>
      <c r="E110" s="120"/>
      <c r="F110" s="114">
        <f>IF(A110="","",F109+E110-D110)</f>
      </c>
      <c r="G110" s="129"/>
      <c r="H110" s="132"/>
    </row>
    <row r="111" spans="1:8" ht="12.75">
      <c r="A111" s="137"/>
      <c r="B111" s="124"/>
      <c r="C111" s="116"/>
      <c r="D111" s="120"/>
      <c r="E111" s="120"/>
      <c r="F111" s="114">
        <f>IF(A111="","",F110+E111-D111)</f>
      </c>
      <c r="G111" s="129"/>
      <c r="H111" s="132"/>
    </row>
    <row r="112" spans="1:8" ht="12.75">
      <c r="A112" s="137"/>
      <c r="B112" s="124"/>
      <c r="C112" s="116"/>
      <c r="D112" s="120"/>
      <c r="E112" s="120"/>
      <c r="F112" s="114">
        <f>IF(A112="","",F111+E112-D112)</f>
      </c>
      <c r="G112" s="129"/>
      <c r="H112" s="132"/>
    </row>
    <row r="113" spans="1:8" ht="12.75">
      <c r="A113" s="137"/>
      <c r="B113" s="124"/>
      <c r="C113" s="116"/>
      <c r="D113" s="120"/>
      <c r="E113" s="120"/>
      <c r="F113" s="114">
        <f>IF(A113="","",F112+E113-D113)</f>
      </c>
      <c r="G113" s="129"/>
      <c r="H113" s="132"/>
    </row>
    <row r="114" spans="1:8" ht="12.75">
      <c r="A114" s="137"/>
      <c r="B114" s="124"/>
      <c r="C114" s="116"/>
      <c r="D114" s="120"/>
      <c r="E114" s="120"/>
      <c r="F114" s="114">
        <f>IF(A114="","",F113+E114-D114)</f>
      </c>
      <c r="G114" s="129"/>
      <c r="H114" s="132"/>
    </row>
    <row r="115" spans="1:8" ht="12.75">
      <c r="A115" s="137"/>
      <c r="B115" s="124"/>
      <c r="C115" s="116"/>
      <c r="D115" s="120"/>
      <c r="E115" s="120"/>
      <c r="F115" s="114">
        <f>IF(A115="","",F114+E115-D115)</f>
      </c>
      <c r="G115" s="129"/>
      <c r="H115" s="132"/>
    </row>
    <row r="116" spans="1:8" ht="12.75">
      <c r="A116" s="137"/>
      <c r="B116" s="124"/>
      <c r="C116" s="116"/>
      <c r="D116" s="120"/>
      <c r="E116" s="120"/>
      <c r="F116" s="114">
        <f>IF(A116="","",F115+E116-D116)</f>
      </c>
      <c r="G116" s="129"/>
      <c r="H116" s="132"/>
    </row>
    <row r="117" spans="1:8" ht="12.75">
      <c r="A117" s="137"/>
      <c r="B117" s="124"/>
      <c r="C117" s="116"/>
      <c r="D117" s="120"/>
      <c r="E117" s="120"/>
      <c r="F117" s="114">
        <f>IF(A117="","",F116+E117-D117)</f>
      </c>
      <c r="G117" s="129"/>
      <c r="H117" s="132"/>
    </row>
    <row r="118" spans="1:8" ht="12.75">
      <c r="A118" s="137"/>
      <c r="B118" s="124"/>
      <c r="C118" s="116"/>
      <c r="D118" s="120"/>
      <c r="E118" s="120"/>
      <c r="F118" s="114">
        <f>IF(A118="","",F117+E118-D118)</f>
      </c>
      <c r="G118" s="129"/>
      <c r="H118" s="132"/>
    </row>
    <row r="119" spans="1:8" ht="12.75">
      <c r="A119" s="137"/>
      <c r="B119" s="124"/>
      <c r="C119" s="116"/>
      <c r="D119" s="120"/>
      <c r="E119" s="120"/>
      <c r="F119" s="114">
        <f>IF(A119="","",F118+E119-D119)</f>
      </c>
      <c r="G119" s="129"/>
      <c r="H119" s="132"/>
    </row>
    <row r="120" spans="1:8" ht="12.75">
      <c r="A120" s="137"/>
      <c r="B120" s="124"/>
      <c r="C120" s="116"/>
      <c r="D120" s="120"/>
      <c r="E120" s="120"/>
      <c r="F120" s="114">
        <f>IF(A120="","",F119+E120-D120)</f>
      </c>
      <c r="G120" s="129"/>
      <c r="H120" s="132"/>
    </row>
    <row r="121" spans="1:8" ht="12.75">
      <c r="A121" s="137"/>
      <c r="B121" s="124"/>
      <c r="C121" s="116"/>
      <c r="D121" s="120"/>
      <c r="E121" s="120"/>
      <c r="F121" s="114">
        <f>IF(A121="","",F120+E121-D121)</f>
      </c>
      <c r="G121" s="129"/>
      <c r="H121" s="132"/>
    </row>
    <row r="122" spans="1:8" ht="12.75">
      <c r="A122" s="137"/>
      <c r="B122" s="124"/>
      <c r="C122" s="116"/>
      <c r="D122" s="120"/>
      <c r="E122" s="120"/>
      <c r="F122" s="114">
        <f>IF(A122="","",F121+E122-D122)</f>
      </c>
      <c r="G122" s="129"/>
      <c r="H122" s="132"/>
    </row>
    <row r="123" spans="1:8" ht="12.75">
      <c r="A123" s="137"/>
      <c r="B123" s="124"/>
      <c r="C123" s="116"/>
      <c r="D123" s="120"/>
      <c r="E123" s="120"/>
      <c r="F123" s="114">
        <f>IF(A123="","",F122+E123-D123)</f>
      </c>
      <c r="G123" s="129"/>
      <c r="H123" s="132"/>
    </row>
    <row r="124" spans="1:8" ht="12.75">
      <c r="A124" s="137"/>
      <c r="B124" s="124"/>
      <c r="C124" s="116"/>
      <c r="D124" s="120"/>
      <c r="E124" s="120"/>
      <c r="F124" s="114">
        <f>IF(A124="","",F123+E124-D124)</f>
      </c>
      <c r="G124" s="129"/>
      <c r="H124" s="132"/>
    </row>
    <row r="125" spans="1:8" ht="12.75">
      <c r="A125" s="137"/>
      <c r="B125" s="124"/>
      <c r="C125" s="116"/>
      <c r="D125" s="120"/>
      <c r="E125" s="120"/>
      <c r="F125" s="114">
        <f>IF(A125="","",F124+E125-D125)</f>
      </c>
      <c r="G125" s="129"/>
      <c r="H125" s="132"/>
    </row>
    <row r="126" spans="1:8" ht="12.75">
      <c r="A126" s="137"/>
      <c r="B126" s="124"/>
      <c r="C126" s="116"/>
      <c r="D126" s="120"/>
      <c r="E126" s="120"/>
      <c r="F126" s="114">
        <f>IF(A126="","",F125+E126-D126)</f>
      </c>
      <c r="G126" s="129"/>
      <c r="H126" s="132"/>
    </row>
    <row r="127" spans="1:8" ht="12.75">
      <c r="A127" s="137"/>
      <c r="B127" s="124"/>
      <c r="C127" s="116"/>
      <c r="D127" s="120"/>
      <c r="E127" s="120"/>
      <c r="F127" s="114">
        <f>IF(A127="","",F126+E127-D127)</f>
      </c>
      <c r="G127" s="129"/>
      <c r="H127" s="132"/>
    </row>
    <row r="128" spans="1:8" ht="12.75">
      <c r="A128" s="137"/>
      <c r="B128" s="124"/>
      <c r="C128" s="116"/>
      <c r="D128" s="120"/>
      <c r="E128" s="120"/>
      <c r="F128" s="114">
        <f>IF(A128="","",F127+E128-D128)</f>
      </c>
      <c r="G128" s="129"/>
      <c r="H128" s="132"/>
    </row>
    <row r="129" spans="1:8" ht="12.75">
      <c r="A129" s="137"/>
      <c r="B129" s="124"/>
      <c r="C129" s="116"/>
      <c r="D129" s="120"/>
      <c r="E129" s="120"/>
      <c r="F129" s="114">
        <f>IF(A129="","",F128+E129-D129)</f>
      </c>
      <c r="G129" s="129"/>
      <c r="H129" s="132"/>
    </row>
    <row r="130" spans="1:8" ht="12.75">
      <c r="A130" s="137"/>
      <c r="B130" s="124"/>
      <c r="C130" s="116"/>
      <c r="D130" s="120"/>
      <c r="E130" s="120"/>
      <c r="F130" s="114">
        <f>IF(A130="","",F129+E130-D130)</f>
      </c>
      <c r="G130" s="129"/>
      <c r="H130" s="132"/>
    </row>
    <row r="131" spans="1:8" ht="12.75">
      <c r="A131" s="137"/>
      <c r="B131" s="124"/>
      <c r="C131" s="116"/>
      <c r="D131" s="120"/>
      <c r="E131" s="120"/>
      <c r="F131" s="114">
        <f>IF(A131="","",F130+E131-D131)</f>
      </c>
      <c r="G131" s="129"/>
      <c r="H131" s="132"/>
    </row>
    <row r="132" spans="1:8" ht="12.75">
      <c r="A132" s="137"/>
      <c r="B132" s="124"/>
      <c r="C132" s="116"/>
      <c r="D132" s="120"/>
      <c r="E132" s="120"/>
      <c r="F132" s="114">
        <f>IF(A132="","",F131+E132-D132)</f>
      </c>
      <c r="G132" s="129"/>
      <c r="H132" s="132"/>
    </row>
    <row r="133" spans="1:8" ht="12.75">
      <c r="A133" s="137"/>
      <c r="B133" s="124"/>
      <c r="C133" s="116"/>
      <c r="D133" s="120"/>
      <c r="E133" s="120"/>
      <c r="F133" s="114">
        <f>IF(A133="","",F132+E133-D133)</f>
      </c>
      <c r="G133" s="129"/>
      <c r="H133" s="132"/>
    </row>
    <row r="134" spans="1:8" ht="12.75">
      <c r="A134" s="137"/>
      <c r="B134" s="124"/>
      <c r="C134" s="116"/>
      <c r="D134" s="120"/>
      <c r="E134" s="120"/>
      <c r="F134" s="114">
        <f>IF(A134="","",F133+E134-D134)</f>
      </c>
      <c r="G134" s="129"/>
      <c r="H134" s="132"/>
    </row>
    <row r="135" spans="1:8" ht="12.75">
      <c r="A135" s="137"/>
      <c r="B135" s="124"/>
      <c r="C135" s="116"/>
      <c r="D135" s="120"/>
      <c r="E135" s="120"/>
      <c r="F135" s="114">
        <f>IF(A135="","",F134+E135-D135)</f>
      </c>
      <c r="G135" s="129"/>
      <c r="H135" s="132"/>
    </row>
    <row r="136" spans="1:8" ht="12.75">
      <c r="A136" s="137"/>
      <c r="B136" s="124"/>
      <c r="C136" s="116"/>
      <c r="D136" s="120"/>
      <c r="E136" s="120"/>
      <c r="F136" s="114">
        <f>IF(A136="","",F135+E136-D136)</f>
      </c>
      <c r="G136" s="129"/>
      <c r="H136" s="132"/>
    </row>
    <row r="137" spans="1:8" ht="12.75">
      <c r="A137" s="137"/>
      <c r="B137" s="124"/>
      <c r="C137" s="116"/>
      <c r="D137" s="120"/>
      <c r="E137" s="120"/>
      <c r="F137" s="114">
        <f>IF(A137="","",F136+E137-D137)</f>
      </c>
      <c r="G137" s="129"/>
      <c r="H137" s="132"/>
    </row>
    <row r="138" spans="1:8" ht="12.75">
      <c r="A138" s="137"/>
      <c r="B138" s="124"/>
      <c r="C138" s="116"/>
      <c r="D138" s="120"/>
      <c r="E138" s="120"/>
      <c r="F138" s="114">
        <f>IF(A138="","",F137+E138-D138)</f>
      </c>
      <c r="G138" s="129"/>
      <c r="H138" s="132"/>
    </row>
    <row r="139" spans="1:8" ht="12.75">
      <c r="A139" s="137"/>
      <c r="B139" s="124"/>
      <c r="C139" s="116"/>
      <c r="D139" s="120"/>
      <c r="E139" s="120"/>
      <c r="F139" s="114">
        <f>IF(A139="","",F138+E139-D139)</f>
      </c>
      <c r="G139" s="129"/>
      <c r="H139" s="132"/>
    </row>
    <row r="140" spans="1:8" ht="12.75">
      <c r="A140" s="137"/>
      <c r="B140" s="124"/>
      <c r="C140" s="116"/>
      <c r="D140" s="120"/>
      <c r="E140" s="120"/>
      <c r="F140" s="114">
        <f>IF(A140="","",F139+E140-D140)</f>
      </c>
      <c r="G140" s="129"/>
      <c r="H140" s="132"/>
    </row>
    <row r="141" spans="1:8" ht="12.75">
      <c r="A141" s="137"/>
      <c r="B141" s="124"/>
      <c r="C141" s="116"/>
      <c r="D141" s="120"/>
      <c r="E141" s="120"/>
      <c r="F141" s="114">
        <f>IF(A141="","",F140+E141-D141)</f>
      </c>
      <c r="G141" s="129"/>
      <c r="H141" s="132"/>
    </row>
    <row r="142" spans="1:8" ht="12.75">
      <c r="A142" s="137"/>
      <c r="B142" s="124"/>
      <c r="C142" s="116"/>
      <c r="D142" s="120"/>
      <c r="E142" s="120"/>
      <c r="F142" s="114">
        <f>IF(A142="","",F141+E142-D142)</f>
      </c>
      <c r="G142" s="129"/>
      <c r="H142" s="132"/>
    </row>
    <row r="143" spans="1:8" ht="12.75">
      <c r="A143" s="137"/>
      <c r="B143" s="124"/>
      <c r="C143" s="116"/>
      <c r="D143" s="120"/>
      <c r="E143" s="120"/>
      <c r="F143" s="114">
        <f>IF(A143="","",F142+E143-D143)</f>
      </c>
      <c r="G143" s="129"/>
      <c r="H143" s="132"/>
    </row>
    <row r="144" spans="1:8" ht="12.75">
      <c r="A144" s="137"/>
      <c r="B144" s="124"/>
      <c r="C144" s="116"/>
      <c r="D144" s="120"/>
      <c r="E144" s="120"/>
      <c r="F144" s="114">
        <f>IF(A144="","",F143+E144-D144)</f>
      </c>
      <c r="G144" s="129"/>
      <c r="H144" s="132"/>
    </row>
    <row r="145" spans="1:8" ht="12.75">
      <c r="A145" s="137"/>
      <c r="B145" s="124"/>
      <c r="C145" s="116"/>
      <c r="D145" s="120"/>
      <c r="E145" s="120"/>
      <c r="F145" s="114">
        <f>IF(A145="","",F144+E145-D145)</f>
      </c>
      <c r="G145" s="129"/>
      <c r="H145" s="132"/>
    </row>
    <row r="146" spans="1:8" ht="12.75">
      <c r="A146" s="137"/>
      <c r="B146" s="124"/>
      <c r="C146" s="116"/>
      <c r="D146" s="120"/>
      <c r="E146" s="120"/>
      <c r="F146" s="114">
        <f>IF(A146="","",F145+E146-D146)</f>
      </c>
      <c r="G146" s="129"/>
      <c r="H146" s="132"/>
    </row>
    <row r="147" spans="1:8" ht="12.75">
      <c r="A147" s="137"/>
      <c r="B147" s="124"/>
      <c r="C147" s="116"/>
      <c r="D147" s="120"/>
      <c r="E147" s="120"/>
      <c r="F147" s="114">
        <f>IF(A147="","",F146+E147-D147)</f>
      </c>
      <c r="G147" s="129"/>
      <c r="H147" s="132"/>
    </row>
    <row r="148" spans="1:8" ht="12.75">
      <c r="A148" s="137"/>
      <c r="B148" s="124"/>
      <c r="C148" s="116"/>
      <c r="D148" s="120"/>
      <c r="E148" s="120"/>
      <c r="F148" s="114">
        <f>IF(A148="","",F147+E148-D148)</f>
      </c>
      <c r="G148" s="129"/>
      <c r="H148" s="132"/>
    </row>
    <row r="149" spans="1:8" ht="12.75">
      <c r="A149" s="137"/>
      <c r="B149" s="124"/>
      <c r="C149" s="116"/>
      <c r="D149" s="120"/>
      <c r="E149" s="120"/>
      <c r="F149" s="114">
        <f>IF(A149="","",F148+E149-D149)</f>
      </c>
      <c r="G149" s="129"/>
      <c r="H149" s="132"/>
    </row>
    <row r="150" spans="1:8" ht="12.75">
      <c r="A150" s="137"/>
      <c r="B150" s="124"/>
      <c r="C150" s="116"/>
      <c r="D150" s="120"/>
      <c r="E150" s="120"/>
      <c r="F150" s="114">
        <f>IF(A150="","",F149+E150-D150)</f>
      </c>
      <c r="G150" s="129"/>
      <c r="H150" s="132"/>
    </row>
    <row r="151" spans="1:8" ht="12.75">
      <c r="A151" s="137"/>
      <c r="B151" s="124"/>
      <c r="C151" s="116"/>
      <c r="D151" s="120"/>
      <c r="E151" s="120"/>
      <c r="F151" s="114">
        <f>IF(A151="","",F150+E151-D151)</f>
      </c>
      <c r="G151" s="129"/>
      <c r="H151" s="132"/>
    </row>
    <row r="152" spans="1:8" ht="12.75">
      <c r="A152" s="137"/>
      <c r="B152" s="124"/>
      <c r="C152" s="116"/>
      <c r="D152" s="120"/>
      <c r="E152" s="120"/>
      <c r="F152" s="114">
        <f>IF(A152="","",F151+E152-D152)</f>
      </c>
      <c r="G152" s="129"/>
      <c r="H152" s="132"/>
    </row>
    <row r="153" spans="1:8" ht="12.75">
      <c r="A153" s="137"/>
      <c r="B153" s="124"/>
      <c r="C153" s="116"/>
      <c r="D153" s="120"/>
      <c r="E153" s="120"/>
      <c r="F153" s="114">
        <f>IF(A153="","",F152+E153-D153)</f>
      </c>
      <c r="G153" s="129"/>
      <c r="H153" s="132"/>
    </row>
    <row r="154" spans="1:8" ht="12.75">
      <c r="A154" s="137"/>
      <c r="B154" s="124"/>
      <c r="C154" s="116"/>
      <c r="D154" s="120"/>
      <c r="E154" s="120"/>
      <c r="F154" s="114">
        <f>IF(A154="","",F153+E154-D154)</f>
      </c>
      <c r="G154" s="129"/>
      <c r="H154" s="132"/>
    </row>
    <row r="155" spans="1:8" ht="12.75">
      <c r="A155" s="137"/>
      <c r="B155" s="124"/>
      <c r="C155" s="116"/>
      <c r="D155" s="120"/>
      <c r="E155" s="120"/>
      <c r="F155" s="114">
        <f>IF(A155="","",F154+E155-D155)</f>
      </c>
      <c r="G155" s="129"/>
      <c r="H155" s="132"/>
    </row>
    <row r="156" spans="1:8" ht="12.75">
      <c r="A156" s="137"/>
      <c r="B156" s="124"/>
      <c r="C156" s="116"/>
      <c r="D156" s="120"/>
      <c r="E156" s="120"/>
      <c r="F156" s="114">
        <f>IF(A156="","",F155+E156-D156)</f>
      </c>
      <c r="G156" s="129"/>
      <c r="H156" s="132"/>
    </row>
    <row r="157" spans="1:8" ht="12.75">
      <c r="A157" s="137"/>
      <c r="B157" s="124"/>
      <c r="C157" s="116"/>
      <c r="D157" s="120"/>
      <c r="E157" s="120"/>
      <c r="F157" s="114">
        <f>IF(A157="","",F156+E157-D157)</f>
      </c>
      <c r="G157" s="129"/>
      <c r="H157" s="132"/>
    </row>
    <row r="158" spans="1:8" ht="12.75">
      <c r="A158" s="137"/>
      <c r="B158" s="124"/>
      <c r="C158" s="116"/>
      <c r="D158" s="120"/>
      <c r="E158" s="120"/>
      <c r="F158" s="114">
        <f>IF(A158="","",F157+E158-D158)</f>
      </c>
      <c r="G158" s="129"/>
      <c r="H158" s="132"/>
    </row>
    <row r="159" spans="1:8" ht="12.75">
      <c r="A159" s="137"/>
      <c r="B159" s="124"/>
      <c r="C159" s="116"/>
      <c r="D159" s="120"/>
      <c r="E159" s="120"/>
      <c r="F159" s="114">
        <f>IF(A159="","",F158+E159-D159)</f>
      </c>
      <c r="G159" s="129"/>
      <c r="H159" s="132"/>
    </row>
    <row r="160" spans="1:8" ht="12.75">
      <c r="A160" s="137"/>
      <c r="B160" s="124"/>
      <c r="C160" s="116"/>
      <c r="D160" s="120"/>
      <c r="E160" s="120"/>
      <c r="F160" s="114">
        <f>IF(A160="","",F159+E160-D160)</f>
      </c>
      <c r="G160" s="129"/>
      <c r="H160" s="132"/>
    </row>
    <row r="161" spans="1:8" ht="12.75">
      <c r="A161" s="137"/>
      <c r="B161" s="124"/>
      <c r="C161" s="116"/>
      <c r="D161" s="120"/>
      <c r="E161" s="120"/>
      <c r="F161" s="114">
        <f>IF(A161="","",F160+E161-D161)</f>
      </c>
      <c r="G161" s="129"/>
      <c r="H161" s="132"/>
    </row>
    <row r="162" spans="1:8" ht="12.75">
      <c r="A162" s="137"/>
      <c r="B162" s="124"/>
      <c r="C162" s="116"/>
      <c r="D162" s="120"/>
      <c r="E162" s="120"/>
      <c r="F162" s="114">
        <f>IF(A162="","",F161+E162-D162)</f>
      </c>
      <c r="G162" s="129"/>
      <c r="H162" s="132"/>
    </row>
    <row r="163" spans="1:8" ht="12.75">
      <c r="A163" s="137"/>
      <c r="B163" s="124"/>
      <c r="C163" s="116"/>
      <c r="D163" s="120"/>
      <c r="E163" s="120"/>
      <c r="F163" s="114">
        <f>IF(A163="","",F162+E163-D163)</f>
      </c>
      <c r="G163" s="129"/>
      <c r="H163" s="132"/>
    </row>
    <row r="164" spans="1:8" ht="12.75">
      <c r="A164" s="137"/>
      <c r="B164" s="124"/>
      <c r="C164" s="116"/>
      <c r="D164" s="120"/>
      <c r="E164" s="120"/>
      <c r="F164" s="114">
        <f>IF(A164="","",F163+E164-D164)</f>
      </c>
      <c r="G164" s="129"/>
      <c r="H164" s="132"/>
    </row>
    <row r="165" spans="1:8" ht="12.75">
      <c r="A165" s="137"/>
      <c r="B165" s="124"/>
      <c r="C165" s="116"/>
      <c r="D165" s="120"/>
      <c r="E165" s="120"/>
      <c r="F165" s="114">
        <f>IF(A165="","",F164+E165-D165)</f>
      </c>
      <c r="G165" s="129"/>
      <c r="H165" s="132"/>
    </row>
    <row r="166" spans="1:8" ht="12.75">
      <c r="A166" s="137"/>
      <c r="B166" s="124"/>
      <c r="C166" s="116"/>
      <c r="D166" s="120"/>
      <c r="E166" s="120"/>
      <c r="F166" s="114">
        <f>IF(A166="","",F165+E166-D166)</f>
      </c>
      <c r="G166" s="129"/>
      <c r="H166" s="132"/>
    </row>
    <row r="167" spans="1:8" ht="12.75">
      <c r="A167" s="137"/>
      <c r="B167" s="124"/>
      <c r="C167" s="116"/>
      <c r="D167" s="120"/>
      <c r="E167" s="120"/>
      <c r="F167" s="114">
        <f>IF(A167="","",F166+E167-D167)</f>
      </c>
      <c r="G167" s="129"/>
      <c r="H167" s="132"/>
    </row>
    <row r="168" spans="1:8" ht="12.75">
      <c r="A168" s="137"/>
      <c r="B168" s="124"/>
      <c r="C168" s="116"/>
      <c r="D168" s="120"/>
      <c r="E168" s="120"/>
      <c r="F168" s="114">
        <f>IF(A168="","",F167+E168-D168)</f>
      </c>
      <c r="G168" s="129"/>
      <c r="H168" s="132"/>
    </row>
    <row r="169" spans="1:8" ht="12.75">
      <c r="A169" s="137"/>
      <c r="B169" s="124"/>
      <c r="C169" s="116"/>
      <c r="D169" s="120"/>
      <c r="E169" s="120"/>
      <c r="F169" s="114">
        <f>IF(A169="","",F168+E169-D169)</f>
      </c>
      <c r="G169" s="129"/>
      <c r="H169" s="132"/>
    </row>
    <row r="170" spans="1:8" ht="12.75">
      <c r="A170" s="137"/>
      <c r="B170" s="124"/>
      <c r="C170" s="116"/>
      <c r="D170" s="120"/>
      <c r="E170" s="120"/>
      <c r="F170" s="114">
        <f>IF(A170="","",F169+E170-D170)</f>
      </c>
      <c r="G170" s="129"/>
      <c r="H170" s="132"/>
    </row>
    <row r="171" spans="1:8" ht="12.75">
      <c r="A171" s="137"/>
      <c r="B171" s="124"/>
      <c r="C171" s="116"/>
      <c r="D171" s="120"/>
      <c r="E171" s="120"/>
      <c r="F171" s="114">
        <f>IF(A171="","",F170+E171-D171)</f>
      </c>
      <c r="G171" s="129"/>
      <c r="H171" s="132"/>
    </row>
    <row r="172" spans="1:8" ht="12.75">
      <c r="A172" s="137"/>
      <c r="B172" s="124"/>
      <c r="C172" s="116"/>
      <c r="D172" s="120"/>
      <c r="E172" s="120"/>
      <c r="F172" s="114">
        <f>IF(A172="","",F171+E172-D172)</f>
      </c>
      <c r="G172" s="129"/>
      <c r="H172" s="132"/>
    </row>
    <row r="173" spans="1:8" ht="12.75">
      <c r="A173" s="137"/>
      <c r="B173" s="124"/>
      <c r="C173" s="116"/>
      <c r="D173" s="120"/>
      <c r="E173" s="120"/>
      <c r="F173" s="114">
        <f>IF(A173="","",F172+E173-D173)</f>
      </c>
      <c r="G173" s="129"/>
      <c r="H173" s="132"/>
    </row>
    <row r="174" spans="1:8" ht="12.75">
      <c r="A174" s="137"/>
      <c r="B174" s="124"/>
      <c r="C174" s="116"/>
      <c r="D174" s="120"/>
      <c r="E174" s="120"/>
      <c r="F174" s="114">
        <f>IF(A174="","",F173+E174-D174)</f>
      </c>
      <c r="G174" s="129"/>
      <c r="H174" s="132"/>
    </row>
    <row r="175" spans="1:8" ht="12.75">
      <c r="A175" s="137"/>
      <c r="B175" s="124"/>
      <c r="C175" s="116"/>
      <c r="D175" s="120"/>
      <c r="E175" s="120"/>
      <c r="F175" s="114">
        <f>IF(A175="","",F174+E175-D175)</f>
      </c>
      <c r="G175" s="129"/>
      <c r="H175" s="132"/>
    </row>
    <row r="176" spans="1:8" ht="12.75">
      <c r="A176" s="137"/>
      <c r="B176" s="124"/>
      <c r="C176" s="116"/>
      <c r="D176" s="120"/>
      <c r="E176" s="120"/>
      <c r="F176" s="114">
        <f>IF(A176="","",F175+E176-D176)</f>
      </c>
      <c r="G176" s="129"/>
      <c r="H176" s="132"/>
    </row>
    <row r="177" spans="1:8" ht="12.75">
      <c r="A177" s="137"/>
      <c r="B177" s="124"/>
      <c r="C177" s="116"/>
      <c r="D177" s="120"/>
      <c r="E177" s="120"/>
      <c r="F177" s="114">
        <f>IF(A177="","",F176+E177-D177)</f>
      </c>
      <c r="G177" s="129"/>
      <c r="H177" s="132"/>
    </row>
    <row r="178" spans="1:8" ht="12.75">
      <c r="A178" s="137"/>
      <c r="B178" s="124"/>
      <c r="C178" s="116"/>
      <c r="D178" s="120"/>
      <c r="E178" s="120"/>
      <c r="F178" s="114">
        <f>IF(A178="","",F177+E178-D178)</f>
      </c>
      <c r="G178" s="129"/>
      <c r="H178" s="132"/>
    </row>
    <row r="179" spans="1:8" ht="12.75">
      <c r="A179" s="137"/>
      <c r="B179" s="124"/>
      <c r="C179" s="116"/>
      <c r="D179" s="120"/>
      <c r="E179" s="120"/>
      <c r="F179" s="114">
        <f>IF(A179="","",F178+E179-D179)</f>
      </c>
      <c r="G179" s="129"/>
      <c r="H179" s="132"/>
    </row>
    <row r="180" spans="1:8" ht="12.75">
      <c r="A180" s="137"/>
      <c r="B180" s="124"/>
      <c r="C180" s="116"/>
      <c r="D180" s="120"/>
      <c r="E180" s="120"/>
      <c r="F180" s="114">
        <f>IF(A180="","",F179+E180-D180)</f>
      </c>
      <c r="G180" s="129"/>
      <c r="H180" s="132"/>
    </row>
    <row r="181" spans="1:8" ht="12.75">
      <c r="A181" s="137"/>
      <c r="B181" s="124"/>
      <c r="C181" s="116"/>
      <c r="D181" s="120"/>
      <c r="E181" s="120"/>
      <c r="F181" s="114">
        <f>IF(A181="","",F180+E181-D181)</f>
      </c>
      <c r="G181" s="129"/>
      <c r="H181" s="132"/>
    </row>
    <row r="182" spans="1:8" ht="12.75">
      <c r="A182" s="137"/>
      <c r="B182" s="124"/>
      <c r="C182" s="116"/>
      <c r="D182" s="120"/>
      <c r="E182" s="120"/>
      <c r="F182" s="114">
        <f>IF(A182="","",F181+E182-D182)</f>
      </c>
      <c r="G182" s="129"/>
      <c r="H182" s="132"/>
    </row>
    <row r="183" spans="1:8" ht="12.75">
      <c r="A183" s="137"/>
      <c r="B183" s="124"/>
      <c r="C183" s="116"/>
      <c r="D183" s="120"/>
      <c r="E183" s="120"/>
      <c r="F183" s="114">
        <f>IF(A183="","",F182+E183-D183)</f>
      </c>
      <c r="G183" s="129"/>
      <c r="H183" s="132"/>
    </row>
    <row r="184" spans="1:8" ht="12.75">
      <c r="A184" s="137"/>
      <c r="B184" s="124"/>
      <c r="C184" s="116"/>
      <c r="D184" s="120"/>
      <c r="E184" s="120"/>
      <c r="F184" s="114">
        <f>IF(A184="","",F183+E184-D184)</f>
      </c>
      <c r="G184" s="129"/>
      <c r="H184" s="132"/>
    </row>
    <row r="185" spans="1:8" ht="12.75">
      <c r="A185" s="137"/>
      <c r="B185" s="124"/>
      <c r="C185" s="116"/>
      <c r="D185" s="120"/>
      <c r="E185" s="120"/>
      <c r="F185" s="114">
        <f>IF(A185="","",F184+E185-D185)</f>
      </c>
      <c r="G185" s="129"/>
      <c r="H185" s="132"/>
    </row>
    <row r="186" spans="1:8" ht="12.75">
      <c r="A186" s="137"/>
      <c r="B186" s="124"/>
      <c r="C186" s="116"/>
      <c r="D186" s="120"/>
      <c r="E186" s="120"/>
      <c r="F186" s="114">
        <f>IF(A186="","",F185+E186-D186)</f>
      </c>
      <c r="G186" s="129"/>
      <c r="H186" s="132"/>
    </row>
    <row r="187" spans="1:8" ht="12.75">
      <c r="A187" s="137"/>
      <c r="B187" s="124"/>
      <c r="C187" s="116"/>
      <c r="D187" s="120"/>
      <c r="E187" s="120"/>
      <c r="F187" s="114">
        <f>IF(A187="","",F186+E187-D187)</f>
      </c>
      <c r="G187" s="129"/>
      <c r="H187" s="132"/>
    </row>
    <row r="188" spans="1:8" ht="12.75">
      <c r="A188" s="137"/>
      <c r="B188" s="124"/>
      <c r="C188" s="116"/>
      <c r="D188" s="120"/>
      <c r="E188" s="120"/>
      <c r="F188" s="114">
        <f>IF(A188="","",F187+E188-D188)</f>
      </c>
      <c r="G188" s="129"/>
      <c r="H188" s="132"/>
    </row>
    <row r="189" spans="1:8" ht="12.75">
      <c r="A189" s="137"/>
      <c r="B189" s="124"/>
      <c r="C189" s="116"/>
      <c r="D189" s="120"/>
      <c r="E189" s="120"/>
      <c r="F189" s="114">
        <f>IF(A189="","",F188+E189-D189)</f>
      </c>
      <c r="G189" s="129"/>
      <c r="H189" s="132"/>
    </row>
    <row r="190" spans="1:8" ht="12.75">
      <c r="A190" s="137"/>
      <c r="B190" s="124"/>
      <c r="C190" s="116"/>
      <c r="D190" s="120"/>
      <c r="E190" s="120"/>
      <c r="F190" s="114">
        <f>IF(A190="","",F189+E190-D190)</f>
      </c>
      <c r="G190" s="129"/>
      <c r="H190" s="132"/>
    </row>
    <row r="191" spans="1:8" ht="12.75">
      <c r="A191" s="137"/>
      <c r="B191" s="124"/>
      <c r="C191" s="116"/>
      <c r="D191" s="120"/>
      <c r="E191" s="120"/>
      <c r="F191" s="114">
        <f>IF(A191="","",F190+E191-D191)</f>
      </c>
      <c r="G191" s="129"/>
      <c r="H191" s="132"/>
    </row>
    <row r="192" spans="1:8" ht="12.75">
      <c r="A192" s="137"/>
      <c r="B192" s="124"/>
      <c r="C192" s="116"/>
      <c r="D192" s="120"/>
      <c r="E192" s="120"/>
      <c r="F192" s="114">
        <f>IF(A192="","",F191+E192-D192)</f>
      </c>
      <c r="G192" s="129"/>
      <c r="H192" s="132"/>
    </row>
    <row r="193" spans="1:8" ht="12.75">
      <c r="A193" s="137"/>
      <c r="B193" s="124"/>
      <c r="C193" s="116"/>
      <c r="D193" s="120"/>
      <c r="E193" s="120"/>
      <c r="F193" s="114">
        <f>IF(A193="","",F192+E193-D193)</f>
      </c>
      <c r="G193" s="129"/>
      <c r="H193" s="132"/>
    </row>
    <row r="194" spans="1:8" ht="12.75">
      <c r="A194" s="137"/>
      <c r="B194" s="124"/>
      <c r="C194" s="116"/>
      <c r="D194" s="120"/>
      <c r="E194" s="120"/>
      <c r="F194" s="114">
        <f>IF(A194="","",F193+E194-D194)</f>
      </c>
      <c r="G194" s="129"/>
      <c r="H194" s="132"/>
    </row>
    <row r="195" spans="1:8" ht="12.75">
      <c r="A195" s="137"/>
      <c r="B195" s="124"/>
      <c r="C195" s="116"/>
      <c r="D195" s="120"/>
      <c r="E195" s="120"/>
      <c r="F195" s="114">
        <f>IF(A195="","",F194+E195-D195)</f>
      </c>
      <c r="G195" s="129"/>
      <c r="H195" s="132"/>
    </row>
    <row r="196" spans="1:8" ht="12.75">
      <c r="A196" s="137"/>
      <c r="B196" s="124"/>
      <c r="C196" s="116"/>
      <c r="D196" s="120"/>
      <c r="E196" s="120"/>
      <c r="F196" s="114">
        <f>IF(A196="","",F195+E196-D196)</f>
      </c>
      <c r="G196" s="129"/>
      <c r="H196" s="132"/>
    </row>
    <row r="197" spans="1:8" ht="12.75">
      <c r="A197" s="137"/>
      <c r="B197" s="124"/>
      <c r="C197" s="116"/>
      <c r="D197" s="120"/>
      <c r="E197" s="120"/>
      <c r="F197" s="114">
        <f>IF(A197="","",F196+E197-D197)</f>
      </c>
      <c r="G197" s="129"/>
      <c r="H197" s="132"/>
    </row>
    <row r="198" spans="1:8" ht="12.75">
      <c r="A198" s="137"/>
      <c r="B198" s="124"/>
      <c r="C198" s="116"/>
      <c r="D198" s="120"/>
      <c r="E198" s="120"/>
      <c r="F198" s="114">
        <f>IF(A198="","",F197+E198-D198)</f>
      </c>
      <c r="G198" s="129"/>
      <c r="H198" s="132"/>
    </row>
    <row r="199" spans="1:8" ht="12.75">
      <c r="A199" s="137"/>
      <c r="B199" s="124"/>
      <c r="C199" s="116"/>
      <c r="D199" s="120"/>
      <c r="E199" s="120"/>
      <c r="F199" s="114">
        <f>IF(A199="","",F198+E199-D199)</f>
      </c>
      <c r="G199" s="129"/>
      <c r="H199" s="132"/>
    </row>
    <row r="200" spans="1:8" ht="12.75">
      <c r="A200" s="137"/>
      <c r="B200" s="124"/>
      <c r="C200" s="116"/>
      <c r="D200" s="120"/>
      <c r="E200" s="120"/>
      <c r="F200" s="114">
        <f>IF(A200="","",F199+E200-D200)</f>
      </c>
      <c r="G200" s="129"/>
      <c r="H200" s="132"/>
    </row>
    <row r="201" spans="1:8" ht="12.75">
      <c r="A201" s="137"/>
      <c r="B201" s="124"/>
      <c r="C201" s="116"/>
      <c r="D201" s="120"/>
      <c r="E201" s="120"/>
      <c r="F201" s="114">
        <f>IF(A201="","",F200+E201-D201)</f>
      </c>
      <c r="G201" s="129"/>
      <c r="H201" s="132"/>
    </row>
    <row r="202" spans="1:8" ht="12.75">
      <c r="A202" s="137"/>
      <c r="B202" s="124"/>
      <c r="C202" s="116"/>
      <c r="D202" s="120"/>
      <c r="E202" s="120"/>
      <c r="F202" s="114">
        <f>IF(A202="","",F201+E202-D202)</f>
      </c>
      <c r="G202" s="129"/>
      <c r="H202" s="132"/>
    </row>
    <row r="203" spans="1:8" ht="12.75">
      <c r="A203" s="137"/>
      <c r="B203" s="124"/>
      <c r="C203" s="116"/>
      <c r="D203" s="120"/>
      <c r="E203" s="120"/>
      <c r="F203" s="114">
        <f>IF(A203="","",F202+E203-D203)</f>
      </c>
      <c r="G203" s="129"/>
      <c r="H203" s="132"/>
    </row>
    <row r="204" spans="1:8" ht="12.75">
      <c r="A204" s="137"/>
      <c r="B204" s="124"/>
      <c r="C204" s="116"/>
      <c r="D204" s="120"/>
      <c r="E204" s="120"/>
      <c r="F204" s="114">
        <f>IF(A204="","",F203+E204-D204)</f>
      </c>
      <c r="G204" s="129"/>
      <c r="H204" s="132"/>
    </row>
    <row r="205" spans="1:8" ht="12.75">
      <c r="A205" s="137"/>
      <c r="B205" s="124"/>
      <c r="C205" s="116"/>
      <c r="D205" s="120"/>
      <c r="E205" s="120"/>
      <c r="F205" s="114">
        <f>IF(A205="","",F204+E205-D205)</f>
      </c>
      <c r="G205" s="129"/>
      <c r="H205" s="132"/>
    </row>
    <row r="206" spans="1:8" ht="12.75">
      <c r="A206" s="137"/>
      <c r="B206" s="124"/>
      <c r="C206" s="116"/>
      <c r="D206" s="120"/>
      <c r="E206" s="120"/>
      <c r="F206" s="114">
        <f>IF(A206="","",F205+E206-D206)</f>
      </c>
      <c r="G206" s="129"/>
      <c r="H206" s="132"/>
    </row>
    <row r="207" spans="1:8" ht="12.75">
      <c r="A207" s="137"/>
      <c r="B207" s="124"/>
      <c r="C207" s="116"/>
      <c r="D207" s="120"/>
      <c r="E207" s="120"/>
      <c r="F207" s="114">
        <f>IF(A207="","",F206+E207-D207)</f>
      </c>
      <c r="G207" s="129"/>
      <c r="H207" s="132"/>
    </row>
    <row r="208" spans="1:8" ht="12.75">
      <c r="A208" s="137"/>
      <c r="B208" s="124"/>
      <c r="C208" s="116"/>
      <c r="D208" s="120"/>
      <c r="E208" s="120"/>
      <c r="F208" s="114">
        <f>IF(A208="","",F207+E208-D208)</f>
      </c>
      <c r="G208" s="129"/>
      <c r="H208" s="132"/>
    </row>
    <row r="209" spans="1:8" ht="12.75">
      <c r="A209" s="137"/>
      <c r="B209" s="124"/>
      <c r="C209" s="116"/>
      <c r="D209" s="120"/>
      <c r="E209" s="120"/>
      <c r="F209" s="114">
        <f>IF(A209="","",F208+E209-D209)</f>
      </c>
      <c r="G209" s="129"/>
      <c r="H209" s="132"/>
    </row>
    <row r="210" spans="1:8" ht="12.75">
      <c r="A210" s="137"/>
      <c r="B210" s="124"/>
      <c r="C210" s="116"/>
      <c r="D210" s="120"/>
      <c r="E210" s="120"/>
      <c r="F210" s="114">
        <f>IF(A210="","",F209+E210-D210)</f>
      </c>
      <c r="G210" s="129"/>
      <c r="H210" s="132"/>
    </row>
    <row r="211" spans="1:8" ht="12.75">
      <c r="A211" s="137"/>
      <c r="B211" s="124"/>
      <c r="C211" s="116"/>
      <c r="D211" s="120"/>
      <c r="E211" s="120"/>
      <c r="F211" s="114">
        <f>IF(A211="","",F210+E211-D211)</f>
      </c>
      <c r="G211" s="129"/>
      <c r="H211" s="132"/>
    </row>
    <row r="212" spans="1:8" ht="12.75">
      <c r="A212" s="137"/>
      <c r="B212" s="124"/>
      <c r="C212" s="116"/>
      <c r="D212" s="120"/>
      <c r="E212" s="120"/>
      <c r="F212" s="114">
        <f>IF(A212="","",F211+E212-D212)</f>
      </c>
      <c r="G212" s="129"/>
      <c r="H212" s="132"/>
    </row>
    <row r="213" spans="1:8" ht="12.75">
      <c r="A213" s="137"/>
      <c r="B213" s="124"/>
      <c r="C213" s="116"/>
      <c r="D213" s="120"/>
      <c r="E213" s="120"/>
      <c r="F213" s="114">
        <f>IF(A213="","",F212+E213-D213)</f>
      </c>
      <c r="G213" s="129"/>
      <c r="H213" s="132"/>
    </row>
    <row r="214" spans="1:8" ht="12.75">
      <c r="A214" s="137"/>
      <c r="B214" s="124"/>
      <c r="C214" s="116"/>
      <c r="D214" s="120"/>
      <c r="E214" s="120"/>
      <c r="F214" s="114">
        <f>IF(A214="","",F213+E214-D214)</f>
      </c>
      <c r="G214" s="129"/>
      <c r="H214" s="132"/>
    </row>
    <row r="215" spans="1:8" ht="12.75">
      <c r="A215" s="137"/>
      <c r="B215" s="124"/>
      <c r="C215" s="116"/>
      <c r="D215" s="120"/>
      <c r="E215" s="120"/>
      <c r="F215" s="114">
        <f>IF(A215="","",F214+E215-D215)</f>
      </c>
      <c r="G215" s="129"/>
      <c r="H215" s="132"/>
    </row>
    <row r="216" spans="1:8" ht="12.75">
      <c r="A216" s="137"/>
      <c r="B216" s="124"/>
      <c r="C216" s="116"/>
      <c r="D216" s="120"/>
      <c r="E216" s="120"/>
      <c r="F216" s="114">
        <f>IF(A216="","",F215+E216-D216)</f>
      </c>
      <c r="G216" s="129"/>
      <c r="H216" s="132"/>
    </row>
    <row r="217" spans="1:8" ht="12.75">
      <c r="A217" s="137"/>
      <c r="B217" s="124"/>
      <c r="C217" s="116"/>
      <c r="D217" s="120"/>
      <c r="E217" s="120"/>
      <c r="F217" s="114">
        <f>IF(A217="","",F216+E217-D217)</f>
      </c>
      <c r="G217" s="129"/>
      <c r="H217" s="132"/>
    </row>
    <row r="218" spans="1:8" ht="12.75">
      <c r="A218" s="137"/>
      <c r="B218" s="124"/>
      <c r="C218" s="116"/>
      <c r="D218" s="120"/>
      <c r="E218" s="120"/>
      <c r="F218" s="114">
        <f>IF(A218="","",F217+E218-D218)</f>
      </c>
      <c r="G218" s="129"/>
      <c r="H218" s="132"/>
    </row>
    <row r="219" spans="1:8" ht="12.75">
      <c r="A219" s="137"/>
      <c r="B219" s="124"/>
      <c r="C219" s="116"/>
      <c r="D219" s="120"/>
      <c r="E219" s="120"/>
      <c r="F219" s="114">
        <f>IF(A219="","",F218+E219-D219)</f>
      </c>
      <c r="G219" s="129"/>
      <c r="H219" s="132"/>
    </row>
    <row r="220" spans="1:8" ht="12.75">
      <c r="A220" s="137"/>
      <c r="B220" s="124"/>
      <c r="C220" s="116"/>
      <c r="D220" s="120"/>
      <c r="E220" s="120"/>
      <c r="F220" s="114">
        <f>IF(A220="","",F219+E220-D220)</f>
      </c>
      <c r="G220" s="129"/>
      <c r="H220" s="132"/>
    </row>
    <row r="221" spans="1:8" ht="12.75">
      <c r="A221" s="137"/>
      <c r="B221" s="124"/>
      <c r="C221" s="116"/>
      <c r="D221" s="120"/>
      <c r="E221" s="120"/>
      <c r="F221" s="114">
        <f>IF(A221="","",F220+E221-D221)</f>
      </c>
      <c r="G221" s="129"/>
      <c r="H221" s="132"/>
    </row>
    <row r="222" spans="1:8" ht="12.75">
      <c r="A222" s="137"/>
      <c r="B222" s="124"/>
      <c r="C222" s="116"/>
      <c r="D222" s="120"/>
      <c r="E222" s="120"/>
      <c r="F222" s="114">
        <f>IF(A222="","",F221+E222-D222)</f>
      </c>
      <c r="G222" s="129"/>
      <c r="H222" s="132"/>
    </row>
    <row r="223" spans="1:8" ht="12.75">
      <c r="A223" s="137"/>
      <c r="B223" s="124"/>
      <c r="C223" s="116"/>
      <c r="D223" s="120"/>
      <c r="E223" s="120"/>
      <c r="F223" s="114">
        <f>IF(A223="","",F222+E223-D223)</f>
      </c>
      <c r="G223" s="129"/>
      <c r="H223" s="132"/>
    </row>
    <row r="224" spans="1:8" ht="12.75">
      <c r="A224" s="137"/>
      <c r="B224" s="124"/>
      <c r="C224" s="116"/>
      <c r="D224" s="120"/>
      <c r="E224" s="120"/>
      <c r="F224" s="114">
        <f>IF(A224="","",F223+E224-D224)</f>
      </c>
      <c r="G224" s="129"/>
      <c r="H224" s="132"/>
    </row>
    <row r="225" spans="1:8" ht="12.75">
      <c r="A225" s="137"/>
      <c r="B225" s="124"/>
      <c r="C225" s="116"/>
      <c r="D225" s="120"/>
      <c r="E225" s="120"/>
      <c r="F225" s="114">
        <f>IF(A225="","",F224+E225-D225)</f>
      </c>
      <c r="G225" s="129"/>
      <c r="H225" s="132"/>
    </row>
    <row r="226" spans="1:8" ht="12.75">
      <c r="A226" s="137"/>
      <c r="B226" s="124"/>
      <c r="C226" s="116"/>
      <c r="D226" s="120"/>
      <c r="E226" s="120"/>
      <c r="F226" s="114">
        <f>IF(A226="","",F225+E226-D226)</f>
      </c>
      <c r="G226" s="129"/>
      <c r="H226" s="132"/>
    </row>
    <row r="227" spans="1:8" ht="12.75">
      <c r="A227" s="137"/>
      <c r="B227" s="124"/>
      <c r="C227" s="116"/>
      <c r="D227" s="120"/>
      <c r="E227" s="120"/>
      <c r="F227" s="114">
        <f>IF(A227="","",F226+E227-D227)</f>
      </c>
      <c r="G227" s="129"/>
      <c r="H227" s="132"/>
    </row>
    <row r="228" spans="1:8" ht="12.75">
      <c r="A228" s="137"/>
      <c r="B228" s="124"/>
      <c r="C228" s="116"/>
      <c r="D228" s="120"/>
      <c r="E228" s="120"/>
      <c r="F228" s="114">
        <f>IF(A228="","",F227+E228-D228)</f>
      </c>
      <c r="G228" s="129"/>
      <c r="H228" s="132"/>
    </row>
    <row r="229" spans="1:8" ht="12.75">
      <c r="A229" s="137"/>
      <c r="B229" s="124"/>
      <c r="C229" s="116"/>
      <c r="D229" s="120"/>
      <c r="E229" s="120"/>
      <c r="F229" s="114">
        <f>IF(A229="","",F228+E229-D229)</f>
      </c>
      <c r="G229" s="129"/>
      <c r="H229" s="132"/>
    </row>
    <row r="230" spans="1:8" ht="12.75">
      <c r="A230" s="137"/>
      <c r="B230" s="124"/>
      <c r="C230" s="116"/>
      <c r="D230" s="120"/>
      <c r="E230" s="120"/>
      <c r="F230" s="114">
        <f>IF(A230="","",F229+E230-D230)</f>
      </c>
      <c r="G230" s="129"/>
      <c r="H230" s="132"/>
    </row>
    <row r="231" spans="1:8" ht="12.75">
      <c r="A231" s="137"/>
      <c r="B231" s="124"/>
      <c r="C231" s="116"/>
      <c r="D231" s="120"/>
      <c r="E231" s="120"/>
      <c r="F231" s="114">
        <f>IF(A231="","",F230+E231-D231)</f>
      </c>
      <c r="G231" s="129"/>
      <c r="H231" s="132"/>
    </row>
    <row r="232" spans="1:8" ht="12.75">
      <c r="A232" s="137"/>
      <c r="B232" s="124"/>
      <c r="C232" s="116"/>
      <c r="D232" s="120"/>
      <c r="E232" s="120"/>
      <c r="F232" s="114">
        <f>IF(A232="","",F231+E232-D232)</f>
      </c>
      <c r="G232" s="129"/>
      <c r="H232" s="132"/>
    </row>
    <row r="233" spans="1:8" ht="12.75">
      <c r="A233" s="137"/>
      <c r="B233" s="124"/>
      <c r="C233" s="116"/>
      <c r="D233" s="120"/>
      <c r="E233" s="120"/>
      <c r="F233" s="114">
        <f>IF(A233="","",F232+E233-D233)</f>
      </c>
      <c r="G233" s="129"/>
      <c r="H233" s="132"/>
    </row>
    <row r="234" spans="1:8" ht="12.75">
      <c r="A234" s="137"/>
      <c r="B234" s="124"/>
      <c r="C234" s="116"/>
      <c r="D234" s="120"/>
      <c r="E234" s="120"/>
      <c r="F234" s="114">
        <f>IF(A234="","",F233+E234-D234)</f>
      </c>
      <c r="G234" s="129"/>
      <c r="H234" s="132"/>
    </row>
    <row r="235" spans="1:8" ht="12.75">
      <c r="A235" s="137"/>
      <c r="B235" s="124"/>
      <c r="C235" s="116"/>
      <c r="D235" s="120"/>
      <c r="E235" s="120"/>
      <c r="F235" s="114">
        <f>IF(A235="","",F234+E235-D235)</f>
      </c>
      <c r="G235" s="129"/>
      <c r="H235" s="132"/>
    </row>
    <row r="236" spans="1:8" ht="12.75">
      <c r="A236" s="137"/>
      <c r="B236" s="124"/>
      <c r="C236" s="116"/>
      <c r="D236" s="120"/>
      <c r="E236" s="120"/>
      <c r="F236" s="114">
        <f>IF(A236="","",F235+E236-D236)</f>
      </c>
      <c r="G236" s="129"/>
      <c r="H236" s="132"/>
    </row>
    <row r="237" spans="1:8" ht="12.75">
      <c r="A237" s="137"/>
      <c r="B237" s="124"/>
      <c r="C237" s="116"/>
      <c r="D237" s="120"/>
      <c r="E237" s="120"/>
      <c r="F237" s="114">
        <f>IF(A237="","",F236+E237-D237)</f>
      </c>
      <c r="G237" s="129"/>
      <c r="H237" s="132"/>
    </row>
    <row r="238" spans="1:8" ht="12.75">
      <c r="A238" s="137"/>
      <c r="B238" s="124"/>
      <c r="C238" s="116"/>
      <c r="D238" s="120"/>
      <c r="E238" s="120"/>
      <c r="F238" s="114">
        <f>IF(A238="","",F237+E238-D238)</f>
      </c>
      <c r="G238" s="129"/>
      <c r="H238" s="132"/>
    </row>
    <row r="239" spans="1:8" ht="12.75">
      <c r="A239" s="137"/>
      <c r="B239" s="124"/>
      <c r="C239" s="116"/>
      <c r="D239" s="120"/>
      <c r="E239" s="120"/>
      <c r="F239" s="114">
        <f>IF(A239="","",F238+E239-D239)</f>
      </c>
      <c r="G239" s="129"/>
      <c r="H239" s="132"/>
    </row>
    <row r="240" spans="1:8" ht="12.75">
      <c r="A240" s="137"/>
      <c r="B240" s="124"/>
      <c r="C240" s="116"/>
      <c r="D240" s="120"/>
      <c r="E240" s="120"/>
      <c r="F240" s="114">
        <f>IF(A240="","",F239+E240-D240)</f>
      </c>
      <c r="G240" s="129"/>
      <c r="H240" s="132"/>
    </row>
    <row r="241" spans="1:8" ht="12.75">
      <c r="A241" s="137"/>
      <c r="B241" s="124"/>
      <c r="C241" s="116"/>
      <c r="D241" s="120"/>
      <c r="E241" s="120"/>
      <c r="F241" s="114">
        <f>IF(A241="","",F240+E241-D241)</f>
      </c>
      <c r="G241" s="129"/>
      <c r="H241" s="132"/>
    </row>
    <row r="242" spans="1:8" ht="12.75">
      <c r="A242" s="137"/>
      <c r="B242" s="124"/>
      <c r="C242" s="116"/>
      <c r="D242" s="120"/>
      <c r="E242" s="120"/>
      <c r="F242" s="114">
        <f>IF(A242="","",F241+E242-D242)</f>
      </c>
      <c r="G242" s="129"/>
      <c r="H242" s="132"/>
    </row>
    <row r="243" spans="1:8" ht="12.75">
      <c r="A243" s="137"/>
      <c r="B243" s="124"/>
      <c r="C243" s="116"/>
      <c r="D243" s="120"/>
      <c r="E243" s="120"/>
      <c r="F243" s="114">
        <f>IF(A243="","",F242+E243-D243)</f>
      </c>
      <c r="G243" s="129"/>
      <c r="H243" s="132"/>
    </row>
    <row r="244" spans="1:8" ht="12.75">
      <c r="A244" s="137"/>
      <c r="B244" s="124"/>
      <c r="C244" s="116"/>
      <c r="D244" s="120"/>
      <c r="E244" s="120"/>
      <c r="F244" s="114">
        <f>IF(A244="","",F243+E244-D244)</f>
      </c>
      <c r="G244" s="129"/>
      <c r="H244" s="132"/>
    </row>
    <row r="245" spans="1:8" ht="12.75">
      <c r="A245" s="137"/>
      <c r="B245" s="124"/>
      <c r="C245" s="116"/>
      <c r="D245" s="120"/>
      <c r="E245" s="120"/>
      <c r="F245" s="114">
        <f>IF(A245="","",F244+E245-D245)</f>
      </c>
      <c r="G245" s="129"/>
      <c r="H245" s="132"/>
    </row>
    <row r="246" spans="1:8" ht="12.75">
      <c r="A246" s="137"/>
      <c r="B246" s="124"/>
      <c r="C246" s="116"/>
      <c r="D246" s="120"/>
      <c r="E246" s="120"/>
      <c r="F246" s="114">
        <f>IF(A246="","",F245+E246-D246)</f>
      </c>
      <c r="G246" s="129"/>
      <c r="H246" s="132"/>
    </row>
    <row r="247" spans="1:8" ht="12.75">
      <c r="A247" s="137"/>
      <c r="B247" s="124"/>
      <c r="C247" s="116"/>
      <c r="D247" s="120"/>
      <c r="E247" s="120"/>
      <c r="F247" s="114">
        <f>IF(A247="","",F246+E247-D247)</f>
      </c>
      <c r="G247" s="129"/>
      <c r="H247" s="132"/>
    </row>
    <row r="248" spans="1:8" ht="12.75">
      <c r="A248" s="137"/>
      <c r="B248" s="124"/>
      <c r="C248" s="116"/>
      <c r="D248" s="120"/>
      <c r="E248" s="120"/>
      <c r="F248" s="114">
        <f>IF(A248="","",F247+E248-D248)</f>
      </c>
      <c r="G248" s="129"/>
      <c r="H248" s="132"/>
    </row>
    <row r="249" spans="1:8" ht="12.75">
      <c r="A249" s="137"/>
      <c r="B249" s="124"/>
      <c r="C249" s="116"/>
      <c r="D249" s="120"/>
      <c r="E249" s="120"/>
      <c r="F249" s="114">
        <f>IF(A249="","",F248+E249-D249)</f>
      </c>
      <c r="G249" s="129"/>
      <c r="H249" s="132"/>
    </row>
    <row r="250" spans="1:8" ht="12.75">
      <c r="A250" s="137"/>
      <c r="B250" s="124"/>
      <c r="C250" s="116"/>
      <c r="D250" s="120"/>
      <c r="E250" s="120"/>
      <c r="F250" s="114">
        <f>IF(A250="","",F249+E250-D250)</f>
      </c>
      <c r="G250" s="129"/>
      <c r="H250" s="132"/>
    </row>
    <row r="251" spans="1:8" ht="12.75">
      <c r="A251" s="137"/>
      <c r="B251" s="124"/>
      <c r="C251" s="116"/>
      <c r="D251" s="120"/>
      <c r="E251" s="120"/>
      <c r="F251" s="114">
        <f>IF(A251="","",F250+E251-D251)</f>
      </c>
      <c r="G251" s="129"/>
      <c r="H251" s="132"/>
    </row>
    <row r="252" spans="1:8" ht="12.75">
      <c r="A252" s="137"/>
      <c r="B252" s="124"/>
      <c r="C252" s="116"/>
      <c r="D252" s="120"/>
      <c r="E252" s="120"/>
      <c r="F252" s="114">
        <f>IF(A252="","",F251+E252-D252)</f>
      </c>
      <c r="G252" s="129"/>
      <c r="H252" s="132"/>
    </row>
    <row r="253" spans="1:8" ht="12.75">
      <c r="A253" s="137"/>
      <c r="B253" s="124"/>
      <c r="C253" s="116"/>
      <c r="D253" s="120"/>
      <c r="E253" s="120"/>
      <c r="F253" s="114">
        <f>IF(A253="","",F252+E253-D253)</f>
      </c>
      <c r="G253" s="129"/>
      <c r="H253" s="132"/>
    </row>
    <row r="254" spans="1:8" ht="12.75">
      <c r="A254" s="137"/>
      <c r="B254" s="124"/>
      <c r="C254" s="116"/>
      <c r="D254" s="120"/>
      <c r="E254" s="120"/>
      <c r="F254" s="114">
        <f>IF(A254="","",F253+E254-D254)</f>
      </c>
      <c r="G254" s="129"/>
      <c r="H254" s="132"/>
    </row>
    <row r="255" spans="1:8" ht="12.75">
      <c r="A255" s="137"/>
      <c r="B255" s="124"/>
      <c r="C255" s="116"/>
      <c r="D255" s="120"/>
      <c r="E255" s="120"/>
      <c r="F255" s="114">
        <f>IF(A255="","",F254+E255-D255)</f>
      </c>
      <c r="G255" s="129"/>
      <c r="H255" s="132"/>
    </row>
    <row r="256" spans="1:8" ht="12.75">
      <c r="A256" s="137"/>
      <c r="B256" s="124"/>
      <c r="C256" s="116"/>
      <c r="D256" s="120"/>
      <c r="E256" s="120"/>
      <c r="F256" s="114">
        <f>IF(A256="","",F255+E256-D256)</f>
      </c>
      <c r="G256" s="129"/>
      <c r="H256" s="132"/>
    </row>
    <row r="257" spans="1:8" ht="12.75">
      <c r="A257" s="137"/>
      <c r="B257" s="124"/>
      <c r="C257" s="116"/>
      <c r="D257" s="120"/>
      <c r="E257" s="120"/>
      <c r="F257" s="114">
        <f>IF(A257="","",F256+E257-D257)</f>
      </c>
      <c r="G257" s="129"/>
      <c r="H257" s="132"/>
    </row>
    <row r="258" spans="1:8" ht="12.75">
      <c r="A258" s="137"/>
      <c r="B258" s="124"/>
      <c r="C258" s="116"/>
      <c r="D258" s="120"/>
      <c r="E258" s="120"/>
      <c r="F258" s="114">
        <f>IF(A258="","",F257+E258-D258)</f>
      </c>
      <c r="G258" s="129"/>
      <c r="H258" s="132"/>
    </row>
    <row r="259" spans="1:8" ht="12.75">
      <c r="A259" s="137"/>
      <c r="B259" s="124"/>
      <c r="C259" s="116"/>
      <c r="D259" s="120"/>
      <c r="E259" s="120"/>
      <c r="F259" s="114">
        <f>IF(A259="","",F258+E259-D259)</f>
      </c>
      <c r="G259" s="129"/>
      <c r="H259" s="132"/>
    </row>
    <row r="260" spans="1:8" ht="12.75">
      <c r="A260" s="137"/>
      <c r="B260" s="124"/>
      <c r="C260" s="116"/>
      <c r="D260" s="120"/>
      <c r="E260" s="120"/>
      <c r="F260" s="114">
        <f>IF(A260="","",F259+E260-D260)</f>
      </c>
      <c r="G260" s="129"/>
      <c r="H260" s="132"/>
    </row>
    <row r="261" spans="1:8" ht="12.75">
      <c r="A261" s="137"/>
      <c r="B261" s="124"/>
      <c r="C261" s="116"/>
      <c r="D261" s="120"/>
      <c r="E261" s="120"/>
      <c r="F261" s="114">
        <f>IF(A261="","",F260+E261-D261)</f>
      </c>
      <c r="G261" s="129"/>
      <c r="H261" s="132"/>
    </row>
    <row r="262" spans="1:8" ht="12.75">
      <c r="A262" s="137"/>
      <c r="B262" s="124"/>
      <c r="C262" s="116"/>
      <c r="D262" s="120"/>
      <c r="E262" s="120"/>
      <c r="F262" s="114">
        <f>IF(A262="","",F261+E262-D262)</f>
      </c>
      <c r="G262" s="129"/>
      <c r="H262" s="132"/>
    </row>
    <row r="263" spans="1:8" ht="12.75">
      <c r="A263" s="137"/>
      <c r="B263" s="124"/>
      <c r="C263" s="116"/>
      <c r="D263" s="120"/>
      <c r="E263" s="120"/>
      <c r="F263" s="114">
        <f>IF(A263="","",F262+E263-D263)</f>
      </c>
      <c r="G263" s="129"/>
      <c r="H263" s="132"/>
    </row>
    <row r="264" spans="1:8" ht="12.75">
      <c r="A264" s="137"/>
      <c r="B264" s="124"/>
      <c r="C264" s="116"/>
      <c r="D264" s="120"/>
      <c r="E264" s="120"/>
      <c r="F264" s="114">
        <f>IF(A264="","",F263+E264-D264)</f>
      </c>
      <c r="G264" s="129"/>
      <c r="H264" s="132"/>
    </row>
    <row r="265" spans="1:8" ht="12.75">
      <c r="A265" s="137"/>
      <c r="B265" s="124"/>
      <c r="C265" s="116"/>
      <c r="D265" s="120"/>
      <c r="E265" s="120"/>
      <c r="F265" s="114">
        <f>IF(A265="","",F264+E265-D265)</f>
      </c>
      <c r="G265" s="129"/>
      <c r="H265" s="132"/>
    </row>
    <row r="266" spans="1:8" ht="12.75">
      <c r="A266" s="137"/>
      <c r="B266" s="124"/>
      <c r="C266" s="116"/>
      <c r="D266" s="120"/>
      <c r="E266" s="120"/>
      <c r="F266" s="114">
        <f>IF(A266="","",F265+E266-D266)</f>
      </c>
      <c r="G266" s="129"/>
      <c r="H266" s="132"/>
    </row>
    <row r="267" spans="1:8" ht="12.75">
      <c r="A267" s="137"/>
      <c r="B267" s="124"/>
      <c r="C267" s="116"/>
      <c r="D267" s="120"/>
      <c r="E267" s="120"/>
      <c r="F267" s="114">
        <f>IF(A267="","",F266+E267-D267)</f>
      </c>
      <c r="G267" s="129"/>
      <c r="H267" s="132"/>
    </row>
    <row r="268" spans="1:8" ht="12.75">
      <c r="A268" s="137"/>
      <c r="B268" s="124"/>
      <c r="C268" s="116"/>
      <c r="D268" s="120"/>
      <c r="E268" s="120"/>
      <c r="F268" s="114">
        <f>IF(A268="","",F267+E268-D268)</f>
      </c>
      <c r="G268" s="129"/>
      <c r="H268" s="132"/>
    </row>
    <row r="269" spans="1:8" ht="12.75">
      <c r="A269" s="137"/>
      <c r="B269" s="124"/>
      <c r="C269" s="116"/>
      <c r="D269" s="120"/>
      <c r="E269" s="120"/>
      <c r="F269" s="114">
        <f>IF(A269="","",F268+E269-D269)</f>
      </c>
      <c r="G269" s="129"/>
      <c r="H269" s="132"/>
    </row>
    <row r="270" spans="1:8" ht="12.75">
      <c r="A270" s="137"/>
      <c r="B270" s="124"/>
      <c r="C270" s="116"/>
      <c r="D270" s="120"/>
      <c r="E270" s="120"/>
      <c r="F270" s="114">
        <f>IF(A270="","",F269+E270-D270)</f>
      </c>
      <c r="G270" s="129"/>
      <c r="H270" s="132"/>
    </row>
    <row r="271" spans="1:8" ht="12.75">
      <c r="A271" s="137"/>
      <c r="B271" s="124"/>
      <c r="C271" s="116"/>
      <c r="D271" s="120"/>
      <c r="E271" s="120"/>
      <c r="F271" s="114">
        <f>IF(A271="","",F270+E271-D271)</f>
      </c>
      <c r="G271" s="129"/>
      <c r="H271" s="132"/>
    </row>
    <row r="272" spans="1:8" ht="12.75">
      <c r="A272" s="137"/>
      <c r="B272" s="124"/>
      <c r="C272" s="116"/>
      <c r="D272" s="120"/>
      <c r="E272" s="120"/>
      <c r="F272" s="114">
        <f>IF(A272="","",F271+E272-D272)</f>
      </c>
      <c r="G272" s="129"/>
      <c r="H272" s="132"/>
    </row>
    <row r="273" spans="1:8" ht="12.75">
      <c r="A273" s="137"/>
      <c r="B273" s="124"/>
      <c r="C273" s="116"/>
      <c r="D273" s="120"/>
      <c r="E273" s="120"/>
      <c r="F273" s="114">
        <f>IF(A273="","",F272+E273-D273)</f>
      </c>
      <c r="G273" s="129"/>
      <c r="H273" s="132"/>
    </row>
    <row r="274" spans="1:8" ht="12.75">
      <c r="A274" s="137"/>
      <c r="B274" s="124"/>
      <c r="C274" s="116"/>
      <c r="D274" s="120"/>
      <c r="E274" s="120"/>
      <c r="F274" s="114">
        <f>IF(A274="","",F273+E274-D274)</f>
      </c>
      <c r="G274" s="129"/>
      <c r="H274" s="132"/>
    </row>
    <row r="275" spans="1:8" ht="12.75">
      <c r="A275" s="137"/>
      <c r="B275" s="124"/>
      <c r="C275" s="116"/>
      <c r="D275" s="120"/>
      <c r="E275" s="120"/>
      <c r="F275" s="114">
        <f>IF(A275="","",F274+E275-D275)</f>
      </c>
      <c r="G275" s="129"/>
      <c r="H275" s="132"/>
    </row>
    <row r="276" spans="1:8" ht="12.75">
      <c r="A276" s="137"/>
      <c r="B276" s="124"/>
      <c r="C276" s="116"/>
      <c r="D276" s="120"/>
      <c r="E276" s="120"/>
      <c r="F276" s="114">
        <f>IF(A276="","",F275+E276-D276)</f>
      </c>
      <c r="G276" s="129"/>
      <c r="H276" s="132"/>
    </row>
    <row r="277" spans="1:8" ht="12.75">
      <c r="A277" s="137"/>
      <c r="B277" s="124"/>
      <c r="C277" s="116"/>
      <c r="D277" s="120"/>
      <c r="E277" s="120"/>
      <c r="F277" s="114">
        <f>IF(A277="","",F276+E277-D277)</f>
      </c>
      <c r="G277" s="129"/>
      <c r="H277" s="132"/>
    </row>
    <row r="278" spans="1:8" ht="12.75">
      <c r="A278" s="137"/>
      <c r="B278" s="124"/>
      <c r="C278" s="116"/>
      <c r="D278" s="120"/>
      <c r="E278" s="120"/>
      <c r="F278" s="114">
        <f>IF(A278="","",F277+E278-D278)</f>
      </c>
      <c r="G278" s="129"/>
      <c r="H278" s="132"/>
    </row>
    <row r="279" spans="1:8" ht="12.75">
      <c r="A279" s="137"/>
      <c r="B279" s="124"/>
      <c r="C279" s="116"/>
      <c r="D279" s="120"/>
      <c r="E279" s="120"/>
      <c r="F279" s="114">
        <f>IF(A279="","",F278+E279-D279)</f>
      </c>
      <c r="G279" s="129"/>
      <c r="H279" s="132"/>
    </row>
    <row r="280" spans="1:8" ht="12.75">
      <c r="A280" s="137"/>
      <c r="B280" s="124"/>
      <c r="C280" s="116"/>
      <c r="D280" s="120"/>
      <c r="E280" s="120"/>
      <c r="F280" s="114">
        <f>IF(A280="","",F279+E280-D280)</f>
      </c>
      <c r="G280" s="129"/>
      <c r="H280" s="132"/>
    </row>
    <row r="281" spans="1:8" ht="12.75">
      <c r="A281" s="137"/>
      <c r="B281" s="124"/>
      <c r="C281" s="116"/>
      <c r="D281" s="120"/>
      <c r="E281" s="120"/>
      <c r="F281" s="114">
        <f>IF(A281="","",F280+E281-D281)</f>
      </c>
      <c r="G281" s="129"/>
      <c r="H281" s="132"/>
    </row>
    <row r="282" spans="1:8" ht="12.75">
      <c r="A282" s="137"/>
      <c r="B282" s="124"/>
      <c r="C282" s="116"/>
      <c r="D282" s="120"/>
      <c r="E282" s="120"/>
      <c r="F282" s="114">
        <f>IF(A282="","",F281+E282-D282)</f>
      </c>
      <c r="G282" s="129"/>
      <c r="H282" s="132"/>
    </row>
    <row r="283" spans="1:8" ht="12.75">
      <c r="A283" s="137"/>
      <c r="B283" s="124"/>
      <c r="C283" s="116"/>
      <c r="D283" s="120"/>
      <c r="E283" s="120"/>
      <c r="F283" s="114">
        <f>IF(A283="","",F282+E283-D283)</f>
      </c>
      <c r="G283" s="129"/>
      <c r="H283" s="132"/>
    </row>
    <row r="284" spans="1:8" ht="12.75">
      <c r="A284" s="137"/>
      <c r="B284" s="124"/>
      <c r="C284" s="116"/>
      <c r="D284" s="120"/>
      <c r="E284" s="120"/>
      <c r="F284" s="114">
        <f>IF(A284="","",F283+E284-D284)</f>
      </c>
      <c r="G284" s="129"/>
      <c r="H284" s="132"/>
    </row>
    <row r="285" spans="1:8" ht="12.75">
      <c r="A285" s="137"/>
      <c r="B285" s="124"/>
      <c r="C285" s="116"/>
      <c r="D285" s="120"/>
      <c r="E285" s="120"/>
      <c r="F285" s="114">
        <f>IF(A285="","",F284+E285-D285)</f>
      </c>
      <c r="G285" s="129"/>
      <c r="H285" s="132"/>
    </row>
    <row r="286" spans="1:8" ht="12.75">
      <c r="A286" s="137"/>
      <c r="B286" s="124"/>
      <c r="C286" s="116"/>
      <c r="D286" s="120"/>
      <c r="E286" s="120"/>
      <c r="F286" s="114">
        <f>IF(A286="","",F285+E286-D286)</f>
      </c>
      <c r="G286" s="129"/>
      <c r="H286" s="132"/>
    </row>
    <row r="287" spans="1:8" ht="12.75">
      <c r="A287" s="137"/>
      <c r="B287" s="124"/>
      <c r="C287" s="116"/>
      <c r="D287" s="120"/>
      <c r="E287" s="120"/>
      <c r="F287" s="114">
        <f>IF(A287="","",F286+E287-D287)</f>
      </c>
      <c r="G287" s="129"/>
      <c r="H287" s="132"/>
    </row>
    <row r="288" spans="1:8" ht="12.75">
      <c r="A288" s="137"/>
      <c r="B288" s="124"/>
      <c r="C288" s="116"/>
      <c r="D288" s="120"/>
      <c r="E288" s="120"/>
      <c r="F288" s="114">
        <f>IF(A288="","",F287+E288-D288)</f>
      </c>
      <c r="G288" s="129"/>
      <c r="H288" s="132"/>
    </row>
    <row r="289" spans="1:8" ht="12.75">
      <c r="A289" s="137"/>
      <c r="B289" s="124"/>
      <c r="C289" s="116"/>
      <c r="D289" s="120"/>
      <c r="E289" s="120"/>
      <c r="F289" s="114">
        <f>IF(A289="","",F288+E289-D289)</f>
      </c>
      <c r="G289" s="129"/>
      <c r="H289" s="132"/>
    </row>
    <row r="290" spans="1:8" ht="12.75">
      <c r="A290" s="137"/>
      <c r="B290" s="124"/>
      <c r="C290" s="116"/>
      <c r="D290" s="120"/>
      <c r="E290" s="120"/>
      <c r="F290" s="114">
        <f>IF(A290="","",F289+E290-D290)</f>
      </c>
      <c r="G290" s="129"/>
      <c r="H290" s="132"/>
    </row>
    <row r="291" spans="1:8" ht="12.75">
      <c r="A291" s="137"/>
      <c r="B291" s="124"/>
      <c r="C291" s="116"/>
      <c r="D291" s="120"/>
      <c r="E291" s="120"/>
      <c r="F291" s="114">
        <f>IF(A291="","",F290+E291-D291)</f>
      </c>
      <c r="G291" s="129"/>
      <c r="H291" s="132"/>
    </row>
    <row r="292" spans="1:8" ht="12.75">
      <c r="A292" s="137"/>
      <c r="B292" s="124"/>
      <c r="C292" s="116"/>
      <c r="D292" s="120"/>
      <c r="E292" s="120"/>
      <c r="F292" s="114">
        <f>IF(A292="","",F291+E292-D292)</f>
      </c>
      <c r="G292" s="129"/>
      <c r="H292" s="132"/>
    </row>
    <row r="293" spans="1:8" ht="12.75">
      <c r="A293" s="137"/>
      <c r="B293" s="124"/>
      <c r="C293" s="116"/>
      <c r="D293" s="120"/>
      <c r="E293" s="120"/>
      <c r="F293" s="114">
        <f>IF(A293="","",F292+E293-D293)</f>
      </c>
      <c r="G293" s="129"/>
      <c r="H293" s="132"/>
    </row>
    <row r="294" spans="1:8" ht="12.75">
      <c r="A294" s="137"/>
      <c r="B294" s="124"/>
      <c r="C294" s="116"/>
      <c r="D294" s="120"/>
      <c r="E294" s="120"/>
      <c r="F294" s="114">
        <f>IF(A294="","",F293+E294-D294)</f>
      </c>
      <c r="G294" s="129"/>
      <c r="H294" s="132"/>
    </row>
    <row r="295" spans="1:8" ht="12.75">
      <c r="A295" s="137"/>
      <c r="B295" s="124"/>
      <c r="C295" s="116"/>
      <c r="D295" s="120"/>
      <c r="E295" s="120"/>
      <c r="F295" s="114">
        <f>IF(A295="","",F294+E295-D295)</f>
      </c>
      <c r="G295" s="129"/>
      <c r="H295" s="132"/>
    </row>
    <row r="296" spans="1:8" ht="12.75">
      <c r="A296" s="137"/>
      <c r="B296" s="124"/>
      <c r="C296" s="116"/>
      <c r="D296" s="120"/>
      <c r="E296" s="120"/>
      <c r="F296" s="114">
        <f>IF(A296="","",F295+E296-D296)</f>
      </c>
      <c r="G296" s="129"/>
      <c r="H296" s="132"/>
    </row>
    <row r="297" spans="1:8" ht="12.75">
      <c r="A297" s="137"/>
      <c r="B297" s="124"/>
      <c r="C297" s="116"/>
      <c r="D297" s="120"/>
      <c r="E297" s="120"/>
      <c r="F297" s="114">
        <f>IF(A297="","",F296+E297-D297)</f>
      </c>
      <c r="G297" s="129"/>
      <c r="H297" s="132"/>
    </row>
    <row r="298" spans="1:8" ht="12.75">
      <c r="A298" s="137"/>
      <c r="B298" s="124"/>
      <c r="C298" s="116"/>
      <c r="D298" s="120"/>
      <c r="E298" s="120"/>
      <c r="F298" s="114">
        <f>IF(A298="","",F297+E298-D298)</f>
      </c>
      <c r="G298" s="129"/>
      <c r="H298" s="132"/>
    </row>
    <row r="299" spans="1:8" ht="12.75">
      <c r="A299" s="137"/>
      <c r="B299" s="124"/>
      <c r="C299" s="116"/>
      <c r="D299" s="120"/>
      <c r="E299" s="120"/>
      <c r="F299" s="114">
        <f>IF(A299="","",F298+E299-D299)</f>
      </c>
      <c r="G299" s="129"/>
      <c r="H299" s="132"/>
    </row>
    <row r="300" spans="1:8" ht="12.75">
      <c r="A300" s="137"/>
      <c r="B300" s="124"/>
      <c r="C300" s="116"/>
      <c r="D300" s="120"/>
      <c r="E300" s="120"/>
      <c r="F300" s="114">
        <f>IF(A300="","",F299+E300-D300)</f>
      </c>
      <c r="G300" s="129"/>
      <c r="H300" s="132"/>
    </row>
    <row r="301" spans="1:8" ht="12.75">
      <c r="A301" s="137"/>
      <c r="B301" s="124"/>
      <c r="C301" s="116"/>
      <c r="D301" s="120"/>
      <c r="E301" s="120"/>
      <c r="F301" s="114">
        <f>IF(A301="","",F300+E301-D301)</f>
      </c>
      <c r="G301" s="129"/>
      <c r="H301" s="132"/>
    </row>
    <row r="302" spans="1:8" ht="12.75">
      <c r="A302" s="137"/>
      <c r="B302" s="124"/>
      <c r="C302" s="116"/>
      <c r="D302" s="120"/>
      <c r="E302" s="120"/>
      <c r="F302" s="114">
        <f>IF(A302="","",F301+E302-D302)</f>
      </c>
      <c r="G302" s="129"/>
      <c r="H302" s="132"/>
    </row>
    <row r="303" spans="1:8" ht="12.75">
      <c r="A303" s="137"/>
      <c r="B303" s="124"/>
      <c r="C303" s="116"/>
      <c r="D303" s="120"/>
      <c r="E303" s="120"/>
      <c r="F303" s="114">
        <f>IF(A303="","",F302+E303-D303)</f>
      </c>
      <c r="G303" s="129"/>
      <c r="H303" s="132"/>
    </row>
    <row r="304" spans="1:8" ht="12.75">
      <c r="A304" s="137"/>
      <c r="B304" s="124"/>
      <c r="C304" s="116"/>
      <c r="D304" s="120"/>
      <c r="E304" s="120"/>
      <c r="F304" s="114">
        <f>IF(A304="","",F303+E304-D304)</f>
      </c>
      <c r="G304" s="129"/>
      <c r="H304" s="132"/>
    </row>
    <row r="305" spans="1:8" ht="12.75">
      <c r="A305" s="137"/>
      <c r="B305" s="124"/>
      <c r="C305" s="116"/>
      <c r="D305" s="120"/>
      <c r="E305" s="120"/>
      <c r="F305" s="114">
        <f>IF(A305="","",F304+E305-D305)</f>
      </c>
      <c r="G305" s="129"/>
      <c r="H305" s="132"/>
    </row>
    <row r="306" spans="1:8" ht="12.75">
      <c r="A306" s="137"/>
      <c r="B306" s="124"/>
      <c r="C306" s="116"/>
      <c r="D306" s="120"/>
      <c r="E306" s="120"/>
      <c r="F306" s="114">
        <f>IF(A306="","",F305+E306-D306)</f>
      </c>
      <c r="G306" s="129"/>
      <c r="H306" s="132"/>
    </row>
    <row r="307" spans="1:8" ht="12.75">
      <c r="A307" s="137"/>
      <c r="B307" s="124"/>
      <c r="C307" s="116"/>
      <c r="D307" s="120"/>
      <c r="E307" s="120"/>
      <c r="F307" s="114">
        <f>IF(A307="","",F306+E307-D307)</f>
      </c>
      <c r="G307" s="129"/>
      <c r="H307" s="132"/>
    </row>
    <row r="308" spans="1:8" ht="12.75">
      <c r="A308" s="137"/>
      <c r="B308" s="124"/>
      <c r="C308" s="116"/>
      <c r="D308" s="120"/>
      <c r="E308" s="120"/>
      <c r="F308" s="114">
        <f>IF(A308="","",F307+E308-D308)</f>
      </c>
      <c r="G308" s="129"/>
      <c r="H308" s="132"/>
    </row>
    <row r="309" spans="1:8" ht="12.75">
      <c r="A309" s="137"/>
      <c r="B309" s="124"/>
      <c r="C309" s="116"/>
      <c r="D309" s="120"/>
      <c r="E309" s="120"/>
      <c r="F309" s="114">
        <f>IF(A309="","",F308+E309-D309)</f>
      </c>
      <c r="G309" s="129"/>
      <c r="H309" s="132"/>
    </row>
    <row r="310" spans="1:8" ht="12.75">
      <c r="A310" s="137"/>
      <c r="B310" s="124"/>
      <c r="C310" s="116"/>
      <c r="D310" s="120"/>
      <c r="E310" s="120"/>
      <c r="F310" s="114">
        <f>IF(A310="","",F309+E310-D310)</f>
      </c>
      <c r="G310" s="129"/>
      <c r="H310" s="132"/>
    </row>
    <row r="311" spans="1:8" ht="12.75">
      <c r="A311" s="137"/>
      <c r="B311" s="124"/>
      <c r="C311" s="116"/>
      <c r="D311" s="120"/>
      <c r="E311" s="120"/>
      <c r="F311" s="114">
        <f>IF(A311="","",F310+E311-D311)</f>
      </c>
      <c r="G311" s="129"/>
      <c r="H311" s="132"/>
    </row>
    <row r="312" spans="1:8" ht="12.75">
      <c r="A312" s="137"/>
      <c r="B312" s="124"/>
      <c r="C312" s="116"/>
      <c r="D312" s="120"/>
      <c r="E312" s="120"/>
      <c r="F312" s="114">
        <f>IF(A312="","",F311+E312-D312)</f>
      </c>
      <c r="G312" s="129"/>
      <c r="H312" s="132"/>
    </row>
    <row r="313" spans="1:8" ht="12.75">
      <c r="A313" s="137"/>
      <c r="B313" s="124"/>
      <c r="C313" s="116"/>
      <c r="D313" s="120"/>
      <c r="E313" s="120"/>
      <c r="F313" s="114">
        <f>IF(A313="","",F312+E313-D313)</f>
      </c>
      <c r="G313" s="129"/>
      <c r="H313" s="132"/>
    </row>
    <row r="314" spans="1:8" ht="12.75">
      <c r="A314" s="137"/>
      <c r="B314" s="124"/>
      <c r="C314" s="116"/>
      <c r="D314" s="120"/>
      <c r="E314" s="120"/>
      <c r="F314" s="114">
        <f>IF(A314="","",F313+E314-D314)</f>
      </c>
      <c r="G314" s="129"/>
      <c r="H314" s="132"/>
    </row>
    <row r="315" spans="1:8" ht="12.75">
      <c r="A315" s="137"/>
      <c r="B315" s="124"/>
      <c r="C315" s="116"/>
      <c r="D315" s="120"/>
      <c r="E315" s="120"/>
      <c r="F315" s="114">
        <f>IF(A315="","",F314+E315-D315)</f>
      </c>
      <c r="G315" s="129"/>
      <c r="H315" s="132"/>
    </row>
    <row r="316" spans="1:8" ht="12.75">
      <c r="A316" s="137"/>
      <c r="B316" s="124"/>
      <c r="C316" s="116"/>
      <c r="D316" s="120"/>
      <c r="E316" s="120"/>
      <c r="F316" s="114">
        <f>IF(A316="","",F315+E316-D316)</f>
      </c>
      <c r="G316" s="129"/>
      <c r="H316" s="132"/>
    </row>
    <row r="317" spans="1:8" ht="12.75">
      <c r="A317" s="137"/>
      <c r="B317" s="124"/>
      <c r="C317" s="116"/>
      <c r="D317" s="120"/>
      <c r="E317" s="120"/>
      <c r="F317" s="114">
        <f>IF(A317="","",F316+E317-D317)</f>
      </c>
      <c r="G317" s="129"/>
      <c r="H317" s="132"/>
    </row>
    <row r="318" spans="1:8" ht="12.75">
      <c r="A318" s="137"/>
      <c r="B318" s="124"/>
      <c r="C318" s="116"/>
      <c r="D318" s="120"/>
      <c r="E318" s="120"/>
      <c r="F318" s="114">
        <f>IF(A318="","",F317+E318-D318)</f>
      </c>
      <c r="G318" s="129"/>
      <c r="H318" s="132"/>
    </row>
    <row r="319" spans="1:8" ht="12.75">
      <c r="A319" s="137"/>
      <c r="B319" s="124"/>
      <c r="C319" s="116"/>
      <c r="D319" s="120"/>
      <c r="E319" s="120"/>
      <c r="F319" s="114">
        <f>IF(A319="","",F318+E319-D319)</f>
      </c>
      <c r="G319" s="129"/>
      <c r="H319" s="132"/>
    </row>
    <row r="320" spans="1:8" ht="12.75">
      <c r="A320" s="137"/>
      <c r="B320" s="124"/>
      <c r="C320" s="116"/>
      <c r="D320" s="120"/>
      <c r="E320" s="120"/>
      <c r="F320" s="114">
        <f>IF(A320="","",F319+E320-D320)</f>
      </c>
      <c r="G320" s="129"/>
      <c r="H320" s="132"/>
    </row>
    <row r="321" spans="1:8" ht="12.75">
      <c r="A321" s="137"/>
      <c r="B321" s="124"/>
      <c r="C321" s="116"/>
      <c r="D321" s="120"/>
      <c r="E321" s="120"/>
      <c r="F321" s="114">
        <f>IF(A321="","",F320+E321-D321)</f>
      </c>
      <c r="G321" s="129"/>
      <c r="H321" s="132"/>
    </row>
    <row r="322" spans="1:8" ht="12.75">
      <c r="A322" s="137"/>
      <c r="B322" s="124"/>
      <c r="C322" s="116"/>
      <c r="D322" s="120"/>
      <c r="E322" s="120"/>
      <c r="F322" s="114">
        <f>IF(A322="","",F321+E322-D322)</f>
      </c>
      <c r="G322" s="129"/>
      <c r="H322" s="132"/>
    </row>
    <row r="323" spans="1:8" ht="12.75">
      <c r="A323" s="137"/>
      <c r="B323" s="124"/>
      <c r="C323" s="116"/>
      <c r="D323" s="120"/>
      <c r="E323" s="120"/>
      <c r="F323" s="114">
        <f>IF(A323="","",F322+E323-D323)</f>
      </c>
      <c r="G323" s="129"/>
      <c r="H323" s="132"/>
    </row>
    <row r="324" spans="1:8" ht="12.75">
      <c r="A324" s="137"/>
      <c r="B324" s="124"/>
      <c r="C324" s="116"/>
      <c r="D324" s="120"/>
      <c r="E324" s="120"/>
      <c r="F324" s="114">
        <f>IF(A324="","",F323+E324-D324)</f>
      </c>
      <c r="G324" s="129"/>
      <c r="H324" s="132"/>
    </row>
    <row r="325" spans="1:8" ht="12.75">
      <c r="A325" s="137"/>
      <c r="B325" s="124"/>
      <c r="C325" s="116"/>
      <c r="D325" s="120"/>
      <c r="E325" s="120"/>
      <c r="F325" s="114">
        <f>IF(A325="","",F324+E325-D325)</f>
      </c>
      <c r="G325" s="129"/>
      <c r="H325" s="132"/>
    </row>
    <row r="326" spans="1:8" ht="12.75">
      <c r="A326" s="137"/>
      <c r="B326" s="124"/>
      <c r="C326" s="116"/>
      <c r="D326" s="120"/>
      <c r="E326" s="120"/>
      <c r="F326" s="114">
        <f>IF(A326="","",F325+E326-D326)</f>
      </c>
      <c r="G326" s="129"/>
      <c r="H326" s="132"/>
    </row>
    <row r="327" spans="1:8" ht="12.75">
      <c r="A327" s="137"/>
      <c r="B327" s="124"/>
      <c r="C327" s="116"/>
      <c r="D327" s="120"/>
      <c r="E327" s="120"/>
      <c r="F327" s="114">
        <f>IF(A327="","",F326+E327-D327)</f>
      </c>
      <c r="G327" s="129"/>
      <c r="H327" s="132"/>
    </row>
    <row r="328" spans="1:8" ht="12.75">
      <c r="A328" s="137"/>
      <c r="B328" s="124"/>
      <c r="C328" s="116"/>
      <c r="D328" s="120"/>
      <c r="E328" s="120"/>
      <c r="F328" s="114">
        <f>IF(A328="","",F327+E328-D328)</f>
      </c>
      <c r="G328" s="129"/>
      <c r="H328" s="132"/>
    </row>
    <row r="329" spans="1:8" ht="12.75">
      <c r="A329" s="137"/>
      <c r="B329" s="124"/>
      <c r="C329" s="116"/>
      <c r="D329" s="120"/>
      <c r="E329" s="120"/>
      <c r="F329" s="114">
        <f>IF(A329="","",F328+E329-D329)</f>
      </c>
      <c r="G329" s="129"/>
      <c r="H329" s="132"/>
    </row>
    <row r="330" spans="1:8" ht="12.75">
      <c r="A330" s="137"/>
      <c r="B330" s="124"/>
      <c r="C330" s="116"/>
      <c r="D330" s="120"/>
      <c r="E330" s="120"/>
      <c r="F330" s="114">
        <f>IF(A330="","",F329+E330-D330)</f>
      </c>
      <c r="G330" s="129"/>
      <c r="H330" s="132"/>
    </row>
    <row r="331" spans="1:8" ht="12.75">
      <c r="A331" s="137"/>
      <c r="B331" s="124"/>
      <c r="C331" s="116"/>
      <c r="D331" s="120"/>
      <c r="E331" s="120"/>
      <c r="F331" s="114">
        <f>IF(A331="","",F330+E331-D331)</f>
      </c>
      <c r="G331" s="129"/>
      <c r="H331" s="132"/>
    </row>
    <row r="332" spans="1:8" ht="12.75">
      <c r="A332" s="137"/>
      <c r="B332" s="124"/>
      <c r="C332" s="116"/>
      <c r="D332" s="120"/>
      <c r="E332" s="120"/>
      <c r="F332" s="114">
        <f>IF(A332="","",F331+E332-D332)</f>
      </c>
      <c r="G332" s="129"/>
      <c r="H332" s="132"/>
    </row>
    <row r="333" spans="1:8" ht="12.75">
      <c r="A333" s="137"/>
      <c r="B333" s="124"/>
      <c r="C333" s="116"/>
      <c r="D333" s="120"/>
      <c r="E333" s="120"/>
      <c r="F333" s="114">
        <f>IF(A333="","",F332+E333-D333)</f>
      </c>
      <c r="G333" s="129"/>
      <c r="H333" s="132"/>
    </row>
    <row r="334" spans="1:8" ht="12.75">
      <c r="A334" s="137"/>
      <c r="B334" s="124"/>
      <c r="C334" s="116"/>
      <c r="D334" s="120"/>
      <c r="E334" s="120"/>
      <c r="F334" s="114">
        <f>IF(A334="","",F333+E334-D334)</f>
      </c>
      <c r="G334" s="129"/>
      <c r="H334" s="132"/>
    </row>
    <row r="335" spans="1:8" ht="12.75">
      <c r="A335" s="137"/>
      <c r="B335" s="124"/>
      <c r="C335" s="116"/>
      <c r="D335" s="120"/>
      <c r="E335" s="120"/>
      <c r="F335" s="114">
        <f>IF(A335="","",F334+E335-D335)</f>
      </c>
      <c r="G335" s="129"/>
      <c r="H335" s="132"/>
    </row>
    <row r="336" spans="1:8" ht="12.75">
      <c r="A336" s="137"/>
      <c r="B336" s="124"/>
      <c r="C336" s="116"/>
      <c r="D336" s="120"/>
      <c r="E336" s="120"/>
      <c r="F336" s="114">
        <f>IF(A336="","",F335+E336-D336)</f>
      </c>
      <c r="G336" s="129"/>
      <c r="H336" s="132"/>
    </row>
    <row r="337" spans="1:8" ht="12.75">
      <c r="A337" s="137"/>
      <c r="B337" s="124"/>
      <c r="C337" s="116"/>
      <c r="D337" s="120"/>
      <c r="E337" s="120"/>
      <c r="F337" s="114">
        <f>IF(A337="","",F336+E337-D337)</f>
      </c>
      <c r="G337" s="129"/>
      <c r="H337" s="132"/>
    </row>
    <row r="338" spans="1:8" ht="12.75">
      <c r="A338" s="137"/>
      <c r="B338" s="124"/>
      <c r="C338" s="116"/>
      <c r="D338" s="120"/>
      <c r="E338" s="120"/>
      <c r="F338" s="114">
        <f>IF(A338="","",F337+E338-D338)</f>
      </c>
      <c r="G338" s="129"/>
      <c r="H338" s="132"/>
    </row>
    <row r="339" spans="1:8" ht="12.75">
      <c r="A339" s="137"/>
      <c r="B339" s="124"/>
      <c r="C339" s="116"/>
      <c r="D339" s="120"/>
      <c r="E339" s="120"/>
      <c r="F339" s="114">
        <f>IF(A339="","",F338+E339-D339)</f>
      </c>
      <c r="G339" s="129"/>
      <c r="H339" s="132"/>
    </row>
    <row r="340" spans="1:8" ht="12.75">
      <c r="A340" s="137"/>
      <c r="B340" s="124"/>
      <c r="C340" s="116"/>
      <c r="D340" s="120"/>
      <c r="E340" s="120"/>
      <c r="F340" s="114">
        <f>IF(A340="","",F339+E340-D340)</f>
      </c>
      <c r="G340" s="129"/>
      <c r="H340" s="132"/>
    </row>
    <row r="341" spans="1:8" ht="12.75">
      <c r="A341" s="137"/>
      <c r="B341" s="124"/>
      <c r="C341" s="116"/>
      <c r="D341" s="120"/>
      <c r="E341" s="120"/>
      <c r="F341" s="114">
        <f>IF(A341="","",F340+E341-D341)</f>
      </c>
      <c r="G341" s="129"/>
      <c r="H341" s="132"/>
    </row>
    <row r="342" spans="1:8" ht="12.75">
      <c r="A342" s="137"/>
      <c r="B342" s="124"/>
      <c r="C342" s="116"/>
      <c r="D342" s="120"/>
      <c r="E342" s="120"/>
      <c r="F342" s="114">
        <f>IF(A342="","",F341+E342-D342)</f>
      </c>
      <c r="G342" s="129"/>
      <c r="H342" s="132"/>
    </row>
    <row r="343" spans="1:8" ht="12.75">
      <c r="A343" s="137"/>
      <c r="B343" s="124"/>
      <c r="C343" s="116"/>
      <c r="D343" s="120"/>
      <c r="E343" s="120"/>
      <c r="F343" s="114">
        <f>IF(A343="","",F342+E343-D343)</f>
      </c>
      <c r="G343" s="129"/>
      <c r="H343" s="132"/>
    </row>
    <row r="344" spans="1:8" ht="12.75">
      <c r="A344" s="137"/>
      <c r="B344" s="124"/>
      <c r="C344" s="116"/>
      <c r="D344" s="120"/>
      <c r="E344" s="120"/>
      <c r="F344" s="114">
        <f>IF(A344="","",F343+E344-D344)</f>
      </c>
      <c r="G344" s="129"/>
      <c r="H344" s="132"/>
    </row>
    <row r="345" spans="1:8" ht="12.75">
      <c r="A345" s="137"/>
      <c r="B345" s="124"/>
      <c r="C345" s="116"/>
      <c r="D345" s="120"/>
      <c r="E345" s="120"/>
      <c r="F345" s="114">
        <f>IF(A345="","",F344+E345-D345)</f>
      </c>
      <c r="G345" s="129"/>
      <c r="H345" s="132"/>
    </row>
    <row r="346" spans="1:8" ht="12.75">
      <c r="A346" s="137"/>
      <c r="B346" s="124"/>
      <c r="C346" s="116"/>
      <c r="D346" s="120"/>
      <c r="E346" s="120"/>
      <c r="F346" s="114">
        <f>IF(A346="","",F345+E346-D346)</f>
      </c>
      <c r="G346" s="129"/>
      <c r="H346" s="132"/>
    </row>
    <row r="347" spans="1:8" ht="12.75">
      <c r="A347" s="137"/>
      <c r="B347" s="124"/>
      <c r="C347" s="116"/>
      <c r="D347" s="120"/>
      <c r="E347" s="120"/>
      <c r="F347" s="114">
        <f>IF(A347="","",F346+E347-D347)</f>
      </c>
      <c r="G347" s="129"/>
      <c r="H347" s="132"/>
    </row>
    <row r="348" spans="1:8" ht="12.75">
      <c r="A348" s="137"/>
      <c r="B348" s="124"/>
      <c r="C348" s="116"/>
      <c r="D348" s="120"/>
      <c r="E348" s="120"/>
      <c r="F348" s="114">
        <f>IF(A348="","",F347+E348-D348)</f>
      </c>
      <c r="G348" s="129"/>
      <c r="H348" s="132"/>
    </row>
    <row r="349" spans="1:8" ht="12.75">
      <c r="A349" s="137"/>
      <c r="B349" s="124"/>
      <c r="C349" s="116"/>
      <c r="D349" s="120"/>
      <c r="E349" s="120"/>
      <c r="F349" s="114">
        <f>IF(A349="","",F348+E349-D349)</f>
      </c>
      <c r="G349" s="129"/>
      <c r="H349" s="132"/>
    </row>
    <row r="350" spans="1:8" ht="12.75">
      <c r="A350" s="137"/>
      <c r="B350" s="124"/>
      <c r="C350" s="116"/>
      <c r="D350" s="120"/>
      <c r="E350" s="120"/>
      <c r="F350" s="114">
        <f>IF(A350="","",F349+E350-D350)</f>
      </c>
      <c r="G350" s="129"/>
      <c r="H350" s="132"/>
    </row>
    <row r="351" spans="1:8" ht="12.75">
      <c r="A351" s="137"/>
      <c r="B351" s="124"/>
      <c r="C351" s="116"/>
      <c r="D351" s="120"/>
      <c r="E351" s="120"/>
      <c r="F351" s="114">
        <f>IF(A351="","",F350+E351-D351)</f>
      </c>
      <c r="G351" s="129"/>
      <c r="H351" s="132"/>
    </row>
    <row r="352" spans="1:8" ht="12.75">
      <c r="A352" s="137"/>
      <c r="B352" s="124"/>
      <c r="C352" s="116"/>
      <c r="D352" s="120"/>
      <c r="E352" s="120"/>
      <c r="F352" s="114">
        <f>IF(A352="","",F351+E352-D352)</f>
      </c>
      <c r="G352" s="129"/>
      <c r="H352" s="132"/>
    </row>
    <row r="353" spans="1:8" ht="12.75">
      <c r="A353" s="137"/>
      <c r="B353" s="124"/>
      <c r="C353" s="116"/>
      <c r="D353" s="120"/>
      <c r="E353" s="120"/>
      <c r="F353" s="114">
        <f>IF(A353="","",F352+E353-D353)</f>
      </c>
      <c r="G353" s="129"/>
      <c r="H353" s="132"/>
    </row>
    <row r="354" spans="1:8" ht="12.75">
      <c r="A354" s="137"/>
      <c r="B354" s="124"/>
      <c r="C354" s="116"/>
      <c r="D354" s="120"/>
      <c r="E354" s="120"/>
      <c r="F354" s="114">
        <f>IF(A354="","",F353+E354-D354)</f>
      </c>
      <c r="G354" s="129"/>
      <c r="H354" s="132"/>
    </row>
    <row r="355" spans="1:8" ht="12.75">
      <c r="A355" s="137"/>
      <c r="B355" s="124"/>
      <c r="C355" s="116"/>
      <c r="D355" s="120"/>
      <c r="E355" s="120"/>
      <c r="F355" s="114">
        <f>IF(A355="","",F354+E355-D355)</f>
      </c>
      <c r="G355" s="129"/>
      <c r="H355" s="132"/>
    </row>
    <row r="356" spans="1:8" ht="12.75">
      <c r="A356" s="137"/>
      <c r="B356" s="124"/>
      <c r="C356" s="116"/>
      <c r="D356" s="120"/>
      <c r="E356" s="120"/>
      <c r="F356" s="114">
        <f>IF(A356="","",F355+E356-D356)</f>
      </c>
      <c r="G356" s="129"/>
      <c r="H356" s="132"/>
    </row>
    <row r="357" spans="1:8" ht="12.75">
      <c r="A357" s="137"/>
      <c r="B357" s="124"/>
      <c r="C357" s="116"/>
      <c r="D357" s="120"/>
      <c r="E357" s="120"/>
      <c r="F357" s="114">
        <f>IF(A357="","",F356+E357-D357)</f>
      </c>
      <c r="G357" s="129"/>
      <c r="H357" s="132"/>
    </row>
    <row r="358" spans="1:8" ht="12.75">
      <c r="A358" s="137"/>
      <c r="B358" s="124"/>
      <c r="C358" s="116"/>
      <c r="D358" s="120"/>
      <c r="E358" s="120"/>
      <c r="F358" s="114">
        <f>IF(A358="","",F357+E358-D358)</f>
      </c>
      <c r="G358" s="129"/>
      <c r="H358" s="132"/>
    </row>
    <row r="359" spans="1:8" ht="12.75">
      <c r="A359" s="137"/>
      <c r="B359" s="124"/>
      <c r="C359" s="116"/>
      <c r="D359" s="120"/>
      <c r="E359" s="120"/>
      <c r="F359" s="114">
        <f>IF(A359="","",F358+E359-D359)</f>
      </c>
      <c r="G359" s="129"/>
      <c r="H359" s="132"/>
    </row>
    <row r="360" spans="1:8" ht="12.75">
      <c r="A360" s="137"/>
      <c r="B360" s="124"/>
      <c r="C360" s="116"/>
      <c r="D360" s="120"/>
      <c r="E360" s="120"/>
      <c r="F360" s="114">
        <f>IF(A360="","",F359+E360-D360)</f>
      </c>
      <c r="G360" s="129"/>
      <c r="H360" s="132"/>
    </row>
    <row r="361" spans="1:8" ht="12.75">
      <c r="A361" s="137"/>
      <c r="B361" s="124"/>
      <c r="C361" s="116"/>
      <c r="D361" s="120"/>
      <c r="E361" s="120"/>
      <c r="F361" s="114">
        <f>IF(A361="","",F360+E361-D361)</f>
      </c>
      <c r="G361" s="129"/>
      <c r="H361" s="132"/>
    </row>
    <row r="362" spans="1:8" ht="12.75">
      <c r="A362" s="137"/>
      <c r="B362" s="124"/>
      <c r="C362" s="116"/>
      <c r="D362" s="120"/>
      <c r="E362" s="120"/>
      <c r="F362" s="114">
        <f>IF(A362="","",F361+E362-D362)</f>
      </c>
      <c r="G362" s="129"/>
      <c r="H362" s="132"/>
    </row>
    <row r="363" spans="1:8" ht="12.75">
      <c r="A363" s="137"/>
      <c r="B363" s="124"/>
      <c r="C363" s="116"/>
      <c r="D363" s="120"/>
      <c r="E363" s="120"/>
      <c r="F363" s="114">
        <f>IF(A363="","",F362+E363-D363)</f>
      </c>
      <c r="G363" s="129"/>
      <c r="H363" s="132"/>
    </row>
    <row r="364" spans="1:8" ht="12.75">
      <c r="A364" s="137"/>
      <c r="B364" s="124"/>
      <c r="C364" s="116"/>
      <c r="D364" s="120"/>
      <c r="E364" s="120"/>
      <c r="F364" s="114">
        <f>IF(A364="","",F363+E364-D364)</f>
      </c>
      <c r="G364" s="129"/>
      <c r="H364" s="132"/>
    </row>
    <row r="365" spans="1:8" ht="12.75">
      <c r="A365" s="137"/>
      <c r="B365" s="124"/>
      <c r="C365" s="116"/>
      <c r="D365" s="120"/>
      <c r="E365" s="120"/>
      <c r="F365" s="114">
        <f>IF(A365="","",F364+E365-D365)</f>
      </c>
      <c r="G365" s="129"/>
      <c r="H365" s="132"/>
    </row>
    <row r="366" spans="1:8" ht="12.75">
      <c r="A366" s="137"/>
      <c r="B366" s="124"/>
      <c r="C366" s="116"/>
      <c r="D366" s="120"/>
      <c r="E366" s="120"/>
      <c r="F366" s="114">
        <f>IF(A366="","",F365+E366-D366)</f>
      </c>
      <c r="G366" s="129"/>
      <c r="H366" s="132"/>
    </row>
    <row r="367" spans="1:8" ht="12.75">
      <c r="A367" s="137"/>
      <c r="B367" s="124"/>
      <c r="C367" s="116"/>
      <c r="D367" s="120"/>
      <c r="E367" s="120"/>
      <c r="F367" s="114">
        <f>IF(A367="","",F366+E367-D367)</f>
      </c>
      <c r="G367" s="129"/>
      <c r="H367" s="132"/>
    </row>
    <row r="368" spans="1:8" ht="12.75">
      <c r="A368" s="137"/>
      <c r="B368" s="124"/>
      <c r="C368" s="116"/>
      <c r="D368" s="120"/>
      <c r="E368" s="120"/>
      <c r="F368" s="114">
        <f>IF(A368="","",F367+E368-D368)</f>
      </c>
      <c r="G368" s="129"/>
      <c r="H368" s="132"/>
    </row>
    <row r="369" spans="1:8" ht="12.75">
      <c r="A369" s="137"/>
      <c r="B369" s="124"/>
      <c r="C369" s="116"/>
      <c r="D369" s="120"/>
      <c r="E369" s="120"/>
      <c r="F369" s="114">
        <f>IF(A369="","",F368+E369-D369)</f>
      </c>
      <c r="G369" s="129"/>
      <c r="H369" s="132"/>
    </row>
    <row r="370" spans="1:8" ht="12.75">
      <c r="A370" s="137"/>
      <c r="B370" s="124"/>
      <c r="C370" s="116"/>
      <c r="D370" s="120"/>
      <c r="E370" s="120"/>
      <c r="F370" s="114">
        <f>IF(A370="","",F369+E370-D370)</f>
      </c>
      <c r="G370" s="129"/>
      <c r="H370" s="132"/>
    </row>
    <row r="371" spans="1:8" ht="12.75">
      <c r="A371" s="137"/>
      <c r="B371" s="124"/>
      <c r="C371" s="116"/>
      <c r="D371" s="120"/>
      <c r="E371" s="120"/>
      <c r="F371" s="114">
        <f>IF(A371="","",F370+E371-D371)</f>
      </c>
      <c r="G371" s="129"/>
      <c r="H371" s="132"/>
    </row>
    <row r="372" spans="1:8" ht="12.75">
      <c r="A372" s="137"/>
      <c r="B372" s="124"/>
      <c r="C372" s="116"/>
      <c r="D372" s="120"/>
      <c r="E372" s="120"/>
      <c r="F372" s="114">
        <f>IF(A372="","",F371+E372-D372)</f>
      </c>
      <c r="G372" s="129"/>
      <c r="H372" s="132"/>
    </row>
    <row r="373" spans="1:8" ht="12.75">
      <c r="A373" s="137"/>
      <c r="B373" s="124"/>
      <c r="C373" s="116"/>
      <c r="D373" s="120"/>
      <c r="E373" s="120"/>
      <c r="F373" s="114">
        <f>IF(A373="","",F372+E373-D373)</f>
      </c>
      <c r="G373" s="129"/>
      <c r="H373" s="132"/>
    </row>
    <row r="374" spans="1:8" ht="12.75">
      <c r="A374" s="137"/>
      <c r="B374" s="124"/>
      <c r="C374" s="116"/>
      <c r="D374" s="120"/>
      <c r="E374" s="120"/>
      <c r="F374" s="114">
        <f>IF(A374="","",F373+E374-D374)</f>
      </c>
      <c r="G374" s="129"/>
      <c r="H374" s="132"/>
    </row>
    <row r="375" spans="1:8" ht="12.75">
      <c r="A375" s="137"/>
      <c r="B375" s="124"/>
      <c r="C375" s="116"/>
      <c r="D375" s="120"/>
      <c r="E375" s="120"/>
      <c r="F375" s="114">
        <f>IF(A375="","",F374+E375-D375)</f>
      </c>
      <c r="G375" s="129"/>
      <c r="H375" s="132"/>
    </row>
    <row r="376" spans="1:8" ht="12.75">
      <c r="A376" s="137"/>
      <c r="B376" s="124"/>
      <c r="C376" s="116"/>
      <c r="D376" s="120"/>
      <c r="E376" s="120"/>
      <c r="F376" s="114">
        <f>IF(A376="","",F375+E376-D376)</f>
      </c>
      <c r="G376" s="129"/>
      <c r="H376" s="132"/>
    </row>
    <row r="377" spans="1:8" ht="12.75">
      <c r="A377" s="137"/>
      <c r="B377" s="124"/>
      <c r="C377" s="116"/>
      <c r="D377" s="120"/>
      <c r="E377" s="120"/>
      <c r="F377" s="114">
        <f>IF(A377="","",F376+E377-D377)</f>
      </c>
      <c r="G377" s="129"/>
      <c r="H377" s="132"/>
    </row>
    <row r="378" spans="1:8" ht="12.75">
      <c r="A378" s="137"/>
      <c r="B378" s="124"/>
      <c r="C378" s="116"/>
      <c r="D378" s="120"/>
      <c r="E378" s="120"/>
      <c r="F378" s="114">
        <f>IF(A378="","",F377+E378-D378)</f>
      </c>
      <c r="G378" s="129"/>
      <c r="H378" s="132"/>
    </row>
    <row r="379" spans="1:8" ht="12.75">
      <c r="A379" s="137"/>
      <c r="B379" s="124"/>
      <c r="C379" s="116"/>
      <c r="D379" s="120"/>
      <c r="E379" s="120"/>
      <c r="F379" s="114">
        <f>IF(A379="","",F378+E379-D379)</f>
      </c>
      <c r="G379" s="129"/>
      <c r="H379" s="132"/>
    </row>
    <row r="380" spans="1:8" ht="12.75">
      <c r="A380" s="137"/>
      <c r="B380" s="124"/>
      <c r="C380" s="116"/>
      <c r="D380" s="120"/>
      <c r="E380" s="120"/>
      <c r="F380" s="114">
        <f>IF(A380="","",F379+E380-D380)</f>
      </c>
      <c r="G380" s="129"/>
      <c r="H380" s="132"/>
    </row>
    <row r="381" spans="1:8" ht="12.75">
      <c r="A381" s="137"/>
      <c r="B381" s="124"/>
      <c r="C381" s="116"/>
      <c r="D381" s="120"/>
      <c r="E381" s="120"/>
      <c r="F381" s="114">
        <f>IF(A381="","",F380+E381-D381)</f>
      </c>
      <c r="G381" s="129"/>
      <c r="H381" s="132"/>
    </row>
    <row r="382" spans="1:8" ht="12.75">
      <c r="A382" s="137"/>
      <c r="B382" s="124"/>
      <c r="C382" s="116"/>
      <c r="D382" s="120"/>
      <c r="E382" s="120"/>
      <c r="F382" s="114">
        <f>IF(A382="","",F381+E382-D382)</f>
      </c>
      <c r="G382" s="129"/>
      <c r="H382" s="132"/>
    </row>
    <row r="383" spans="1:8" ht="12.75">
      <c r="A383" s="137"/>
      <c r="B383" s="124"/>
      <c r="C383" s="116"/>
      <c r="D383" s="120"/>
      <c r="E383" s="120"/>
      <c r="F383" s="114">
        <f>IF(A383="","",F382+E383-D383)</f>
      </c>
      <c r="G383" s="129"/>
      <c r="H383" s="132"/>
    </row>
    <row r="384" spans="1:8" ht="12.75">
      <c r="A384" s="137"/>
      <c r="B384" s="124"/>
      <c r="C384" s="116"/>
      <c r="D384" s="120"/>
      <c r="E384" s="120"/>
      <c r="F384" s="114">
        <f>IF(A384="","",F383+E384-D384)</f>
      </c>
      <c r="G384" s="129"/>
      <c r="H384" s="132"/>
    </row>
    <row r="385" spans="1:8" ht="12.75">
      <c r="A385" s="137"/>
      <c r="B385" s="124"/>
      <c r="C385" s="116"/>
      <c r="D385" s="120"/>
      <c r="E385" s="120"/>
      <c r="F385" s="114">
        <f>IF(A385="","",F384+E385-D385)</f>
      </c>
      <c r="G385" s="129"/>
      <c r="H385" s="132"/>
    </row>
    <row r="386" spans="1:8" ht="12.75">
      <c r="A386" s="137"/>
      <c r="B386" s="124"/>
      <c r="C386" s="116"/>
      <c r="D386" s="120"/>
      <c r="E386" s="120"/>
      <c r="F386" s="114">
        <f>IF(A386="","",F385+E386-D386)</f>
      </c>
      <c r="G386" s="129"/>
      <c r="H386" s="132"/>
    </row>
    <row r="387" spans="1:8" ht="12.75">
      <c r="A387" s="137"/>
      <c r="B387" s="124"/>
      <c r="C387" s="116"/>
      <c r="D387" s="120"/>
      <c r="E387" s="120"/>
      <c r="F387" s="114">
        <f>IF(A387="","",F386+E387-D387)</f>
      </c>
      <c r="G387" s="129"/>
      <c r="H387" s="132"/>
    </row>
    <row r="388" spans="1:8" ht="12.75">
      <c r="A388" s="137"/>
      <c r="B388" s="124"/>
      <c r="C388" s="116"/>
      <c r="D388" s="120"/>
      <c r="E388" s="120"/>
      <c r="F388" s="114">
        <f>IF(A388="","",F387+E388-D388)</f>
      </c>
      <c r="G388" s="129"/>
      <c r="H388" s="132"/>
    </row>
    <row r="389" spans="1:8" ht="12.75">
      <c r="A389" s="137"/>
      <c r="B389" s="124"/>
      <c r="C389" s="116"/>
      <c r="D389" s="120"/>
      <c r="E389" s="120"/>
      <c r="F389" s="114">
        <f>IF(A389="","",F388+E389-D389)</f>
      </c>
      <c r="G389" s="129"/>
      <c r="H389" s="132"/>
    </row>
    <row r="390" spans="1:8" ht="12.75">
      <c r="A390" s="137"/>
      <c r="B390" s="124"/>
      <c r="C390" s="116"/>
      <c r="D390" s="120"/>
      <c r="E390" s="120"/>
      <c r="F390" s="114">
        <f>IF(A390="","",F389+E390-D390)</f>
      </c>
      <c r="G390" s="129"/>
      <c r="H390" s="132"/>
    </row>
    <row r="391" spans="1:8" ht="12.75">
      <c r="A391" s="137"/>
      <c r="B391" s="124"/>
      <c r="C391" s="116"/>
      <c r="D391" s="120"/>
      <c r="E391" s="120"/>
      <c r="F391" s="114">
        <f>IF(A391="","",F390+E391-D391)</f>
      </c>
      <c r="G391" s="129"/>
      <c r="H391" s="132"/>
    </row>
    <row r="392" spans="1:8" ht="12.75">
      <c r="A392" s="137"/>
      <c r="B392" s="124"/>
      <c r="C392" s="116"/>
      <c r="D392" s="120"/>
      <c r="E392" s="120"/>
      <c r="F392" s="114">
        <f>IF(A392="","",F391+E392-D392)</f>
      </c>
      <c r="G392" s="129"/>
      <c r="H392" s="132"/>
    </row>
    <row r="393" spans="1:8" ht="12.75">
      <c r="A393" s="137"/>
      <c r="B393" s="124"/>
      <c r="C393" s="116"/>
      <c r="D393" s="120"/>
      <c r="E393" s="120"/>
      <c r="F393" s="114">
        <f>IF(A393="","",F392+E393-D393)</f>
      </c>
      <c r="G393" s="129"/>
      <c r="H393" s="132"/>
    </row>
    <row r="394" spans="1:8" ht="12.75">
      <c r="A394" s="137"/>
      <c r="B394" s="124"/>
      <c r="C394" s="116"/>
      <c r="D394" s="120"/>
      <c r="E394" s="120"/>
      <c r="F394" s="114">
        <f>IF(A394="","",F393+E394-D394)</f>
      </c>
      <c r="G394" s="129"/>
      <c r="H394" s="132"/>
    </row>
    <row r="395" spans="1:8" ht="12.75">
      <c r="A395" s="137"/>
      <c r="B395" s="124"/>
      <c r="C395" s="116"/>
      <c r="D395" s="120"/>
      <c r="E395" s="120"/>
      <c r="F395" s="114">
        <f>IF(A395="","",F394+E395-D395)</f>
      </c>
      <c r="G395" s="129"/>
      <c r="H395" s="132"/>
    </row>
    <row r="396" spans="1:8" ht="12.75">
      <c r="A396" s="137"/>
      <c r="B396" s="124"/>
      <c r="C396" s="116"/>
      <c r="D396" s="120"/>
      <c r="E396" s="120"/>
      <c r="F396" s="114">
        <f>IF(A396="","",F395+E396-D396)</f>
      </c>
      <c r="G396" s="129"/>
      <c r="H396" s="132"/>
    </row>
    <row r="397" spans="1:8" ht="12.75">
      <c r="A397" s="137"/>
      <c r="B397" s="124"/>
      <c r="C397" s="116"/>
      <c r="D397" s="120"/>
      <c r="E397" s="120"/>
      <c r="F397" s="114">
        <f>IF(A397="","",F396+E397-D397)</f>
      </c>
      <c r="G397" s="129"/>
      <c r="H397" s="132"/>
    </row>
    <row r="398" spans="1:8" ht="12.75">
      <c r="A398" s="137"/>
      <c r="B398" s="124"/>
      <c r="C398" s="116"/>
      <c r="D398" s="120"/>
      <c r="E398" s="120"/>
      <c r="F398" s="114">
        <f>IF(A398="","",F397+E398-D398)</f>
      </c>
      <c r="G398" s="129"/>
      <c r="H398" s="132"/>
    </row>
    <row r="399" spans="1:8" ht="12.75">
      <c r="A399" s="137"/>
      <c r="B399" s="124"/>
      <c r="C399" s="116"/>
      <c r="D399" s="120"/>
      <c r="E399" s="120"/>
      <c r="F399" s="114">
        <f>IF(A399="","",F398+E399-D399)</f>
      </c>
      <c r="G399" s="129"/>
      <c r="H399" s="132"/>
    </row>
    <row r="400" spans="1:8" ht="12.75">
      <c r="A400" s="137"/>
      <c r="B400" s="124"/>
      <c r="C400" s="116"/>
      <c r="D400" s="120"/>
      <c r="E400" s="120"/>
      <c r="F400" s="114">
        <f>IF(A400="","",F399+E400-D400)</f>
      </c>
      <c r="G400" s="129"/>
      <c r="H400" s="132"/>
    </row>
    <row r="401" spans="1:8" ht="12.75">
      <c r="A401" s="137"/>
      <c r="B401" s="124"/>
      <c r="C401" s="116"/>
      <c r="D401" s="120"/>
      <c r="E401" s="120"/>
      <c r="F401" s="114">
        <f>IF(A401="","",F400+E401-D401)</f>
      </c>
      <c r="G401" s="129"/>
      <c r="H401" s="132"/>
    </row>
    <row r="402" spans="1:8" ht="12.75">
      <c r="A402" s="137"/>
      <c r="B402" s="124"/>
      <c r="C402" s="116"/>
      <c r="D402" s="120"/>
      <c r="E402" s="120"/>
      <c r="F402" s="114">
        <f>IF(A402="","",F401+E402-D402)</f>
      </c>
      <c r="G402" s="129"/>
      <c r="H402" s="132"/>
    </row>
    <row r="403" spans="1:8" ht="12.75">
      <c r="A403" s="137"/>
      <c r="B403" s="124"/>
      <c r="C403" s="116"/>
      <c r="D403" s="120"/>
      <c r="E403" s="120"/>
      <c r="F403" s="114">
        <f>IF(A403="","",F402+E403-D403)</f>
      </c>
      <c r="G403" s="129"/>
      <c r="H403" s="132"/>
    </row>
    <row r="404" spans="1:8" ht="12.75">
      <c r="A404" s="137"/>
      <c r="B404" s="124"/>
      <c r="C404" s="116"/>
      <c r="D404" s="120"/>
      <c r="E404" s="120"/>
      <c r="F404" s="114">
        <f>IF(A404="","",F403+E404-D404)</f>
      </c>
      <c r="G404" s="129"/>
      <c r="H404" s="132"/>
    </row>
    <row r="405" spans="1:8" ht="12.75">
      <c r="A405" s="137"/>
      <c r="B405" s="124"/>
      <c r="C405" s="116"/>
      <c r="D405" s="120"/>
      <c r="E405" s="120"/>
      <c r="F405" s="114">
        <f>IF(A405="","",F404+E405-D405)</f>
      </c>
      <c r="G405" s="129"/>
      <c r="H405" s="132"/>
    </row>
    <row r="406" spans="1:8" ht="12.75">
      <c r="A406" s="137"/>
      <c r="B406" s="124"/>
      <c r="C406" s="116"/>
      <c r="D406" s="120"/>
      <c r="E406" s="120"/>
      <c r="F406" s="114">
        <f>IF(A406="","",F405+E406-D406)</f>
      </c>
      <c r="G406" s="129"/>
      <c r="H406" s="132"/>
    </row>
    <row r="407" spans="1:8" ht="12.75">
      <c r="A407" s="137"/>
      <c r="B407" s="124"/>
      <c r="C407" s="116"/>
      <c r="D407" s="120"/>
      <c r="E407" s="120"/>
      <c r="F407" s="114">
        <f>IF(A407="","",F406+E407-D407)</f>
      </c>
      <c r="G407" s="129"/>
      <c r="H407" s="132"/>
    </row>
    <row r="408" spans="1:8" ht="12.75">
      <c r="A408" s="137"/>
      <c r="B408" s="124"/>
      <c r="C408" s="116"/>
      <c r="D408" s="120"/>
      <c r="E408" s="120"/>
      <c r="F408" s="114">
        <f>IF(A408="","",F407+E408-D408)</f>
      </c>
      <c r="G408" s="129"/>
      <c r="H408" s="132"/>
    </row>
    <row r="409" spans="1:8" ht="12.75">
      <c r="A409" s="137"/>
      <c r="B409" s="124"/>
      <c r="C409" s="116"/>
      <c r="D409" s="120"/>
      <c r="E409" s="120"/>
      <c r="F409" s="114">
        <f>IF(A409="","",F408+E409-D409)</f>
      </c>
      <c r="G409" s="129"/>
      <c r="H409" s="132"/>
    </row>
    <row r="410" spans="1:8" ht="12.75">
      <c r="A410" s="137"/>
      <c r="B410" s="124"/>
      <c r="C410" s="116"/>
      <c r="D410" s="120"/>
      <c r="E410" s="120"/>
      <c r="F410" s="114">
        <f>IF(A410="","",F409+E410-D410)</f>
      </c>
      <c r="G410" s="129"/>
      <c r="H410" s="132"/>
    </row>
    <row r="411" spans="1:8" ht="12.75">
      <c r="A411" s="137"/>
      <c r="B411" s="124"/>
      <c r="C411" s="116"/>
      <c r="D411" s="120"/>
      <c r="E411" s="120"/>
      <c r="F411" s="114">
        <f>IF(A411="","",F410+E411-D411)</f>
      </c>
      <c r="G411" s="129"/>
      <c r="H411" s="132"/>
    </row>
    <row r="412" spans="1:8" ht="12.75">
      <c r="A412" s="137"/>
      <c r="B412" s="124"/>
      <c r="C412" s="116"/>
      <c r="D412" s="120"/>
      <c r="E412" s="120"/>
      <c r="F412" s="114">
        <f>IF(A412="","",F411+E412-D412)</f>
      </c>
      <c r="G412" s="129"/>
      <c r="H412" s="132"/>
    </row>
    <row r="413" spans="1:8" ht="12.75">
      <c r="A413" s="137"/>
      <c r="B413" s="124"/>
      <c r="C413" s="116"/>
      <c r="D413" s="120"/>
      <c r="E413" s="120"/>
      <c r="F413" s="114">
        <f>IF(A413="","",F412+E413-D413)</f>
      </c>
      <c r="G413" s="129"/>
      <c r="H413" s="132"/>
    </row>
    <row r="414" spans="1:8" ht="12.75">
      <c r="A414" s="137"/>
      <c r="B414" s="124"/>
      <c r="C414" s="116"/>
      <c r="D414" s="120"/>
      <c r="E414" s="120"/>
      <c r="F414" s="114">
        <f>IF(A414="","",F413+E414-D414)</f>
      </c>
      <c r="G414" s="129"/>
      <c r="H414" s="132"/>
    </row>
    <row r="415" spans="1:8" ht="12.75">
      <c r="A415" s="137"/>
      <c r="B415" s="124"/>
      <c r="C415" s="116"/>
      <c r="D415" s="120"/>
      <c r="E415" s="120"/>
      <c r="F415" s="114">
        <f>IF(A415="","",F414+E415-D415)</f>
      </c>
      <c r="G415" s="129"/>
      <c r="H415" s="132"/>
    </row>
    <row r="416" spans="1:8" ht="12.75">
      <c r="A416" s="137"/>
      <c r="B416" s="124"/>
      <c r="C416" s="116"/>
      <c r="D416" s="120"/>
      <c r="E416" s="120"/>
      <c r="F416" s="114">
        <f>IF(A416="","",F415+E416-D416)</f>
      </c>
      <c r="G416" s="129"/>
      <c r="H416" s="132"/>
    </row>
    <row r="417" spans="1:8" ht="12.75">
      <c r="A417" s="137"/>
      <c r="B417" s="124"/>
      <c r="C417" s="116"/>
      <c r="D417" s="120"/>
      <c r="E417" s="120"/>
      <c r="F417" s="114">
        <f>IF(A417="","",F416+E417-D417)</f>
      </c>
      <c r="G417" s="129"/>
      <c r="H417" s="132"/>
    </row>
    <row r="418" spans="1:8" ht="12.75">
      <c r="A418" s="137"/>
      <c r="B418" s="124"/>
      <c r="C418" s="116"/>
      <c r="D418" s="120"/>
      <c r="E418" s="120"/>
      <c r="F418" s="114">
        <f>IF(A418="","",F417+E418-D418)</f>
      </c>
      <c r="G418" s="129"/>
      <c r="H418" s="132"/>
    </row>
    <row r="419" spans="1:8" ht="12.75">
      <c r="A419" s="137"/>
      <c r="B419" s="124"/>
      <c r="C419" s="116"/>
      <c r="D419" s="120"/>
      <c r="E419" s="120"/>
      <c r="F419" s="114">
        <f>IF(A419="","",F418+E419-D419)</f>
      </c>
      <c r="G419" s="129"/>
      <c r="H419" s="132"/>
    </row>
    <row r="420" spans="1:8" ht="12.75">
      <c r="A420" s="137"/>
      <c r="B420" s="124"/>
      <c r="C420" s="116"/>
      <c r="D420" s="120"/>
      <c r="E420" s="120"/>
      <c r="F420" s="114">
        <f>IF(A420="","",F419+E420-D420)</f>
      </c>
      <c r="G420" s="129"/>
      <c r="H420" s="132"/>
    </row>
    <row r="421" spans="1:8" ht="12.75">
      <c r="A421" s="137"/>
      <c r="B421" s="124"/>
      <c r="C421" s="116"/>
      <c r="D421" s="120"/>
      <c r="E421" s="120"/>
      <c r="F421" s="114">
        <f>IF(A421="","",F420+E421-D421)</f>
      </c>
      <c r="G421" s="129"/>
      <c r="H421" s="132"/>
    </row>
    <row r="422" spans="1:8" ht="12.75">
      <c r="A422" s="137"/>
      <c r="B422" s="124"/>
      <c r="C422" s="116"/>
      <c r="D422" s="120"/>
      <c r="E422" s="120"/>
      <c r="F422" s="114">
        <f>IF(A422="","",F421+E422-D422)</f>
      </c>
      <c r="G422" s="129"/>
      <c r="H422" s="132"/>
    </row>
    <row r="423" spans="1:8" ht="12.75">
      <c r="A423" s="137"/>
      <c r="B423" s="124"/>
      <c r="C423" s="116"/>
      <c r="D423" s="120"/>
      <c r="E423" s="120"/>
      <c r="F423" s="114">
        <f>IF(A423="","",F422+E423-D423)</f>
      </c>
      <c r="G423" s="129"/>
      <c r="H423" s="132"/>
    </row>
    <row r="424" spans="1:8" ht="12.75">
      <c r="A424" s="137"/>
      <c r="B424" s="124"/>
      <c r="C424" s="116"/>
      <c r="D424" s="120"/>
      <c r="E424" s="120"/>
      <c r="F424" s="114">
        <f>IF(A424="","",F423+E424-D424)</f>
      </c>
      <c r="G424" s="129"/>
      <c r="H424" s="132"/>
    </row>
    <row r="425" spans="1:8" ht="12.75">
      <c r="A425" s="137"/>
      <c r="B425" s="124"/>
      <c r="C425" s="116"/>
      <c r="D425" s="120"/>
      <c r="E425" s="120"/>
      <c r="F425" s="114">
        <f>IF(A425="","",F424+E425-D425)</f>
      </c>
      <c r="G425" s="129"/>
      <c r="H425" s="132"/>
    </row>
    <row r="426" spans="1:8" ht="12.75">
      <c r="A426" s="137"/>
      <c r="B426" s="124"/>
      <c r="C426" s="116"/>
      <c r="D426" s="120"/>
      <c r="E426" s="120"/>
      <c r="F426" s="114">
        <f>IF(A426="","",F425+E426-D426)</f>
      </c>
      <c r="G426" s="129"/>
      <c r="H426" s="132"/>
    </row>
    <row r="427" spans="1:8" ht="12.75">
      <c r="A427" s="137"/>
      <c r="B427" s="124"/>
      <c r="C427" s="116"/>
      <c r="D427" s="120"/>
      <c r="E427" s="120"/>
      <c r="F427" s="114">
        <f>IF(A427="","",F426+E427-D427)</f>
      </c>
      <c r="G427" s="129"/>
      <c r="H427" s="132"/>
    </row>
    <row r="428" spans="1:8" ht="12.75">
      <c r="A428" s="137"/>
      <c r="B428" s="124"/>
      <c r="C428" s="116"/>
      <c r="D428" s="120"/>
      <c r="E428" s="120"/>
      <c r="F428" s="114">
        <f>IF(A428="","",F427+E428-D428)</f>
      </c>
      <c r="G428" s="129"/>
      <c r="H428" s="132"/>
    </row>
    <row r="429" spans="1:8" ht="12.75">
      <c r="A429" s="137"/>
      <c r="B429" s="124"/>
      <c r="C429" s="116"/>
      <c r="D429" s="120"/>
      <c r="E429" s="120"/>
      <c r="F429" s="114">
        <f>IF(A429="","",F428+E429-D429)</f>
      </c>
      <c r="G429" s="129"/>
      <c r="H429" s="132"/>
    </row>
    <row r="430" spans="1:8" ht="12.75">
      <c r="A430" s="137"/>
      <c r="B430" s="124"/>
      <c r="C430" s="116"/>
      <c r="D430" s="120"/>
      <c r="E430" s="120"/>
      <c r="F430" s="114">
        <f>IF(A430="","",F429+E430-D430)</f>
      </c>
      <c r="G430" s="129"/>
      <c r="H430" s="132"/>
    </row>
    <row r="431" spans="1:8" ht="12.75">
      <c r="A431" s="137"/>
      <c r="B431" s="124"/>
      <c r="C431" s="116"/>
      <c r="D431" s="120"/>
      <c r="E431" s="120"/>
      <c r="F431" s="114">
        <f>IF(A431="","",F430+E431-D431)</f>
      </c>
      <c r="G431" s="129"/>
      <c r="H431" s="132"/>
    </row>
    <row r="432" spans="1:8" ht="12.75">
      <c r="A432" s="137"/>
      <c r="B432" s="124"/>
      <c r="C432" s="116"/>
      <c r="D432" s="120"/>
      <c r="E432" s="120"/>
      <c r="F432" s="114">
        <f>IF(A432="","",F431+E432-D432)</f>
      </c>
      <c r="G432" s="129"/>
      <c r="H432" s="132"/>
    </row>
    <row r="433" spans="1:8" ht="12.75">
      <c r="A433" s="137"/>
      <c r="B433" s="124"/>
      <c r="C433" s="116"/>
      <c r="D433" s="120"/>
      <c r="E433" s="120"/>
      <c r="F433" s="114">
        <f>IF(A433="","",F432+E433-D433)</f>
      </c>
      <c r="G433" s="129"/>
      <c r="H433" s="132"/>
    </row>
    <row r="434" spans="1:8" ht="12.75">
      <c r="A434" s="137"/>
      <c r="B434" s="124"/>
      <c r="C434" s="116"/>
      <c r="D434" s="120"/>
      <c r="E434" s="120"/>
      <c r="F434" s="114">
        <f>IF(A434="","",F433+E434-D434)</f>
      </c>
      <c r="G434" s="129"/>
      <c r="H434" s="132"/>
    </row>
    <row r="435" spans="1:8" ht="12.75">
      <c r="A435" s="137"/>
      <c r="B435" s="124"/>
      <c r="C435" s="116"/>
      <c r="D435" s="120"/>
      <c r="E435" s="120"/>
      <c r="F435" s="114">
        <f>IF(A435="","",F434+E435-D435)</f>
      </c>
      <c r="G435" s="129"/>
      <c r="H435" s="132"/>
    </row>
    <row r="436" spans="1:8" ht="12.75">
      <c r="A436" s="137"/>
      <c r="B436" s="124"/>
      <c r="C436" s="116"/>
      <c r="D436" s="120"/>
      <c r="E436" s="120"/>
      <c r="F436" s="114">
        <f>IF(A436="","",F435+E436-D436)</f>
      </c>
      <c r="G436" s="129"/>
      <c r="H436" s="132"/>
    </row>
    <row r="437" spans="1:8" ht="12.75">
      <c r="A437" s="137"/>
      <c r="B437" s="124"/>
      <c r="C437" s="116"/>
      <c r="D437" s="120"/>
      <c r="E437" s="120"/>
      <c r="F437" s="114">
        <f>IF(A437="","",F436+E437-D437)</f>
      </c>
      <c r="G437" s="129"/>
      <c r="H437" s="132"/>
    </row>
    <row r="438" spans="1:8" ht="12.75">
      <c r="A438" s="137"/>
      <c r="B438" s="124"/>
      <c r="C438" s="116"/>
      <c r="D438" s="120"/>
      <c r="E438" s="120"/>
      <c r="F438" s="114">
        <f>IF(A438="","",F437+E438-D438)</f>
      </c>
      <c r="G438" s="129"/>
      <c r="H438" s="132"/>
    </row>
    <row r="439" spans="1:8" ht="12.75">
      <c r="A439" s="137"/>
      <c r="B439" s="124"/>
      <c r="C439" s="116"/>
      <c r="D439" s="120"/>
      <c r="E439" s="120"/>
      <c r="F439" s="114">
        <f>IF(A439="","",F438+E439-D439)</f>
      </c>
      <c r="G439" s="129"/>
      <c r="H439" s="132"/>
    </row>
    <row r="440" spans="1:8" ht="12.75">
      <c r="A440" s="137"/>
      <c r="B440" s="124"/>
      <c r="C440" s="116"/>
      <c r="D440" s="120"/>
      <c r="E440" s="120"/>
      <c r="F440" s="114">
        <f>IF(A440="","",F439+E440-D440)</f>
      </c>
      <c r="G440" s="129"/>
      <c r="H440" s="132"/>
    </row>
    <row r="441" spans="1:8" ht="12.75">
      <c r="A441" s="137"/>
      <c r="B441" s="124"/>
      <c r="C441" s="116"/>
      <c r="D441" s="120"/>
      <c r="E441" s="120"/>
      <c r="F441" s="114">
        <f>IF(A441="","",F440+E441-D441)</f>
      </c>
      <c r="G441" s="129"/>
      <c r="H441" s="132"/>
    </row>
    <row r="442" spans="1:8" ht="12.75">
      <c r="A442" s="137"/>
      <c r="B442" s="124"/>
      <c r="C442" s="116"/>
      <c r="D442" s="120"/>
      <c r="E442" s="120"/>
      <c r="F442" s="114">
        <f>IF(A442="","",F441+E442-D442)</f>
      </c>
      <c r="G442" s="129"/>
      <c r="H442" s="132"/>
    </row>
    <row r="443" spans="1:8" ht="12.75">
      <c r="A443" s="137"/>
      <c r="B443" s="124"/>
      <c r="C443" s="116"/>
      <c r="D443" s="120"/>
      <c r="E443" s="120"/>
      <c r="F443" s="114">
        <f>IF(A443="","",F442+E443-D443)</f>
      </c>
      <c r="G443" s="129"/>
      <c r="H443" s="132"/>
    </row>
    <row r="444" spans="1:8" ht="12.75">
      <c r="A444" s="137"/>
      <c r="B444" s="124"/>
      <c r="C444" s="116"/>
      <c r="D444" s="120"/>
      <c r="E444" s="120"/>
      <c r="F444" s="114">
        <f>IF(A444="","",F443+E444-D444)</f>
      </c>
      <c r="G444" s="129"/>
      <c r="H444" s="132"/>
    </row>
    <row r="445" spans="1:8" ht="12.75">
      <c r="A445" s="137"/>
      <c r="B445" s="124"/>
      <c r="C445" s="116"/>
      <c r="D445" s="120"/>
      <c r="E445" s="120"/>
      <c r="F445" s="114">
        <f>IF(A445="","",F444+E445-D445)</f>
      </c>
      <c r="G445" s="129"/>
      <c r="H445" s="132"/>
    </row>
    <row r="446" spans="1:8" ht="12.75">
      <c r="A446" s="137"/>
      <c r="B446" s="124"/>
      <c r="C446" s="116"/>
      <c r="D446" s="120"/>
      <c r="E446" s="120"/>
      <c r="F446" s="114">
        <f>IF(A446="","",F445+E446-D446)</f>
      </c>
      <c r="G446" s="129"/>
      <c r="H446" s="132"/>
    </row>
    <row r="447" spans="1:8" ht="12.75">
      <c r="A447" s="137"/>
      <c r="B447" s="124"/>
      <c r="C447" s="116"/>
      <c r="D447" s="120"/>
      <c r="E447" s="120"/>
      <c r="F447" s="114">
        <f>IF(A447="","",F446+E447-D447)</f>
      </c>
      <c r="G447" s="129"/>
      <c r="H447" s="132"/>
    </row>
    <row r="448" spans="1:8" ht="12.75">
      <c r="A448" s="137"/>
      <c r="B448" s="124"/>
      <c r="C448" s="116"/>
      <c r="D448" s="120"/>
      <c r="E448" s="120"/>
      <c r="F448" s="114">
        <f>IF(A448="","",F447+E448-D448)</f>
      </c>
      <c r="G448" s="129"/>
      <c r="H448" s="132"/>
    </row>
    <row r="449" spans="1:8" ht="12.75">
      <c r="A449" s="137"/>
      <c r="B449" s="124"/>
      <c r="C449" s="116"/>
      <c r="D449" s="120"/>
      <c r="E449" s="120"/>
      <c r="F449" s="114">
        <f>IF(A449="","",F448+E449-D449)</f>
      </c>
      <c r="G449" s="129"/>
      <c r="H449" s="132"/>
    </row>
    <row r="450" spans="1:8" ht="12.75">
      <c r="A450" s="137"/>
      <c r="B450" s="124"/>
      <c r="C450" s="116"/>
      <c r="D450" s="120"/>
      <c r="E450" s="120"/>
      <c r="F450" s="114">
        <f>IF(A450="","",F449+E450-D450)</f>
      </c>
      <c r="G450" s="129"/>
      <c r="H450" s="132"/>
    </row>
    <row r="451" spans="1:8" ht="12.75">
      <c r="A451" s="137"/>
      <c r="B451" s="124"/>
      <c r="C451" s="116"/>
      <c r="D451" s="120"/>
      <c r="E451" s="120"/>
      <c r="F451" s="114">
        <f>IF(A451="","",F450+E451-D451)</f>
      </c>
      <c r="G451" s="129"/>
      <c r="H451" s="132"/>
    </row>
    <row r="452" spans="1:8" ht="12.75">
      <c r="A452" s="137"/>
      <c r="B452" s="124"/>
      <c r="C452" s="116"/>
      <c r="D452" s="120"/>
      <c r="E452" s="120"/>
      <c r="F452" s="114">
        <f>IF(A452="","",F451+E452-D452)</f>
      </c>
      <c r="G452" s="129"/>
      <c r="H452" s="132"/>
    </row>
    <row r="453" spans="1:8" ht="12.75">
      <c r="A453" s="137"/>
      <c r="B453" s="124"/>
      <c r="C453" s="116"/>
      <c r="D453" s="120"/>
      <c r="E453" s="120"/>
      <c r="F453" s="114">
        <f>IF(A453="","",F452+E453-D453)</f>
      </c>
      <c r="G453" s="129"/>
      <c r="H453" s="132"/>
    </row>
    <row r="454" spans="1:8" ht="12.75">
      <c r="A454" s="137"/>
      <c r="B454" s="124"/>
      <c r="C454" s="116"/>
      <c r="D454" s="120"/>
      <c r="E454" s="120"/>
      <c r="F454" s="114">
        <f>IF(A454="","",F453+E454-D454)</f>
      </c>
      <c r="G454" s="129"/>
      <c r="H454" s="132"/>
    </row>
    <row r="455" spans="1:8" ht="12.75">
      <c r="A455" s="137"/>
      <c r="B455" s="124"/>
      <c r="C455" s="116"/>
      <c r="D455" s="120"/>
      <c r="E455" s="120"/>
      <c r="F455" s="114">
        <f>IF(A455="","",F454+E455-D455)</f>
      </c>
      <c r="G455" s="129"/>
      <c r="H455" s="132"/>
    </row>
    <row r="456" spans="1:8" ht="12.75">
      <c r="A456" s="137"/>
      <c r="B456" s="124"/>
      <c r="C456" s="116"/>
      <c r="D456" s="120"/>
      <c r="E456" s="120"/>
      <c r="F456" s="114">
        <f>IF(A456="","",F455+E456-D456)</f>
      </c>
      <c r="G456" s="129"/>
      <c r="H456" s="132"/>
    </row>
    <row r="457" spans="1:8" ht="12.75">
      <c r="A457" s="137"/>
      <c r="B457" s="124"/>
      <c r="C457" s="116"/>
      <c r="D457" s="120"/>
      <c r="E457" s="120"/>
      <c r="F457" s="114">
        <f>IF(A457="","",F456+E457-D457)</f>
      </c>
      <c r="G457" s="129"/>
      <c r="H457" s="132"/>
    </row>
    <row r="458" spans="1:8" ht="12.75">
      <c r="A458" s="137"/>
      <c r="B458" s="124"/>
      <c r="C458" s="116"/>
      <c r="D458" s="120"/>
      <c r="E458" s="120"/>
      <c r="F458" s="114">
        <f>IF(A458="","",F457+E458-D458)</f>
      </c>
      <c r="G458" s="129"/>
      <c r="H458" s="132"/>
    </row>
    <row r="459" spans="1:8" ht="12.75">
      <c r="A459" s="137"/>
      <c r="B459" s="124"/>
      <c r="C459" s="116"/>
      <c r="D459" s="120"/>
      <c r="E459" s="120"/>
      <c r="F459" s="114">
        <f>IF(A459="","",F458+E459-D459)</f>
      </c>
      <c r="G459" s="129"/>
      <c r="H459" s="132"/>
    </row>
    <row r="460" spans="1:8" ht="12.75">
      <c r="A460" s="137"/>
      <c r="B460" s="124"/>
      <c r="C460" s="116"/>
      <c r="D460" s="120"/>
      <c r="E460" s="120"/>
      <c r="F460" s="114">
        <f>IF(A460="","",F459+E460-D460)</f>
      </c>
      <c r="G460" s="129"/>
      <c r="H460" s="132"/>
    </row>
    <row r="461" spans="1:8" ht="12.75">
      <c r="A461" s="137"/>
      <c r="B461" s="124"/>
      <c r="C461" s="116"/>
      <c r="D461" s="120"/>
      <c r="E461" s="120"/>
      <c r="F461" s="114">
        <f>IF(A461="","",F460+E461-D461)</f>
      </c>
      <c r="G461" s="129"/>
      <c r="H461" s="132"/>
    </row>
    <row r="462" spans="1:8" ht="12.75">
      <c r="A462" s="137"/>
      <c r="B462" s="124"/>
      <c r="C462" s="116"/>
      <c r="D462" s="120"/>
      <c r="E462" s="120"/>
      <c r="F462" s="114">
        <f>IF(A462="","",F461+E462-D462)</f>
      </c>
      <c r="G462" s="129"/>
      <c r="H462" s="132"/>
    </row>
    <row r="463" spans="1:8" ht="12.75">
      <c r="A463" s="137"/>
      <c r="B463" s="124"/>
      <c r="C463" s="116"/>
      <c r="D463" s="120"/>
      <c r="E463" s="120"/>
      <c r="F463" s="114">
        <f>IF(A463="","",F462+E463-D463)</f>
      </c>
      <c r="G463" s="129"/>
      <c r="H463" s="132"/>
    </row>
    <row r="464" spans="1:8" ht="12.75">
      <c r="A464" s="137"/>
      <c r="B464" s="124"/>
      <c r="C464" s="116"/>
      <c r="D464" s="120"/>
      <c r="E464" s="120"/>
      <c r="F464" s="114">
        <f>IF(A464="","",F463+E464-D464)</f>
      </c>
      <c r="G464" s="129"/>
      <c r="H464" s="132"/>
    </row>
    <row r="465" spans="1:8" ht="12.75">
      <c r="A465" s="137"/>
      <c r="B465" s="124"/>
      <c r="C465" s="116"/>
      <c r="D465" s="120"/>
      <c r="E465" s="120"/>
      <c r="F465" s="114">
        <f>IF(A465="","",F464+E465-D465)</f>
      </c>
      <c r="G465" s="129"/>
      <c r="H465" s="132"/>
    </row>
    <row r="466" spans="1:8" ht="12.75">
      <c r="A466" s="137"/>
      <c r="B466" s="124"/>
      <c r="C466" s="116"/>
      <c r="D466" s="120"/>
      <c r="E466" s="120"/>
      <c r="F466" s="114">
        <f>IF(A466="","",F465+E466-D466)</f>
      </c>
      <c r="G466" s="129"/>
      <c r="H466" s="132"/>
    </row>
    <row r="467" spans="1:8" ht="12.75">
      <c r="A467" s="137"/>
      <c r="B467" s="124"/>
      <c r="C467" s="116"/>
      <c r="D467" s="120"/>
      <c r="E467" s="120"/>
      <c r="F467" s="114">
        <f>IF(A467="","",F466+E467-D467)</f>
      </c>
      <c r="G467" s="129"/>
      <c r="H467" s="132"/>
    </row>
    <row r="468" spans="1:8" ht="12.75">
      <c r="A468" s="137"/>
      <c r="B468" s="124"/>
      <c r="C468" s="116"/>
      <c r="D468" s="120"/>
      <c r="E468" s="120"/>
      <c r="F468" s="114">
        <f>IF(A468="","",F467+E468-D468)</f>
      </c>
      <c r="G468" s="129"/>
      <c r="H468" s="132"/>
    </row>
    <row r="469" spans="1:8" ht="12.75">
      <c r="A469" s="137"/>
      <c r="B469" s="124"/>
      <c r="C469" s="116"/>
      <c r="D469" s="120"/>
      <c r="E469" s="120"/>
      <c r="F469" s="114">
        <f>IF(A469="","",F468+E469-D469)</f>
      </c>
      <c r="G469" s="129"/>
      <c r="H469" s="132"/>
    </row>
    <row r="470" spans="1:8" ht="12.75">
      <c r="A470" s="137"/>
      <c r="B470" s="124"/>
      <c r="C470" s="116"/>
      <c r="D470" s="120"/>
      <c r="E470" s="120"/>
      <c r="F470" s="114">
        <f>IF(A470="","",F469+E470-D470)</f>
      </c>
      <c r="G470" s="129"/>
      <c r="H470" s="132"/>
    </row>
    <row r="471" spans="1:8" ht="12.75">
      <c r="A471" s="137"/>
      <c r="B471" s="124"/>
      <c r="C471" s="116"/>
      <c r="D471" s="120"/>
      <c r="E471" s="120"/>
      <c r="F471" s="114">
        <f>IF(A471="","",F470+E471-D471)</f>
      </c>
      <c r="G471" s="129"/>
      <c r="H471" s="132"/>
    </row>
    <row r="472" spans="1:8" ht="12.75">
      <c r="A472" s="137"/>
      <c r="B472" s="124"/>
      <c r="C472" s="116"/>
      <c r="D472" s="120"/>
      <c r="E472" s="120"/>
      <c r="F472" s="114">
        <f>IF(A472="","",F471+E472-D472)</f>
      </c>
      <c r="G472" s="129"/>
      <c r="H472" s="132"/>
    </row>
    <row r="473" spans="1:8" ht="12.75">
      <c r="A473" s="137"/>
      <c r="B473" s="124"/>
      <c r="C473" s="116"/>
      <c r="D473" s="120"/>
      <c r="E473" s="120"/>
      <c r="F473" s="114">
        <f>IF(A473="","",F472+E473-D473)</f>
      </c>
      <c r="G473" s="129"/>
      <c r="H473" s="132"/>
    </row>
    <row r="474" spans="1:8" ht="12.75">
      <c r="A474" s="137"/>
      <c r="B474" s="124"/>
      <c r="C474" s="116"/>
      <c r="D474" s="120"/>
      <c r="E474" s="120"/>
      <c r="F474" s="114">
        <f>IF(A474="","",F473+E474-D474)</f>
      </c>
      <c r="G474" s="129"/>
      <c r="H474" s="132"/>
    </row>
    <row r="475" spans="1:8" ht="12.75">
      <c r="A475" s="137"/>
      <c r="B475" s="124"/>
      <c r="C475" s="116"/>
      <c r="D475" s="120"/>
      <c r="E475" s="120"/>
      <c r="F475" s="114">
        <f>IF(A475="","",F474+E475-D475)</f>
      </c>
      <c r="G475" s="129"/>
      <c r="H475" s="132"/>
    </row>
    <row r="476" spans="1:8" ht="12.75">
      <c r="A476" s="137"/>
      <c r="B476" s="124"/>
      <c r="C476" s="116"/>
      <c r="D476" s="120"/>
      <c r="E476" s="120"/>
      <c r="F476" s="114">
        <f>IF(A476="","",F475+E476-D476)</f>
      </c>
      <c r="G476" s="129"/>
      <c r="H476" s="132"/>
    </row>
    <row r="477" spans="1:8" ht="12.75">
      <c r="A477" s="137"/>
      <c r="B477" s="124"/>
      <c r="C477" s="116"/>
      <c r="D477" s="120"/>
      <c r="E477" s="120"/>
      <c r="F477" s="114">
        <f>IF(A477="","",F476+E477-D477)</f>
      </c>
      <c r="G477" s="129"/>
      <c r="H477" s="132"/>
    </row>
    <row r="478" spans="1:8" ht="12.75">
      <c r="A478" s="137"/>
      <c r="B478" s="124"/>
      <c r="C478" s="116"/>
      <c r="D478" s="120"/>
      <c r="E478" s="120"/>
      <c r="F478" s="114">
        <f>IF(A478="","",F477+E478-D478)</f>
      </c>
      <c r="G478" s="129"/>
      <c r="H478" s="132"/>
    </row>
    <row r="479" spans="1:8" ht="12.75">
      <c r="A479" s="137"/>
      <c r="B479" s="124"/>
      <c r="C479" s="116"/>
      <c r="D479" s="120"/>
      <c r="E479" s="120"/>
      <c r="F479" s="114">
        <f>IF(A479="","",F478+E479-D479)</f>
      </c>
      <c r="G479" s="129"/>
      <c r="H479" s="132"/>
    </row>
    <row r="480" spans="1:8" ht="12.75">
      <c r="A480" s="137"/>
      <c r="B480" s="124"/>
      <c r="C480" s="116"/>
      <c r="D480" s="120"/>
      <c r="E480" s="120"/>
      <c r="F480" s="114">
        <f>IF(A480="","",F479+E480-D480)</f>
      </c>
      <c r="G480" s="129"/>
      <c r="H480" s="132"/>
    </row>
    <row r="481" spans="1:8" ht="12.75">
      <c r="A481" s="137"/>
      <c r="B481" s="124"/>
      <c r="C481" s="116"/>
      <c r="D481" s="120"/>
      <c r="E481" s="120"/>
      <c r="F481" s="114">
        <f>IF(A481="","",F480+E481-D481)</f>
      </c>
      <c r="G481" s="129"/>
      <c r="H481" s="132"/>
    </row>
    <row r="482" spans="1:8" ht="12.75">
      <c r="A482" s="137"/>
      <c r="B482" s="124"/>
      <c r="C482" s="116"/>
      <c r="D482" s="120"/>
      <c r="E482" s="120"/>
      <c r="F482" s="114">
        <f>IF(A482="","",F481+E482-D482)</f>
      </c>
      <c r="G482" s="129"/>
      <c r="H482" s="132"/>
    </row>
    <row r="483" spans="1:8" ht="12.75">
      <c r="A483" s="137"/>
      <c r="B483" s="124"/>
      <c r="C483" s="116"/>
      <c r="D483" s="120"/>
      <c r="E483" s="120"/>
      <c r="F483" s="114">
        <f>IF(A483="","",F482+E483-D483)</f>
      </c>
      <c r="G483" s="129"/>
      <c r="H483" s="132"/>
    </row>
    <row r="484" spans="1:8" ht="12.75">
      <c r="A484" s="137"/>
      <c r="B484" s="124"/>
      <c r="C484" s="116"/>
      <c r="D484" s="120"/>
      <c r="E484" s="120"/>
      <c r="F484" s="114">
        <f>IF(A484="","",F483+E484-D484)</f>
      </c>
      <c r="G484" s="129"/>
      <c r="H484" s="132"/>
    </row>
    <row r="485" spans="1:8" ht="12.75">
      <c r="A485" s="137"/>
      <c r="B485" s="124"/>
      <c r="C485" s="116"/>
      <c r="D485" s="120"/>
      <c r="E485" s="120"/>
      <c r="F485" s="114">
        <f>IF(A485="","",F484+E485-D485)</f>
      </c>
      <c r="G485" s="129"/>
      <c r="H485" s="132"/>
    </row>
    <row r="486" spans="1:8" ht="12.75">
      <c r="A486" s="137"/>
      <c r="B486" s="124"/>
      <c r="C486" s="116"/>
      <c r="D486" s="120"/>
      <c r="E486" s="120"/>
      <c r="F486" s="114">
        <f>IF(A486="","",F485+E486-D486)</f>
      </c>
      <c r="G486" s="129"/>
      <c r="H486" s="132"/>
    </row>
    <row r="487" spans="1:8" ht="12.75">
      <c r="A487" s="137"/>
      <c r="B487" s="124"/>
      <c r="C487" s="116"/>
      <c r="D487" s="120"/>
      <c r="E487" s="120"/>
      <c r="F487" s="114">
        <f>IF(A487="","",F486+E487-D487)</f>
      </c>
      <c r="G487" s="129"/>
      <c r="H487" s="132"/>
    </row>
    <row r="488" spans="1:8" ht="12.75">
      <c r="A488" s="137"/>
      <c r="B488" s="124"/>
      <c r="C488" s="116"/>
      <c r="D488" s="120"/>
      <c r="E488" s="120"/>
      <c r="F488" s="114">
        <f>IF(A488="","",F487+E488-D488)</f>
      </c>
      <c r="G488" s="129"/>
      <c r="H488" s="132"/>
    </row>
    <row r="489" spans="1:8" ht="12.75">
      <c r="A489" s="137"/>
      <c r="B489" s="124"/>
      <c r="C489" s="116"/>
      <c r="D489" s="120"/>
      <c r="E489" s="120"/>
      <c r="F489" s="114">
        <f>IF(A489="","",F488+E489-D489)</f>
      </c>
      <c r="G489" s="129"/>
      <c r="H489" s="132"/>
    </row>
    <row r="490" spans="1:8" ht="12.75">
      <c r="A490" s="137"/>
      <c r="B490" s="124"/>
      <c r="C490" s="116"/>
      <c r="D490" s="120"/>
      <c r="E490" s="120"/>
      <c r="F490" s="114">
        <f>IF(A490="","",F489+E490-D490)</f>
      </c>
      <c r="G490" s="129"/>
      <c r="H490" s="132"/>
    </row>
    <row r="491" spans="1:8" ht="12.75">
      <c r="A491" s="137"/>
      <c r="B491" s="124"/>
      <c r="C491" s="116"/>
      <c r="D491" s="120"/>
      <c r="E491" s="120"/>
      <c r="F491" s="114">
        <f>IF(A491="","",F490+E491-D491)</f>
      </c>
      <c r="G491" s="129"/>
      <c r="H491" s="132"/>
    </row>
    <row r="492" spans="1:8" ht="12.75">
      <c r="A492" s="137"/>
      <c r="B492" s="124"/>
      <c r="C492" s="116"/>
      <c r="D492" s="120"/>
      <c r="E492" s="120"/>
      <c r="F492" s="114">
        <f>IF(A492="","",F491+E492-D492)</f>
      </c>
      <c r="G492" s="129"/>
      <c r="H492" s="132"/>
    </row>
    <row r="493" spans="1:8" ht="12.75">
      <c r="A493" s="137"/>
      <c r="B493" s="124"/>
      <c r="C493" s="116"/>
      <c r="D493" s="120"/>
      <c r="E493" s="120"/>
      <c r="F493" s="114">
        <f>IF(A493="","",F492+E493-D493)</f>
      </c>
      <c r="G493" s="129"/>
      <c r="H493" s="132"/>
    </row>
    <row r="494" spans="1:8" ht="12.75">
      <c r="A494" s="137"/>
      <c r="B494" s="124"/>
      <c r="C494" s="116"/>
      <c r="D494" s="120"/>
      <c r="E494" s="120"/>
      <c r="F494" s="114">
        <f>IF(A494="","",F493+E494-D494)</f>
      </c>
      <c r="G494" s="129"/>
      <c r="H494" s="132"/>
    </row>
    <row r="495" spans="1:8" ht="12.75">
      <c r="A495" s="137"/>
      <c r="B495" s="124"/>
      <c r="C495" s="116"/>
      <c r="D495" s="120"/>
      <c r="E495" s="120"/>
      <c r="F495" s="114">
        <f>IF(A495="","",F494+E495-D495)</f>
      </c>
      <c r="G495" s="129"/>
      <c r="H495" s="132"/>
    </row>
    <row r="496" spans="1:8" ht="12.75">
      <c r="A496" s="137"/>
      <c r="B496" s="124"/>
      <c r="C496" s="116"/>
      <c r="D496" s="120"/>
      <c r="E496" s="120"/>
      <c r="F496" s="114">
        <f>IF(A496="","",F495+E496-D496)</f>
      </c>
      <c r="G496" s="129"/>
      <c r="H496" s="132"/>
    </row>
    <row r="497" spans="1:8" ht="12.75">
      <c r="A497" s="137"/>
      <c r="B497" s="124"/>
      <c r="C497" s="116"/>
      <c r="D497" s="120"/>
      <c r="E497" s="120"/>
      <c r="F497" s="114">
        <f>IF(A497="","",F496+E497-D497)</f>
      </c>
      <c r="G497" s="129"/>
      <c r="H497" s="132"/>
    </row>
    <row r="498" spans="1:8" ht="12.75">
      <c r="A498" s="137"/>
      <c r="B498" s="124"/>
      <c r="C498" s="116"/>
      <c r="D498" s="120"/>
      <c r="E498" s="120"/>
      <c r="F498" s="114">
        <f>IF(A498="","",F497+E498-D498)</f>
      </c>
      <c r="G498" s="129"/>
      <c r="H498" s="132"/>
    </row>
    <row r="499" spans="1:8" ht="12.75">
      <c r="A499" s="137"/>
      <c r="B499" s="124"/>
      <c r="C499" s="116"/>
      <c r="D499" s="120"/>
      <c r="E499" s="120"/>
      <c r="F499" s="114">
        <f>IF(A499="","",F498+E499-D499)</f>
      </c>
      <c r="G499" s="129"/>
      <c r="H499" s="132"/>
    </row>
    <row r="500" spans="1:8" ht="12.75">
      <c r="A500" s="137"/>
      <c r="B500" s="124"/>
      <c r="C500" s="116"/>
      <c r="D500" s="120"/>
      <c r="E500" s="120"/>
      <c r="F500" s="114">
        <f>IF(A500="","",F499+E500-D500)</f>
      </c>
      <c r="G500" s="129"/>
      <c r="H500" s="132"/>
    </row>
    <row r="501" spans="1:8" ht="12.75">
      <c r="A501" s="137"/>
      <c r="B501" s="124"/>
      <c r="C501" s="116"/>
      <c r="D501" s="120"/>
      <c r="E501" s="120"/>
      <c r="F501" s="114">
        <f>IF(A501="","",F500+E501-D501)</f>
      </c>
      <c r="G501" s="129"/>
      <c r="H501" s="132"/>
    </row>
    <row r="502" spans="1:8" ht="12.75">
      <c r="A502" s="137"/>
      <c r="B502" s="124"/>
      <c r="C502" s="116"/>
      <c r="D502" s="120"/>
      <c r="E502" s="120"/>
      <c r="F502" s="114">
        <f>IF(A502="","",F501+E502-D502)</f>
      </c>
      <c r="G502" s="129"/>
      <c r="H502" s="132"/>
    </row>
    <row r="503" spans="1:8" ht="12.75">
      <c r="A503" s="137"/>
      <c r="B503" s="124"/>
      <c r="C503" s="116"/>
      <c r="D503" s="120"/>
      <c r="E503" s="120"/>
      <c r="F503" s="114">
        <f>IF(A503="","",F502+E503-D503)</f>
      </c>
      <c r="G503" s="129"/>
      <c r="H503" s="132"/>
    </row>
    <row r="504" spans="1:8" ht="12.75">
      <c r="A504" s="137"/>
      <c r="B504" s="124"/>
      <c r="C504" s="116"/>
      <c r="D504" s="120"/>
      <c r="E504" s="120"/>
      <c r="F504" s="114">
        <f>IF(A504="","",F503+E504-D504)</f>
      </c>
      <c r="G504" s="129"/>
      <c r="H504" s="132"/>
    </row>
    <row r="505" spans="1:8" ht="12.75">
      <c r="A505" s="137"/>
      <c r="B505" s="124"/>
      <c r="C505" s="116"/>
      <c r="D505" s="120"/>
      <c r="E505" s="120"/>
      <c r="F505" s="114">
        <f>IF(A505="","",F504+E505-D505)</f>
      </c>
      <c r="G505" s="129"/>
      <c r="H505" s="132"/>
    </row>
    <row r="506" spans="1:8" ht="12.75">
      <c r="A506" s="137"/>
      <c r="B506" s="124"/>
      <c r="C506" s="116"/>
      <c r="D506" s="120"/>
      <c r="E506" s="120"/>
      <c r="F506" s="114">
        <f>IF(A506="","",F505+E506-D506)</f>
      </c>
      <c r="G506" s="129"/>
      <c r="H506" s="132"/>
    </row>
    <row r="507" spans="1:8" ht="12.75">
      <c r="A507" s="137"/>
      <c r="B507" s="124"/>
      <c r="C507" s="116"/>
      <c r="D507" s="120"/>
      <c r="E507" s="120"/>
      <c r="F507" s="114">
        <f>IF(A507="","",F506+E507-D507)</f>
      </c>
      <c r="G507" s="129"/>
      <c r="H507" s="132"/>
    </row>
    <row r="508" spans="1:8" ht="12.75">
      <c r="A508" s="137"/>
      <c r="B508" s="124"/>
      <c r="C508" s="116"/>
      <c r="D508" s="120"/>
      <c r="E508" s="120"/>
      <c r="F508" s="114">
        <f>IF(A508="","",F507+E508-D508)</f>
      </c>
      <c r="G508" s="129"/>
      <c r="H508" s="132"/>
    </row>
    <row r="509" spans="1:8" ht="12.75">
      <c r="A509" s="137"/>
      <c r="B509" s="124"/>
      <c r="C509" s="116"/>
      <c r="D509" s="120"/>
      <c r="E509" s="120"/>
      <c r="F509" s="114">
        <f>IF(A509="","",F508+E509-D509)</f>
      </c>
      <c r="G509" s="129"/>
      <c r="H509" s="132"/>
    </row>
    <row r="510" spans="1:8" ht="12.75">
      <c r="A510" s="137"/>
      <c r="B510" s="124"/>
      <c r="C510" s="116"/>
      <c r="D510" s="120"/>
      <c r="E510" s="120"/>
      <c r="F510" s="114">
        <f>IF(A510="","",F509+E510-D510)</f>
      </c>
      <c r="G510" s="129"/>
      <c r="H510" s="132"/>
    </row>
    <row r="511" spans="1:8" ht="12.75">
      <c r="A511" s="137"/>
      <c r="B511" s="124"/>
      <c r="C511" s="116"/>
      <c r="D511" s="120"/>
      <c r="E511" s="120"/>
      <c r="F511" s="114">
        <f>IF(A511="","",F510+E511-D511)</f>
      </c>
      <c r="G511" s="129"/>
      <c r="H511" s="132"/>
    </row>
    <row r="512" spans="1:8" ht="12.75">
      <c r="A512" s="137"/>
      <c r="B512" s="124"/>
      <c r="C512" s="116"/>
      <c r="D512" s="120"/>
      <c r="E512" s="120"/>
      <c r="F512" s="114">
        <f>IF(A512="","",F511+E512-D512)</f>
      </c>
      <c r="G512" s="129"/>
      <c r="H512" s="132"/>
    </row>
    <row r="513" spans="1:8" ht="12.75">
      <c r="A513" s="137"/>
      <c r="B513" s="124"/>
      <c r="C513" s="116"/>
      <c r="D513" s="120"/>
      <c r="E513" s="120"/>
      <c r="F513" s="114">
        <f>IF(A513="","",F512+E513-D513)</f>
      </c>
      <c r="G513" s="129"/>
      <c r="H513" s="132"/>
    </row>
    <row r="514" spans="1:8" ht="12.75">
      <c r="A514" s="137"/>
      <c r="B514" s="124"/>
      <c r="C514" s="116"/>
      <c r="D514" s="120"/>
      <c r="E514" s="120"/>
      <c r="F514" s="114">
        <f>IF(A514="","",F513+E514-D514)</f>
      </c>
      <c r="G514" s="129"/>
      <c r="H514" s="132"/>
    </row>
    <row r="515" spans="1:8" ht="12.75">
      <c r="A515" s="137"/>
      <c r="B515" s="124"/>
      <c r="C515" s="116"/>
      <c r="D515" s="120"/>
      <c r="E515" s="120"/>
      <c r="F515" s="114">
        <f>IF(A515="","",F514+E515-D515)</f>
      </c>
      <c r="G515" s="129"/>
      <c r="H515" s="132"/>
    </row>
    <row r="516" spans="1:8" ht="12.75">
      <c r="A516" s="137"/>
      <c r="B516" s="124"/>
      <c r="C516" s="116"/>
      <c r="D516" s="120"/>
      <c r="E516" s="120"/>
      <c r="F516" s="114">
        <f>IF(A516="","",F515+E516-D516)</f>
      </c>
      <c r="G516" s="129"/>
      <c r="H516" s="132"/>
    </row>
    <row r="517" spans="1:8" ht="12.75">
      <c r="A517" s="137"/>
      <c r="B517" s="124"/>
      <c r="C517" s="116"/>
      <c r="D517" s="120"/>
      <c r="E517" s="120"/>
      <c r="F517" s="114">
        <f>IF(A517="","",F516+E517-D517)</f>
      </c>
      <c r="G517" s="129"/>
      <c r="H517" s="132"/>
    </row>
    <row r="518" spans="1:8" ht="12.75">
      <c r="A518" s="137"/>
      <c r="B518" s="124"/>
      <c r="C518" s="116"/>
      <c r="D518" s="120"/>
      <c r="E518" s="120"/>
      <c r="F518" s="114">
        <f>IF(A518="","",F517+E518-D518)</f>
      </c>
      <c r="G518" s="129"/>
      <c r="H518" s="132"/>
    </row>
    <row r="519" spans="1:8" ht="12.75">
      <c r="A519" s="137"/>
      <c r="B519" s="124"/>
      <c r="C519" s="116"/>
      <c r="D519" s="120"/>
      <c r="E519" s="120"/>
      <c r="F519" s="114">
        <f>IF(A519="","",F518+E519-D519)</f>
      </c>
      <c r="G519" s="129"/>
      <c r="H519" s="132"/>
    </row>
    <row r="520" spans="1:8" ht="12.75">
      <c r="A520" s="137"/>
      <c r="B520" s="124"/>
      <c r="C520" s="116"/>
      <c r="D520" s="120"/>
      <c r="E520" s="120"/>
      <c r="F520" s="114">
        <f>IF(A520="","",F519+E520-D520)</f>
      </c>
      <c r="G520" s="129"/>
      <c r="H520" s="132"/>
    </row>
    <row r="521" spans="1:8" ht="12.75">
      <c r="A521" s="137"/>
      <c r="B521" s="124"/>
      <c r="C521" s="116"/>
      <c r="D521" s="120"/>
      <c r="E521" s="120"/>
      <c r="F521" s="114">
        <f>IF(A521="","",F520+E521-D521)</f>
      </c>
      <c r="G521" s="129"/>
      <c r="H521" s="132"/>
    </row>
    <row r="522" spans="1:8" ht="12.75">
      <c r="A522" s="137"/>
      <c r="B522" s="124"/>
      <c r="C522" s="116"/>
      <c r="D522" s="120"/>
      <c r="E522" s="120"/>
      <c r="F522" s="114">
        <f>IF(A522="","",F521+E522-D522)</f>
      </c>
      <c r="G522" s="129"/>
      <c r="H522" s="132"/>
    </row>
    <row r="523" spans="1:8" ht="12.75">
      <c r="A523" s="137"/>
      <c r="B523" s="124"/>
      <c r="C523" s="116"/>
      <c r="D523" s="120"/>
      <c r="E523" s="120"/>
      <c r="F523" s="114">
        <f>IF(A523="","",F522+E523-D523)</f>
      </c>
      <c r="G523" s="129"/>
      <c r="H523" s="132"/>
    </row>
    <row r="524" spans="1:8" ht="12.75">
      <c r="A524" s="137"/>
      <c r="B524" s="124"/>
      <c r="C524" s="116"/>
      <c r="D524" s="120"/>
      <c r="E524" s="120"/>
      <c r="F524" s="114">
        <f>IF(A524="","",F523+E524-D524)</f>
      </c>
      <c r="G524" s="129"/>
      <c r="H524" s="132"/>
    </row>
    <row r="525" spans="1:8" ht="12.75">
      <c r="A525" s="137"/>
      <c r="B525" s="124"/>
      <c r="C525" s="116"/>
      <c r="D525" s="120"/>
      <c r="E525" s="120"/>
      <c r="F525" s="114">
        <f>IF(A525="","",F524+E525-D525)</f>
      </c>
      <c r="G525" s="129"/>
      <c r="H525" s="132"/>
    </row>
    <row r="526" spans="1:8" ht="12.75">
      <c r="A526" s="137"/>
      <c r="B526" s="124"/>
      <c r="C526" s="116"/>
      <c r="D526" s="120"/>
      <c r="E526" s="120"/>
      <c r="F526" s="114">
        <f>IF(A526="","",F525+E526-D526)</f>
      </c>
      <c r="G526" s="129"/>
      <c r="H526" s="132"/>
    </row>
    <row r="527" spans="1:8" ht="12.75">
      <c r="A527" s="137"/>
      <c r="B527" s="124"/>
      <c r="C527" s="116"/>
      <c r="D527" s="120"/>
      <c r="E527" s="120"/>
      <c r="F527" s="114">
        <f>IF(A527="","",F526+E527-D527)</f>
      </c>
      <c r="G527" s="129"/>
      <c r="H527" s="132"/>
    </row>
    <row r="528" spans="1:8" ht="12.75">
      <c r="A528" s="137"/>
      <c r="B528" s="124"/>
      <c r="C528" s="116"/>
      <c r="D528" s="120"/>
      <c r="E528" s="120"/>
      <c r="F528" s="114">
        <f>IF(A528="","",F527+E528-D528)</f>
      </c>
      <c r="G528" s="129"/>
      <c r="H528" s="132"/>
    </row>
    <row r="529" spans="1:8" ht="12.75">
      <c r="A529" s="137"/>
      <c r="B529" s="124"/>
      <c r="C529" s="116"/>
      <c r="D529" s="120"/>
      <c r="E529" s="120"/>
      <c r="F529" s="114">
        <f>IF(A529="","",F528+E529-D529)</f>
      </c>
      <c r="G529" s="129"/>
      <c r="H529" s="132"/>
    </row>
    <row r="530" spans="1:8" ht="12.75">
      <c r="A530" s="137"/>
      <c r="B530" s="124"/>
      <c r="C530" s="116"/>
      <c r="D530" s="120"/>
      <c r="E530" s="120"/>
      <c r="F530" s="114">
        <f>IF(A530="","",F529+E530-D530)</f>
      </c>
      <c r="G530" s="129"/>
      <c r="H530" s="132"/>
    </row>
    <row r="531" spans="1:8" ht="12.75">
      <c r="A531" s="137"/>
      <c r="B531" s="124"/>
      <c r="C531" s="116"/>
      <c r="D531" s="120"/>
      <c r="E531" s="120"/>
      <c r="F531" s="114">
        <f>IF(A531="","",F530+E531-D531)</f>
      </c>
      <c r="G531" s="129"/>
      <c r="H531" s="132"/>
    </row>
    <row r="532" spans="1:8" ht="12.75">
      <c r="A532" s="137"/>
      <c r="B532" s="124"/>
      <c r="C532" s="116"/>
      <c r="D532" s="120"/>
      <c r="E532" s="120"/>
      <c r="F532" s="114">
        <f>IF(A532="","",F531+E532-D532)</f>
      </c>
      <c r="G532" s="129"/>
      <c r="H532" s="132"/>
    </row>
    <row r="533" spans="1:8" ht="12.75">
      <c r="A533" s="137"/>
      <c r="B533" s="124"/>
      <c r="C533" s="116"/>
      <c r="D533" s="120"/>
      <c r="E533" s="120"/>
      <c r="F533" s="114">
        <f>IF(A533="","",F532+E533-D533)</f>
      </c>
      <c r="G533" s="129"/>
      <c r="H533" s="132"/>
    </row>
    <row r="534" spans="1:8" ht="12.75">
      <c r="A534" s="137"/>
      <c r="B534" s="124"/>
      <c r="C534" s="116"/>
      <c r="D534" s="120"/>
      <c r="E534" s="120"/>
      <c r="F534" s="114">
        <f>IF(A534="","",F533+E534-D534)</f>
      </c>
      <c r="G534" s="129"/>
      <c r="H534" s="132"/>
    </row>
    <row r="535" spans="1:8" ht="12.75">
      <c r="A535" s="137"/>
      <c r="B535" s="124"/>
      <c r="C535" s="116"/>
      <c r="D535" s="120"/>
      <c r="E535" s="120"/>
      <c r="F535" s="114">
        <f>IF(A535="","",F534+E535-D535)</f>
      </c>
      <c r="G535" s="129"/>
      <c r="H535" s="132"/>
    </row>
    <row r="536" spans="1:8" ht="12.75">
      <c r="A536" s="137"/>
      <c r="B536" s="124"/>
      <c r="C536" s="116"/>
      <c r="D536" s="120"/>
      <c r="E536" s="120"/>
      <c r="F536" s="114">
        <f>IF(A536="","",F535+E536-D536)</f>
      </c>
      <c r="G536" s="129"/>
      <c r="H536" s="132"/>
    </row>
    <row r="537" spans="1:8" ht="12.75">
      <c r="A537" s="137"/>
      <c r="B537" s="124"/>
      <c r="C537" s="116"/>
      <c r="D537" s="120"/>
      <c r="E537" s="120"/>
      <c r="F537" s="114">
        <f>IF(A537="","",F536+E537-D537)</f>
      </c>
      <c r="G537" s="129"/>
      <c r="H537" s="132"/>
    </row>
    <row r="538" spans="1:8" ht="12.75">
      <c r="A538" s="137"/>
      <c r="B538" s="124"/>
      <c r="C538" s="116"/>
      <c r="D538" s="120"/>
      <c r="E538" s="120"/>
      <c r="F538" s="114">
        <f>IF(A538="","",F537+E538-D538)</f>
      </c>
      <c r="G538" s="129"/>
      <c r="H538" s="132"/>
    </row>
    <row r="539" spans="1:8" ht="12.75">
      <c r="A539" s="137"/>
      <c r="B539" s="124"/>
      <c r="C539" s="116"/>
      <c r="D539" s="120"/>
      <c r="E539" s="120"/>
      <c r="F539" s="114">
        <f>IF(A539="","",F538+E539-D539)</f>
      </c>
      <c r="G539" s="129"/>
      <c r="H539" s="132"/>
    </row>
    <row r="540" spans="1:8" ht="12.75">
      <c r="A540" s="137"/>
      <c r="B540" s="124"/>
      <c r="C540" s="116"/>
      <c r="D540" s="120"/>
      <c r="E540" s="120"/>
      <c r="F540" s="114">
        <f>IF(A540="","",F539+E540-D540)</f>
      </c>
      <c r="G540" s="129"/>
      <c r="H540" s="132"/>
    </row>
    <row r="541" spans="1:8" ht="12.75">
      <c r="A541" s="137"/>
      <c r="B541" s="124"/>
      <c r="C541" s="116"/>
      <c r="D541" s="120"/>
      <c r="E541" s="120"/>
      <c r="F541" s="114">
        <f>IF(A541="","",F540+E541-D541)</f>
      </c>
      <c r="G541" s="129"/>
      <c r="H541" s="132"/>
    </row>
    <row r="542" spans="1:8" ht="12.75">
      <c r="A542" s="137"/>
      <c r="B542" s="124"/>
      <c r="C542" s="116"/>
      <c r="D542" s="120"/>
      <c r="E542" s="120"/>
      <c r="F542" s="114">
        <f>IF(A542="","",F541+E542-D542)</f>
      </c>
      <c r="G542" s="129"/>
      <c r="H542" s="132"/>
    </row>
    <row r="543" spans="1:8" ht="12.75">
      <c r="A543" s="137"/>
      <c r="B543" s="124"/>
      <c r="C543" s="116"/>
      <c r="D543" s="120"/>
      <c r="E543" s="120"/>
      <c r="F543" s="114">
        <f>IF(A543="","",F542+E543-D543)</f>
      </c>
      <c r="G543" s="129"/>
      <c r="H543" s="132"/>
    </row>
    <row r="544" spans="1:8" ht="12.75">
      <c r="A544" s="137"/>
      <c r="B544" s="124"/>
      <c r="C544" s="116"/>
      <c r="D544" s="120"/>
      <c r="E544" s="120"/>
      <c r="F544" s="114">
        <f>IF(A544="","",F543+E544-D544)</f>
      </c>
      <c r="G544" s="129"/>
      <c r="H544" s="132"/>
    </row>
    <row r="545" spans="1:8" ht="12.75">
      <c r="A545" s="137"/>
      <c r="B545" s="124"/>
      <c r="C545" s="116"/>
      <c r="D545" s="120"/>
      <c r="E545" s="120"/>
      <c r="F545" s="114">
        <f>IF(A545="","",F544+E545-D545)</f>
      </c>
      <c r="G545" s="129"/>
      <c r="H545" s="132"/>
    </row>
    <row r="546" spans="1:8" ht="12.75">
      <c r="A546" s="137"/>
      <c r="B546" s="124"/>
      <c r="C546" s="116"/>
      <c r="D546" s="120"/>
      <c r="E546" s="120"/>
      <c r="F546" s="114">
        <f>IF(A546="","",F545+E546-D546)</f>
      </c>
      <c r="G546" s="129"/>
      <c r="H546" s="132"/>
    </row>
    <row r="547" spans="1:8" ht="12.75">
      <c r="A547" s="137"/>
      <c r="B547" s="124"/>
      <c r="C547" s="116"/>
      <c r="D547" s="120"/>
      <c r="E547" s="120"/>
      <c r="F547" s="114">
        <f>IF(A547="","",F546+E547-D547)</f>
      </c>
      <c r="G547" s="129"/>
      <c r="H547" s="132"/>
    </row>
    <row r="548" spans="1:8" ht="12.75">
      <c r="A548" s="137"/>
      <c r="B548" s="124"/>
      <c r="C548" s="116"/>
      <c r="D548" s="120"/>
      <c r="E548" s="120"/>
      <c r="F548" s="114">
        <f>IF(A548="","",F547+E548-D548)</f>
      </c>
      <c r="G548" s="129"/>
      <c r="H548" s="132"/>
    </row>
    <row r="549" spans="1:8" ht="12.75">
      <c r="A549" s="137"/>
      <c r="B549" s="124"/>
      <c r="C549" s="116"/>
      <c r="D549" s="120"/>
      <c r="E549" s="120"/>
      <c r="F549" s="114">
        <f>IF(A549="","",F548+E549-D549)</f>
      </c>
      <c r="G549" s="129"/>
      <c r="H549" s="132"/>
    </row>
    <row r="550" spans="1:8" ht="12.75">
      <c r="A550" s="137"/>
      <c r="B550" s="124"/>
      <c r="C550" s="116"/>
      <c r="D550" s="120"/>
      <c r="E550" s="120"/>
      <c r="F550" s="114">
        <f>IF(A550="","",F549+E550-D550)</f>
      </c>
      <c r="G550" s="129"/>
      <c r="H550" s="132"/>
    </row>
    <row r="551" spans="1:8" ht="12.75">
      <c r="A551" s="137"/>
      <c r="B551" s="124"/>
      <c r="C551" s="116"/>
      <c r="D551" s="120"/>
      <c r="E551" s="120"/>
      <c r="F551" s="114">
        <f>IF(A551="","",F550+E551-D551)</f>
      </c>
      <c r="G551" s="129"/>
      <c r="H551" s="132"/>
    </row>
    <row r="552" spans="1:8" ht="12.75">
      <c r="A552" s="137"/>
      <c r="B552" s="124"/>
      <c r="C552" s="116"/>
      <c r="D552" s="120"/>
      <c r="E552" s="120"/>
      <c r="F552" s="114">
        <f>IF(A552="","",F551+E552-D552)</f>
      </c>
      <c r="G552" s="129"/>
      <c r="H552" s="132"/>
    </row>
    <row r="553" spans="1:8" ht="12.75">
      <c r="A553" s="137"/>
      <c r="B553" s="124"/>
      <c r="C553" s="116"/>
      <c r="D553" s="120"/>
      <c r="E553" s="120"/>
      <c r="F553" s="114">
        <f>IF(A553="","",F552+E553-D553)</f>
      </c>
      <c r="G553" s="129"/>
      <c r="H553" s="132"/>
    </row>
    <row r="554" spans="1:8" ht="12.75">
      <c r="A554" s="137"/>
      <c r="B554" s="124"/>
      <c r="C554" s="116"/>
      <c r="D554" s="120"/>
      <c r="E554" s="120"/>
      <c r="F554" s="114">
        <f>IF(A554="","",F553+E554-D554)</f>
      </c>
      <c r="G554" s="129"/>
      <c r="H554" s="132"/>
    </row>
    <row r="555" spans="1:8" ht="12.75">
      <c r="A555" s="137"/>
      <c r="B555" s="124"/>
      <c r="C555" s="116"/>
      <c r="D555" s="120"/>
      <c r="E555" s="120"/>
      <c r="F555" s="114">
        <f>IF(A555="","",F554+E555-D555)</f>
      </c>
      <c r="G555" s="129"/>
      <c r="H555" s="132"/>
    </row>
    <row r="556" spans="1:8" ht="12.75">
      <c r="A556" s="137"/>
      <c r="B556" s="124"/>
      <c r="C556" s="116"/>
      <c r="D556" s="120"/>
      <c r="E556" s="120"/>
      <c r="F556" s="114">
        <f>IF(A556="","",F555+E556-D556)</f>
      </c>
      <c r="G556" s="129"/>
      <c r="H556" s="132"/>
    </row>
    <row r="557" spans="1:8" ht="12.75">
      <c r="A557" s="137"/>
      <c r="B557" s="124"/>
      <c r="C557" s="116"/>
      <c r="D557" s="120"/>
      <c r="E557" s="120"/>
      <c r="F557" s="114">
        <f>IF(A557="","",F556+E557-D557)</f>
      </c>
      <c r="G557" s="129"/>
      <c r="H557" s="132"/>
    </row>
    <row r="558" spans="1:8" ht="12.75">
      <c r="A558" s="137"/>
      <c r="B558" s="124"/>
      <c r="C558" s="116"/>
      <c r="D558" s="120"/>
      <c r="E558" s="120"/>
      <c r="F558" s="114">
        <f>IF(A558="","",F557+E558-D558)</f>
      </c>
      <c r="G558" s="129"/>
      <c r="H558" s="132"/>
    </row>
    <row r="559" spans="1:8" ht="12.75">
      <c r="A559" s="137"/>
      <c r="B559" s="124"/>
      <c r="C559" s="116"/>
      <c r="D559" s="120"/>
      <c r="E559" s="120"/>
      <c r="F559" s="114">
        <f>IF(A559="","",F558+E559-D559)</f>
      </c>
      <c r="G559" s="129"/>
      <c r="H559" s="132"/>
    </row>
    <row r="560" spans="1:8" ht="12.75">
      <c r="A560" s="137"/>
      <c r="B560" s="124"/>
      <c r="C560" s="116"/>
      <c r="D560" s="120"/>
      <c r="E560" s="120"/>
      <c r="F560" s="114">
        <f>IF(A560="","",F559+E560-D560)</f>
      </c>
      <c r="G560" s="129"/>
      <c r="H560" s="132"/>
    </row>
    <row r="561" spans="1:8" ht="12.75">
      <c r="A561" s="137"/>
      <c r="B561" s="124"/>
      <c r="C561" s="116"/>
      <c r="D561" s="120"/>
      <c r="E561" s="120"/>
      <c r="F561" s="114">
        <f>IF(A561="","",F560+E561-D561)</f>
      </c>
      <c r="G561" s="129"/>
      <c r="H561" s="132"/>
    </row>
    <row r="562" spans="1:8" ht="12.75">
      <c r="A562" s="137"/>
      <c r="B562" s="124"/>
      <c r="C562" s="116"/>
      <c r="D562" s="120"/>
      <c r="E562" s="120"/>
      <c r="F562" s="114">
        <f>IF(A562="","",F561+E562-D562)</f>
      </c>
      <c r="G562" s="129"/>
      <c r="H562" s="132"/>
    </row>
    <row r="563" spans="1:8" ht="12.75">
      <c r="A563" s="137"/>
      <c r="B563" s="124"/>
      <c r="C563" s="116"/>
      <c r="D563" s="120"/>
      <c r="E563" s="120"/>
      <c r="F563" s="114">
        <f>IF(A563="","",F562+E563-D563)</f>
      </c>
      <c r="G563" s="129"/>
      <c r="H563" s="132"/>
    </row>
    <row r="564" spans="1:8" ht="12.75">
      <c r="A564" s="137"/>
      <c r="B564" s="124"/>
      <c r="C564" s="116"/>
      <c r="D564" s="120"/>
      <c r="E564" s="120"/>
      <c r="F564" s="114">
        <f>IF(A564="","",F563+E564-D564)</f>
      </c>
      <c r="G564" s="129"/>
      <c r="H564" s="132"/>
    </row>
    <row r="565" spans="1:8" ht="12.75">
      <c r="A565" s="137"/>
      <c r="B565" s="124"/>
      <c r="C565" s="116"/>
      <c r="D565" s="120"/>
      <c r="E565" s="120"/>
      <c r="F565" s="114">
        <f>IF(A565="","",F564+E565-D565)</f>
      </c>
      <c r="G565" s="129"/>
      <c r="H565" s="132"/>
    </row>
    <row r="566" spans="1:7" ht="12.75">
      <c r="A566" s="137"/>
      <c r="B566" s="124"/>
      <c r="C566" s="116"/>
      <c r="D566" s="120"/>
      <c r="E566" s="120"/>
      <c r="F566" s="114">
        <f>IF(A566="","",F565+E566-D566)</f>
      </c>
      <c r="G566" s="129" t="e">
        <f aca="true" t="shared" si="2" ref="G566:G572">IF(#REF!="",-#REF!+#REF!,"")</f>
        <v>#REF!</v>
      </c>
    </row>
    <row r="567" spans="1:7" ht="12.75">
      <c r="A567" s="137"/>
      <c r="B567" s="124"/>
      <c r="C567" s="116"/>
      <c r="D567" s="120"/>
      <c r="E567" s="125"/>
      <c r="F567" s="114">
        <f>IF(A567="","",F566+E567-D567)</f>
      </c>
      <c r="G567" s="129" t="e">
        <f t="shared" si="2"/>
        <v>#REF!</v>
      </c>
    </row>
    <row r="568" spans="1:7" ht="12.75">
      <c r="A568" s="137"/>
      <c r="B568" s="138"/>
      <c r="C568" s="139"/>
      <c r="D568" s="120"/>
      <c r="E568" s="120"/>
      <c r="F568" s="114">
        <f>IF(A568="","",F567+E568-D568)</f>
      </c>
      <c r="G568" s="129" t="e">
        <f t="shared" si="2"/>
        <v>#REF!</v>
      </c>
    </row>
    <row r="569" spans="1:7" ht="12.75">
      <c r="A569" s="137"/>
      <c r="B569" s="124"/>
      <c r="C569" s="140"/>
      <c r="D569" s="120"/>
      <c r="E569" s="120"/>
      <c r="F569" s="114">
        <f>IF(A569="","",F568+E569-D569)</f>
      </c>
      <c r="G569" s="129" t="e">
        <f t="shared" si="2"/>
        <v>#REF!</v>
      </c>
    </row>
    <row r="570" spans="1:7" ht="12.75">
      <c r="A570" s="137"/>
      <c r="B570" s="124"/>
      <c r="C570" s="140"/>
      <c r="D570" s="120"/>
      <c r="E570" s="120"/>
      <c r="F570" s="114">
        <f>IF(A570="","",F569+E570-D570)</f>
      </c>
      <c r="G570" s="129" t="e">
        <f t="shared" si="2"/>
        <v>#REF!</v>
      </c>
    </row>
    <row r="571" spans="1:7" ht="12.75">
      <c r="A571" s="137"/>
      <c r="B571" s="124"/>
      <c r="C571" s="140"/>
      <c r="D571" s="120"/>
      <c r="E571" s="120"/>
      <c r="F571" s="114">
        <f>IF(A571="","",F570+E571-D571)</f>
      </c>
      <c r="G571" s="129" t="e">
        <f t="shared" si="2"/>
        <v>#REF!</v>
      </c>
    </row>
    <row r="572" spans="1:7" ht="12.75">
      <c r="A572" s="137"/>
      <c r="B572" s="124"/>
      <c r="C572" s="140"/>
      <c r="D572" s="120"/>
      <c r="E572" s="120"/>
      <c r="F572" s="114">
        <f>IF(A572="","",F571+E572-D572)</f>
      </c>
      <c r="G572" s="129" t="e">
        <f t="shared" si="2"/>
        <v>#REF!</v>
      </c>
    </row>
    <row r="573" spans="1:7" ht="12.75">
      <c r="A573" s="137"/>
      <c r="B573" s="124"/>
      <c r="C573" s="140"/>
      <c r="D573" s="120"/>
      <c r="E573" s="120"/>
      <c r="F573" s="114">
        <f>IF(A573="","",F572+E573-D573)</f>
      </c>
      <c r="G573" s="129"/>
    </row>
    <row r="574" spans="1:7" ht="12.75">
      <c r="A574" s="137"/>
      <c r="B574" s="124"/>
      <c r="C574" s="140"/>
      <c r="D574" s="120"/>
      <c r="E574" s="120"/>
      <c r="F574" s="114">
        <f>IF(A574="","",F573+E574-D574)</f>
      </c>
      <c r="G574" s="129"/>
    </row>
    <row r="575" spans="1:7" ht="12.75">
      <c r="A575" s="137"/>
      <c r="B575" s="124"/>
      <c r="C575" s="140"/>
      <c r="D575" s="120"/>
      <c r="E575" s="120"/>
      <c r="F575" s="114">
        <f>IF(A575="","",F574+E575-D575)</f>
      </c>
      <c r="G575" s="129"/>
    </row>
    <row r="576" spans="1:7" ht="12.75">
      <c r="A576" s="137"/>
      <c r="B576" s="124"/>
      <c r="C576" s="140"/>
      <c r="D576" s="120"/>
      <c r="E576" s="120"/>
      <c r="F576" s="114">
        <f>IF(A576="","",F575+E576-D576)</f>
      </c>
      <c r="G576" s="129" t="e">
        <f aca="true" t="shared" si="3" ref="G576:G599">IF(#REF!="",-#REF!+#REF!,"")</f>
        <v>#REF!</v>
      </c>
    </row>
    <row r="577" spans="1:7" ht="12.75">
      <c r="A577" s="137"/>
      <c r="B577" s="124"/>
      <c r="C577" s="140"/>
      <c r="D577" s="120"/>
      <c r="E577" s="120"/>
      <c r="F577" s="114">
        <f>IF(A577="","",F576+E577-D577)</f>
      </c>
      <c r="G577" s="129" t="e">
        <f t="shared" si="3"/>
        <v>#REF!</v>
      </c>
    </row>
    <row r="578" spans="1:7" ht="12.75">
      <c r="A578" s="137"/>
      <c r="B578" s="124"/>
      <c r="C578" s="140"/>
      <c r="D578" s="120"/>
      <c r="E578" s="120"/>
      <c r="F578" s="114">
        <f>IF(A578="","",F577+E578-D578)</f>
      </c>
      <c r="G578" s="129" t="e">
        <f t="shared" si="3"/>
        <v>#REF!</v>
      </c>
    </row>
    <row r="579" spans="1:7" ht="12.75">
      <c r="A579" s="137"/>
      <c r="B579" s="124"/>
      <c r="C579" s="140"/>
      <c r="D579" s="120"/>
      <c r="E579" s="120"/>
      <c r="F579" s="114">
        <f>IF(A579="","",F578+E579-D579)</f>
      </c>
      <c r="G579" s="129" t="e">
        <f t="shared" si="3"/>
        <v>#REF!</v>
      </c>
    </row>
    <row r="580" spans="1:7" ht="12.75">
      <c r="A580" s="137"/>
      <c r="B580" s="124"/>
      <c r="C580" s="140"/>
      <c r="D580" s="120"/>
      <c r="E580" s="120"/>
      <c r="F580" s="114">
        <f>IF(A580="","",F579+E580-D580)</f>
      </c>
      <c r="G580" s="129" t="e">
        <f t="shared" si="3"/>
        <v>#REF!</v>
      </c>
    </row>
    <row r="581" spans="1:7" ht="12.75">
      <c r="A581" s="137"/>
      <c r="B581" s="124"/>
      <c r="C581" s="140"/>
      <c r="D581" s="120"/>
      <c r="E581" s="120"/>
      <c r="F581" s="114">
        <f>IF(A581="","",F580+E581-D581)</f>
      </c>
      <c r="G581" s="129" t="e">
        <f t="shared" si="3"/>
        <v>#REF!</v>
      </c>
    </row>
    <row r="582" spans="1:7" ht="12.75">
      <c r="A582" s="137"/>
      <c r="B582" s="124"/>
      <c r="C582" s="140"/>
      <c r="D582" s="120"/>
      <c r="E582" s="120"/>
      <c r="F582" s="114">
        <f>IF(A582="","",F581+E582-D582)</f>
      </c>
      <c r="G582" s="129" t="e">
        <f t="shared" si="3"/>
        <v>#REF!</v>
      </c>
    </row>
    <row r="583" spans="1:7" ht="12.75">
      <c r="A583" s="137"/>
      <c r="B583" s="124"/>
      <c r="C583" s="140"/>
      <c r="D583" s="120"/>
      <c r="E583" s="120"/>
      <c r="F583" s="114">
        <f>IF(A583="","",F582+E583-D583)</f>
      </c>
      <c r="G583" s="129" t="e">
        <f t="shared" si="3"/>
        <v>#REF!</v>
      </c>
    </row>
    <row r="584" spans="1:7" ht="12.75">
      <c r="A584" s="141"/>
      <c r="B584" s="124"/>
      <c r="C584" s="140"/>
      <c r="D584" s="120"/>
      <c r="E584" s="120"/>
      <c r="F584" s="114">
        <f>IF(A584="","",F583+E584-D584)</f>
      </c>
      <c r="G584" s="129" t="e">
        <f t="shared" si="3"/>
        <v>#REF!</v>
      </c>
    </row>
    <row r="585" spans="1:7" ht="12.75">
      <c r="A585" s="141"/>
      <c r="B585" s="124"/>
      <c r="C585" s="140"/>
      <c r="D585" s="120"/>
      <c r="E585" s="120"/>
      <c r="F585" s="114">
        <f>IF(A585="","",F584+E585-D585)</f>
      </c>
      <c r="G585" s="129" t="e">
        <f t="shared" si="3"/>
        <v>#REF!</v>
      </c>
    </row>
    <row r="586" spans="1:7" ht="12.75">
      <c r="A586" s="141"/>
      <c r="B586" s="124"/>
      <c r="C586" s="140"/>
      <c r="D586" s="120"/>
      <c r="E586" s="120"/>
      <c r="F586" s="114">
        <f>IF(A586="","",F585+E586-D586)</f>
      </c>
      <c r="G586" s="129" t="e">
        <f t="shared" si="3"/>
        <v>#REF!</v>
      </c>
    </row>
    <row r="587" spans="1:7" ht="12.75">
      <c r="A587" s="141"/>
      <c r="B587" s="124"/>
      <c r="C587" s="140"/>
      <c r="D587" s="120"/>
      <c r="E587" s="120"/>
      <c r="F587" s="114">
        <f>IF(A587="","",F586+E587-D587)</f>
      </c>
      <c r="G587" s="129" t="e">
        <f t="shared" si="3"/>
        <v>#REF!</v>
      </c>
    </row>
    <row r="588" spans="1:7" ht="12.75">
      <c r="A588" s="141"/>
      <c r="B588" s="124"/>
      <c r="C588" s="140"/>
      <c r="D588" s="120"/>
      <c r="E588" s="120"/>
      <c r="F588" s="114">
        <f>IF(A588="","",F587+E588-D588)</f>
      </c>
      <c r="G588" s="129" t="e">
        <f t="shared" si="3"/>
        <v>#REF!</v>
      </c>
    </row>
    <row r="589" spans="1:7" ht="12.75">
      <c r="A589" s="141"/>
      <c r="B589" s="124"/>
      <c r="C589" s="140"/>
      <c r="D589" s="120"/>
      <c r="E589" s="120"/>
      <c r="F589" s="114">
        <f>IF(A589="","",F588+E589-D589)</f>
      </c>
      <c r="G589" s="129" t="e">
        <f t="shared" si="3"/>
        <v>#REF!</v>
      </c>
    </row>
    <row r="590" spans="1:7" ht="12.75">
      <c r="A590" s="141"/>
      <c r="B590" s="124"/>
      <c r="C590" s="140"/>
      <c r="D590" s="120"/>
      <c r="E590" s="120"/>
      <c r="F590" s="114">
        <f>IF(A590="","",F589+E590-D590)</f>
      </c>
      <c r="G590" s="129" t="e">
        <f t="shared" si="3"/>
        <v>#REF!</v>
      </c>
    </row>
    <row r="591" spans="1:7" ht="12.75">
      <c r="A591" s="141"/>
      <c r="B591" s="124"/>
      <c r="C591" s="140"/>
      <c r="D591" s="120"/>
      <c r="E591" s="120"/>
      <c r="F591" s="114">
        <f>IF(A591="","",F590+E591-D591)</f>
      </c>
      <c r="G591" s="129" t="e">
        <f t="shared" si="3"/>
        <v>#REF!</v>
      </c>
    </row>
    <row r="592" spans="1:7" ht="12.75">
      <c r="A592" s="141"/>
      <c r="B592" s="124"/>
      <c r="C592" s="140"/>
      <c r="D592" s="120"/>
      <c r="E592" s="120"/>
      <c r="F592" s="114">
        <f>IF(A592="","",F591+E592-D592)</f>
      </c>
      <c r="G592" s="129" t="e">
        <f t="shared" si="3"/>
        <v>#REF!</v>
      </c>
    </row>
    <row r="593" spans="1:7" ht="12.75">
      <c r="A593" s="141"/>
      <c r="B593" s="124"/>
      <c r="C593" s="140"/>
      <c r="D593" s="120"/>
      <c r="E593" s="120"/>
      <c r="F593" s="114">
        <f>IF(A593="","",F592+E593-D593)</f>
      </c>
      <c r="G593" s="129" t="e">
        <f t="shared" si="3"/>
        <v>#REF!</v>
      </c>
    </row>
    <row r="594" spans="1:7" ht="12.75">
      <c r="A594" s="141"/>
      <c r="B594" s="124"/>
      <c r="C594" s="140"/>
      <c r="D594" s="120"/>
      <c r="E594" s="120"/>
      <c r="F594" s="114">
        <f>IF(A594="","",F593+E594-D594)</f>
      </c>
      <c r="G594" s="129" t="e">
        <f t="shared" si="3"/>
        <v>#REF!</v>
      </c>
    </row>
    <row r="595" spans="1:7" ht="12.75">
      <c r="A595" s="141"/>
      <c r="B595" s="124"/>
      <c r="C595" s="140"/>
      <c r="D595" s="120"/>
      <c r="E595" s="120"/>
      <c r="F595" s="114">
        <f>IF(A595="","",F594+E595-D595)</f>
      </c>
      <c r="G595" s="129" t="e">
        <f t="shared" si="3"/>
        <v>#REF!</v>
      </c>
    </row>
    <row r="596" spans="1:7" ht="12.75">
      <c r="A596" s="141"/>
      <c r="B596" s="124"/>
      <c r="C596" s="140"/>
      <c r="D596" s="120"/>
      <c r="E596" s="120"/>
      <c r="F596" s="114">
        <f>IF(A596="","",F595+E596-D596)</f>
      </c>
      <c r="G596" s="129" t="e">
        <f t="shared" si="3"/>
        <v>#REF!</v>
      </c>
    </row>
    <row r="597" spans="1:7" ht="12.75">
      <c r="A597" s="141"/>
      <c r="B597" s="124"/>
      <c r="C597" s="140"/>
      <c r="D597" s="120"/>
      <c r="E597" s="120"/>
      <c r="F597" s="114">
        <f>IF(A597="","",F596+E597-D597)</f>
      </c>
      <c r="G597" s="129" t="e">
        <f t="shared" si="3"/>
        <v>#REF!</v>
      </c>
    </row>
    <row r="598" spans="1:7" ht="12.75">
      <c r="A598" s="141"/>
      <c r="B598" s="124"/>
      <c r="C598" s="140"/>
      <c r="D598" s="120"/>
      <c r="E598" s="120"/>
      <c r="F598" s="114">
        <f>IF(A598="","",F597+E598-D598)</f>
      </c>
      <c r="G598" s="129" t="e">
        <f t="shared" si="3"/>
        <v>#REF!</v>
      </c>
    </row>
    <row r="599" spans="1:7" ht="12.75">
      <c r="A599" s="141"/>
      <c r="B599" s="142" t="s">
        <v>139</v>
      </c>
      <c r="C599" s="142" t="s">
        <v>139</v>
      </c>
      <c r="D599" s="120"/>
      <c r="E599" s="120"/>
      <c r="F599" s="114">
        <f>IF(A599="","",F598+E599-D599)</f>
      </c>
      <c r="G599" s="129" t="e">
        <f t="shared" si="3"/>
        <v>#REF!</v>
      </c>
    </row>
  </sheetData>
  <sheetProtection sheet="1" objects="1" scenarios="1" selectLockedCells="1"/>
  <mergeCells count="3">
    <mergeCell ref="B1:E1"/>
    <mergeCell ref="B2:F2"/>
    <mergeCell ref="B3:E3"/>
  </mergeCells>
  <printOptions gridLines="1" horizontalCentered="1"/>
  <pageMargins left="0.19652777777777777" right="0.19652777777777777" top="0.5902777777777778" bottom="0.9055555555555554" header="0.5118055555555555" footer="0.2361111111111111"/>
  <pageSetup horizontalDpi="300" verticalDpi="300" orientation="portrait" paperSize="9" scale="98"/>
  <headerFooter alignWithMargins="0">
    <oddFooter>&amp;C&amp;8Page &amp;P /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3:F56"/>
  <sheetViews>
    <sheetView tabSelected="1" zoomScalePageLayoutView="0" workbookViewId="0" topLeftCell="A1">
      <selection activeCell="F5" sqref="F5"/>
    </sheetView>
  </sheetViews>
  <sheetFormatPr defaultColWidth="11.421875" defaultRowHeight="12"/>
  <cols>
    <col min="1" max="1" width="11.28125" style="0" bestFit="1" customWidth="1"/>
    <col min="3" max="3" width="6.7109375" style="0" bestFit="1" customWidth="1"/>
    <col min="4" max="4" width="14.00390625" style="0" bestFit="1" customWidth="1"/>
    <col min="5" max="5" width="14.421875" style="0" bestFit="1" customWidth="1"/>
    <col min="6" max="7" width="14.57421875" style="0" bestFit="1" customWidth="1"/>
  </cols>
  <sheetData>
    <row r="3" spans="1:6" ht="12">
      <c r="A3" s="431"/>
      <c r="B3" s="432"/>
      <c r="C3" s="432"/>
      <c r="D3" s="435" t="s">
        <v>517</v>
      </c>
      <c r="E3" s="432"/>
      <c r="F3" s="433"/>
    </row>
    <row r="4" spans="1:6" ht="12">
      <c r="A4" s="435" t="s">
        <v>504</v>
      </c>
      <c r="B4" s="435" t="s">
        <v>106</v>
      </c>
      <c r="C4" s="435" t="s">
        <v>104</v>
      </c>
      <c r="D4" s="431" t="s">
        <v>518</v>
      </c>
      <c r="E4" s="444" t="s">
        <v>519</v>
      </c>
      <c r="F4" s="439" t="s">
        <v>520</v>
      </c>
    </row>
    <row r="5" spans="1:6" ht="12">
      <c r="A5" s="431" t="s">
        <v>516</v>
      </c>
      <c r="B5" s="432"/>
      <c r="C5" s="432"/>
      <c r="D5" s="440"/>
      <c r="E5" s="445"/>
      <c r="F5" s="441">
        <v>0</v>
      </c>
    </row>
    <row r="6" spans="1:6" ht="12">
      <c r="A6" s="431" t="s">
        <v>508</v>
      </c>
      <c r="B6" s="431" t="s">
        <v>155</v>
      </c>
      <c r="C6" s="431" t="s">
        <v>509</v>
      </c>
      <c r="D6" s="440">
        <v>100</v>
      </c>
      <c r="E6" s="445"/>
      <c r="F6" s="441">
        <v>-94.14</v>
      </c>
    </row>
    <row r="7" spans="1:6" ht="12">
      <c r="A7" s="434"/>
      <c r="B7" s="431" t="s">
        <v>97</v>
      </c>
      <c r="C7" s="431" t="s">
        <v>510</v>
      </c>
      <c r="D7" s="440">
        <v>82.56</v>
      </c>
      <c r="E7" s="445"/>
      <c r="F7" s="441">
        <v>620.3</v>
      </c>
    </row>
    <row r="8" spans="1:6" ht="12">
      <c r="A8" s="434"/>
      <c r="B8" s="431" t="s">
        <v>33</v>
      </c>
      <c r="C8" s="431" t="s">
        <v>511</v>
      </c>
      <c r="D8" s="440">
        <v>16.14</v>
      </c>
      <c r="E8" s="445"/>
      <c r="F8" s="441">
        <v>-16.14</v>
      </c>
    </row>
    <row r="9" spans="1:6" ht="12">
      <c r="A9" s="434"/>
      <c r="B9" s="431" t="s">
        <v>120</v>
      </c>
      <c r="C9" s="431" t="s">
        <v>510</v>
      </c>
      <c r="D9" s="440"/>
      <c r="E9" s="445">
        <v>13</v>
      </c>
      <c r="F9" s="441">
        <v>338.77</v>
      </c>
    </row>
    <row r="10" spans="1:6" ht="12">
      <c r="A10" s="434"/>
      <c r="B10" s="431" t="s">
        <v>185</v>
      </c>
      <c r="C10" s="431" t="s">
        <v>510</v>
      </c>
      <c r="D10" s="440">
        <v>75</v>
      </c>
      <c r="E10" s="445"/>
      <c r="F10" s="441">
        <v>209.76999999999998</v>
      </c>
    </row>
    <row r="11" spans="1:6" ht="12">
      <c r="A11" s="434"/>
      <c r="B11" s="431" t="s">
        <v>114</v>
      </c>
      <c r="C11" s="431" t="s">
        <v>511</v>
      </c>
      <c r="D11" s="440">
        <v>24</v>
      </c>
      <c r="E11" s="445"/>
      <c r="F11" s="441">
        <v>-40.14</v>
      </c>
    </row>
    <row r="12" spans="1:6" ht="12">
      <c r="A12" s="434"/>
      <c r="B12" s="434"/>
      <c r="C12" s="436" t="s">
        <v>509</v>
      </c>
      <c r="D12" s="447">
        <v>215</v>
      </c>
      <c r="E12" s="449"/>
      <c r="F12" s="448">
        <v>-578.1</v>
      </c>
    </row>
    <row r="13" spans="1:6" ht="12">
      <c r="A13" s="434"/>
      <c r="B13" s="434"/>
      <c r="C13" s="436" t="s">
        <v>510</v>
      </c>
      <c r="D13" s="447">
        <v>169</v>
      </c>
      <c r="E13" s="449">
        <v>210.1</v>
      </c>
      <c r="F13" s="448">
        <v>1383.37</v>
      </c>
    </row>
    <row r="14" spans="1:6" ht="12">
      <c r="A14" s="434"/>
      <c r="B14" s="431" t="s">
        <v>151</v>
      </c>
      <c r="C14" s="431" t="s">
        <v>509</v>
      </c>
      <c r="D14" s="440">
        <v>50.26</v>
      </c>
      <c r="E14" s="445">
        <v>86.25999999999999</v>
      </c>
      <c r="F14" s="441">
        <v>-277.68000000000006</v>
      </c>
    </row>
    <row r="15" spans="1:6" ht="12">
      <c r="A15" s="434"/>
      <c r="B15" s="431" t="s">
        <v>163</v>
      </c>
      <c r="C15" s="431" t="s">
        <v>509</v>
      </c>
      <c r="D15" s="440"/>
      <c r="E15" s="445">
        <v>143</v>
      </c>
      <c r="F15" s="441">
        <v>8.859999999999985</v>
      </c>
    </row>
    <row r="16" spans="1:6" ht="12">
      <c r="A16" s="434"/>
      <c r="B16" s="431" t="s">
        <v>112</v>
      </c>
      <c r="C16" s="431" t="s">
        <v>510</v>
      </c>
      <c r="D16" s="440">
        <v>1344</v>
      </c>
      <c r="E16" s="445">
        <v>1669</v>
      </c>
      <c r="F16" s="441">
        <v>398.4699999999997</v>
      </c>
    </row>
    <row r="17" spans="1:6" ht="12">
      <c r="A17" s="434"/>
      <c r="B17" s="431" t="s">
        <v>176</v>
      </c>
      <c r="C17" s="431" t="s">
        <v>510</v>
      </c>
      <c r="D17" s="440">
        <v>34.79</v>
      </c>
      <c r="E17" s="445"/>
      <c r="F17" s="441">
        <v>232.27999999999994</v>
      </c>
    </row>
    <row r="18" spans="1:6" ht="12">
      <c r="A18" s="434"/>
      <c r="B18" s="431" t="s">
        <v>16</v>
      </c>
      <c r="C18" s="431" t="s">
        <v>510</v>
      </c>
      <c r="D18" s="440"/>
      <c r="E18" s="445">
        <v>100</v>
      </c>
      <c r="F18" s="441">
        <v>702.86</v>
      </c>
    </row>
    <row r="19" spans="1:6" ht="12">
      <c r="A19" s="434"/>
      <c r="B19" s="431" t="s">
        <v>135</v>
      </c>
      <c r="C19" s="431" t="s">
        <v>509</v>
      </c>
      <c r="D19" s="440"/>
      <c r="E19" s="445">
        <v>25</v>
      </c>
      <c r="F19" s="441">
        <v>-15.14</v>
      </c>
    </row>
    <row r="20" spans="1:6" ht="12">
      <c r="A20" s="434"/>
      <c r="B20" s="431" t="s">
        <v>502</v>
      </c>
      <c r="C20" s="431" t="s">
        <v>511</v>
      </c>
      <c r="D20" s="440">
        <v>0</v>
      </c>
      <c r="E20" s="445">
        <v>0</v>
      </c>
      <c r="F20" s="441"/>
    </row>
    <row r="21" spans="1:6" ht="12">
      <c r="A21" s="431" t="s">
        <v>505</v>
      </c>
      <c r="B21" s="431" t="s">
        <v>9</v>
      </c>
      <c r="C21" s="431" t="s">
        <v>506</v>
      </c>
      <c r="D21" s="440"/>
      <c r="E21" s="445">
        <v>24</v>
      </c>
      <c r="F21" s="441">
        <v>3073.11</v>
      </c>
    </row>
    <row r="22" spans="1:6" ht="12">
      <c r="A22" s="434"/>
      <c r="B22" s="434"/>
      <c r="C22" s="436" t="s">
        <v>507</v>
      </c>
      <c r="D22" s="447"/>
      <c r="E22" s="449">
        <v>72</v>
      </c>
      <c r="F22" s="448">
        <v>9103.44</v>
      </c>
    </row>
    <row r="23" spans="1:6" ht="12">
      <c r="A23" s="434"/>
      <c r="B23" s="431" t="s">
        <v>33</v>
      </c>
      <c r="C23" s="431" t="s">
        <v>506</v>
      </c>
      <c r="D23" s="440">
        <v>46.3</v>
      </c>
      <c r="E23" s="445"/>
      <c r="F23" s="441">
        <v>88.90999999999998</v>
      </c>
    </row>
    <row r="24" spans="1:6" ht="12">
      <c r="A24" s="434"/>
      <c r="B24" s="434"/>
      <c r="C24" s="436" t="s">
        <v>512</v>
      </c>
      <c r="D24" s="447">
        <v>35.1</v>
      </c>
      <c r="E24" s="449"/>
      <c r="F24" s="448">
        <v>224.9</v>
      </c>
    </row>
    <row r="25" spans="1:6" ht="12">
      <c r="A25" s="434"/>
      <c r="B25" s="434"/>
      <c r="C25" s="436" t="s">
        <v>513</v>
      </c>
      <c r="D25" s="447">
        <v>22.95</v>
      </c>
      <c r="E25" s="449"/>
      <c r="F25" s="448">
        <v>432.95</v>
      </c>
    </row>
    <row r="26" spans="1:6" ht="12">
      <c r="A26" s="434"/>
      <c r="B26" s="431" t="s">
        <v>222</v>
      </c>
      <c r="C26" s="431" t="s">
        <v>506</v>
      </c>
      <c r="D26" s="440"/>
      <c r="E26" s="445">
        <v>20</v>
      </c>
      <c r="F26" s="441">
        <v>3121.76</v>
      </c>
    </row>
    <row r="27" spans="1:6" ht="12">
      <c r="A27" s="434"/>
      <c r="B27" s="434"/>
      <c r="C27" s="436" t="s">
        <v>507</v>
      </c>
      <c r="D27" s="447"/>
      <c r="E27" s="449">
        <v>21</v>
      </c>
      <c r="F27" s="448">
        <v>2880.92</v>
      </c>
    </row>
    <row r="28" spans="1:6" ht="12">
      <c r="A28" s="434"/>
      <c r="B28" s="434"/>
      <c r="C28" s="436" t="s">
        <v>513</v>
      </c>
      <c r="D28" s="447"/>
      <c r="E28" s="449">
        <v>231</v>
      </c>
      <c r="F28" s="448">
        <v>455.9</v>
      </c>
    </row>
    <row r="29" spans="1:6" ht="12">
      <c r="A29" s="434"/>
      <c r="B29" s="434"/>
      <c r="C29" s="436" t="s">
        <v>514</v>
      </c>
      <c r="D29" s="447"/>
      <c r="E29" s="449">
        <v>90</v>
      </c>
      <c r="F29" s="448" t="e">
        <v>#VALUE!</v>
      </c>
    </row>
    <row r="30" spans="1:6" ht="12">
      <c r="A30" s="434"/>
      <c r="B30" s="431" t="s">
        <v>120</v>
      </c>
      <c r="C30" s="431" t="s">
        <v>506</v>
      </c>
      <c r="D30" s="440">
        <v>1128.66</v>
      </c>
      <c r="E30" s="445">
        <v>2822.9</v>
      </c>
      <c r="F30" s="441">
        <v>31426.050000000003</v>
      </c>
    </row>
    <row r="31" spans="1:6" ht="12">
      <c r="A31" s="434"/>
      <c r="B31" s="431" t="s">
        <v>185</v>
      </c>
      <c r="C31" s="431" t="s">
        <v>507</v>
      </c>
      <c r="D31" s="440"/>
      <c r="E31" s="445">
        <v>1</v>
      </c>
      <c r="F31" s="441">
        <v>3020.02</v>
      </c>
    </row>
    <row r="32" spans="1:6" ht="12">
      <c r="A32" s="434"/>
      <c r="B32" s="431" t="s">
        <v>114</v>
      </c>
      <c r="C32" s="431" t="s">
        <v>506</v>
      </c>
      <c r="D32" s="440">
        <v>52</v>
      </c>
      <c r="E32" s="445">
        <v>22</v>
      </c>
      <c r="F32" s="441">
        <v>12931.26</v>
      </c>
    </row>
    <row r="33" spans="1:6" ht="12">
      <c r="A33" s="434"/>
      <c r="B33" s="434"/>
      <c r="C33" s="436" t="s">
        <v>507</v>
      </c>
      <c r="D33" s="447"/>
      <c r="E33" s="449">
        <v>247.14</v>
      </c>
      <c r="F33" s="448">
        <v>15912.58</v>
      </c>
    </row>
    <row r="34" spans="1:6" ht="12">
      <c r="A34" s="434"/>
      <c r="B34" s="434"/>
      <c r="C34" s="436" t="s">
        <v>515</v>
      </c>
      <c r="D34" s="447">
        <v>280.7</v>
      </c>
      <c r="E34" s="449"/>
      <c r="F34" s="448">
        <v>11117.920000000002</v>
      </c>
    </row>
    <row r="35" spans="1:6" ht="12">
      <c r="A35" s="434"/>
      <c r="B35" s="434"/>
      <c r="C35" s="436" t="s">
        <v>513</v>
      </c>
      <c r="D35" s="447"/>
      <c r="E35" s="449">
        <v>51</v>
      </c>
      <c r="F35" s="448">
        <v>2260</v>
      </c>
    </row>
    <row r="36" spans="1:6" ht="12">
      <c r="A36" s="434"/>
      <c r="B36" s="431" t="s">
        <v>264</v>
      </c>
      <c r="C36" s="431" t="s">
        <v>515</v>
      </c>
      <c r="D36" s="440">
        <v>40.04</v>
      </c>
      <c r="E36" s="445"/>
      <c r="F36" s="441">
        <v>2943.58</v>
      </c>
    </row>
    <row r="37" spans="1:6" ht="12">
      <c r="A37" s="434"/>
      <c r="B37" s="431" t="s">
        <v>163</v>
      </c>
      <c r="C37" s="431" t="s">
        <v>506</v>
      </c>
      <c r="D37" s="440">
        <v>477</v>
      </c>
      <c r="E37" s="445">
        <v>435</v>
      </c>
      <c r="F37" s="441">
        <v>1388.7200000000003</v>
      </c>
    </row>
    <row r="38" spans="1:6" ht="12">
      <c r="A38" s="434"/>
      <c r="B38" s="434"/>
      <c r="C38" s="436" t="s">
        <v>515</v>
      </c>
      <c r="D38" s="447">
        <v>200</v>
      </c>
      <c r="E38" s="449">
        <v>247.1</v>
      </c>
      <c r="F38" s="448">
        <v>5608.9400000000005</v>
      </c>
    </row>
    <row r="39" spans="1:6" ht="12">
      <c r="A39" s="434"/>
      <c r="B39" s="434"/>
      <c r="C39" s="436" t="s">
        <v>514</v>
      </c>
      <c r="D39" s="447"/>
      <c r="E39" s="449">
        <v>63</v>
      </c>
      <c r="F39" s="448" t="e">
        <v>#VALUE!</v>
      </c>
    </row>
    <row r="40" spans="1:6" ht="12">
      <c r="A40" s="434"/>
      <c r="B40" s="431" t="s">
        <v>246</v>
      </c>
      <c r="C40" s="431" t="s">
        <v>507</v>
      </c>
      <c r="D40" s="440">
        <v>1281.72</v>
      </c>
      <c r="E40" s="445"/>
      <c r="F40" s="441">
        <v>2254.92</v>
      </c>
    </row>
    <row r="41" spans="1:6" ht="12">
      <c r="A41" s="434"/>
      <c r="B41" s="431" t="s">
        <v>260</v>
      </c>
      <c r="C41" s="431" t="s">
        <v>507</v>
      </c>
      <c r="D41" s="440">
        <v>9.38</v>
      </c>
      <c r="E41" s="445"/>
      <c r="F41" s="441">
        <v>2983.62</v>
      </c>
    </row>
    <row r="42" spans="1:6" ht="12">
      <c r="A42" s="434"/>
      <c r="B42" s="434"/>
      <c r="C42" s="436" t="s">
        <v>515</v>
      </c>
      <c r="D42" s="447">
        <v>26</v>
      </c>
      <c r="E42" s="449"/>
      <c r="F42" s="448">
        <v>3089</v>
      </c>
    </row>
    <row r="43" spans="1:6" ht="12">
      <c r="A43" s="434"/>
      <c r="B43" s="431" t="s">
        <v>112</v>
      </c>
      <c r="C43" s="431" t="s">
        <v>506</v>
      </c>
      <c r="D43" s="440">
        <v>562</v>
      </c>
      <c r="E43" s="445">
        <v>252</v>
      </c>
      <c r="F43" s="441">
        <v>12939.150000000001</v>
      </c>
    </row>
    <row r="44" spans="1:6" ht="12">
      <c r="A44" s="434"/>
      <c r="B44" s="434"/>
      <c r="C44" s="436" t="s">
        <v>507</v>
      </c>
      <c r="D44" s="447">
        <v>111</v>
      </c>
      <c r="E44" s="449">
        <v>172</v>
      </c>
      <c r="F44" s="448">
        <v>17786.34</v>
      </c>
    </row>
    <row r="45" spans="1:6" ht="12">
      <c r="A45" s="434"/>
      <c r="B45" s="434"/>
      <c r="C45" s="436" t="s">
        <v>514</v>
      </c>
      <c r="D45" s="447"/>
      <c r="E45" s="449">
        <v>36</v>
      </c>
      <c r="F45" s="448" t="e">
        <v>#VALUE!</v>
      </c>
    </row>
    <row r="46" spans="1:6" ht="12">
      <c r="A46" s="434"/>
      <c r="B46" s="431" t="s">
        <v>16</v>
      </c>
      <c r="C46" s="431" t="s">
        <v>506</v>
      </c>
      <c r="D46" s="440"/>
      <c r="E46" s="445">
        <v>100</v>
      </c>
      <c r="F46" s="441">
        <v>3444.5</v>
      </c>
    </row>
    <row r="47" spans="1:6" ht="12">
      <c r="A47" s="434"/>
      <c r="B47" s="434"/>
      <c r="C47" s="436" t="s">
        <v>507</v>
      </c>
      <c r="D47" s="447"/>
      <c r="E47" s="449">
        <v>200</v>
      </c>
      <c r="F47" s="448">
        <v>2736.92</v>
      </c>
    </row>
    <row r="48" spans="1:6" ht="12">
      <c r="A48" s="434"/>
      <c r="B48" s="434"/>
      <c r="C48" s="436" t="s">
        <v>515</v>
      </c>
      <c r="D48" s="447"/>
      <c r="E48" s="449">
        <v>300</v>
      </c>
      <c r="F48" s="448">
        <v>2839</v>
      </c>
    </row>
    <row r="49" spans="1:6" ht="12">
      <c r="A49" s="434"/>
      <c r="B49" s="434"/>
      <c r="C49" s="436" t="s">
        <v>514</v>
      </c>
      <c r="D49" s="447"/>
      <c r="E49" s="449">
        <v>200</v>
      </c>
      <c r="F49" s="448" t="e">
        <v>#VALUE!</v>
      </c>
    </row>
    <row r="50" spans="1:6" ht="12">
      <c r="A50" s="434"/>
      <c r="B50" s="431" t="s">
        <v>207</v>
      </c>
      <c r="C50" s="431" t="s">
        <v>506</v>
      </c>
      <c r="D50" s="440"/>
      <c r="E50" s="445">
        <v>2500</v>
      </c>
      <c r="F50" s="441">
        <v>953.8600000000001</v>
      </c>
    </row>
    <row r="51" spans="1:6" ht="12">
      <c r="A51" s="434"/>
      <c r="B51" s="434"/>
      <c r="C51" s="436" t="s">
        <v>512</v>
      </c>
      <c r="D51" s="447">
        <v>2000</v>
      </c>
      <c r="E51" s="449"/>
      <c r="F51" s="448">
        <v>260</v>
      </c>
    </row>
    <row r="52" spans="1:6" ht="12">
      <c r="A52" s="434"/>
      <c r="B52" s="431" t="s">
        <v>135</v>
      </c>
      <c r="C52" s="431" t="s">
        <v>506</v>
      </c>
      <c r="D52" s="440">
        <v>1491.05</v>
      </c>
      <c r="E52" s="445"/>
      <c r="F52" s="441">
        <v>-1526.1399999999999</v>
      </c>
    </row>
    <row r="53" spans="1:6" ht="12">
      <c r="A53" s="434"/>
      <c r="B53" s="434"/>
      <c r="C53" s="436" t="s">
        <v>507</v>
      </c>
      <c r="D53" s="447"/>
      <c r="E53" s="449">
        <v>1002</v>
      </c>
      <c r="F53" s="448">
        <v>16898.5</v>
      </c>
    </row>
    <row r="54" spans="1:6" ht="12">
      <c r="A54" s="434"/>
      <c r="B54" s="434"/>
      <c r="C54" s="436" t="s">
        <v>515</v>
      </c>
      <c r="D54" s="447">
        <v>934.9</v>
      </c>
      <c r="E54" s="449">
        <v>276</v>
      </c>
      <c r="F54" s="448">
        <v>10505.880000000001</v>
      </c>
    </row>
    <row r="55" spans="1:6" ht="12">
      <c r="A55" s="434"/>
      <c r="B55" s="434"/>
      <c r="C55" s="436" t="s">
        <v>514</v>
      </c>
      <c r="D55" s="447"/>
      <c r="E55" s="449">
        <v>21</v>
      </c>
      <c r="F55" s="448" t="e">
        <v>#VALUE!</v>
      </c>
    </row>
    <row r="56" spans="1:6" ht="12">
      <c r="A56" s="437" t="s">
        <v>503</v>
      </c>
      <c r="B56" s="438"/>
      <c r="C56" s="438"/>
      <c r="D56" s="442">
        <v>10809.55</v>
      </c>
      <c r="E56" s="446">
        <v>11652.5</v>
      </c>
      <c r="F56" s="443" t="e">
        <v>#VALUE!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1">
    <tabColor indexed="44"/>
  </sheetPr>
  <dimension ref="A1:L569"/>
  <sheetViews>
    <sheetView zoomScale="140" zoomScaleNormal="140" zoomScalePageLayoutView="0" workbookViewId="0" topLeftCell="A5">
      <selection activeCell="A5" sqref="A5:I138"/>
    </sheetView>
  </sheetViews>
  <sheetFormatPr defaultColWidth="11.421875" defaultRowHeight="12"/>
  <cols>
    <col min="1" max="1" width="10.140625" style="86" customWidth="1"/>
    <col min="2" max="2" width="47.421875" style="87" customWidth="1"/>
    <col min="3" max="3" width="25.57421875" style="87" customWidth="1"/>
    <col min="4" max="4" width="6.57421875" style="143" customWidth="1"/>
    <col min="5" max="7" width="9.140625" style="88" customWidth="1"/>
    <col min="8" max="8" width="8.421875" style="88" hidden="1" customWidth="1"/>
    <col min="9" max="9" width="8.421875" style="144" customWidth="1"/>
    <col min="10" max="10" width="22.140625" style="87" customWidth="1"/>
    <col min="11" max="11" width="14.57421875" style="87" customWidth="1"/>
    <col min="12" max="16384" width="9.140625" style="87" customWidth="1"/>
  </cols>
  <sheetData>
    <row r="1" spans="1:11" s="149" customFormat="1" ht="24.75" customHeight="1">
      <c r="A1" s="145"/>
      <c r="B1" s="413" t="s">
        <v>61</v>
      </c>
      <c r="C1" s="413"/>
      <c r="D1" s="413"/>
      <c r="E1" s="413"/>
      <c r="F1" s="413"/>
      <c r="G1" s="413"/>
      <c r="H1" s="146"/>
      <c r="I1" s="147"/>
      <c r="J1" s="148"/>
      <c r="K1" s="148"/>
    </row>
    <row r="2" spans="1:11" ht="14.25" customHeight="1">
      <c r="A2" s="93"/>
      <c r="B2" s="416" t="s">
        <v>140</v>
      </c>
      <c r="C2" s="416"/>
      <c r="D2" s="416"/>
      <c r="E2" s="416"/>
      <c r="F2" s="416"/>
      <c r="G2" s="416"/>
      <c r="H2" s="150"/>
      <c r="I2" s="151" t="e">
        <f ca="1">VLOOKUP(TODAY(),base_de_données_banque,7,TRUE)</f>
        <v>#VALUE!</v>
      </c>
      <c r="J2" s="92"/>
      <c r="K2" s="92"/>
    </row>
    <row r="3" spans="1:11" ht="9" customHeight="1">
      <c r="A3" s="95"/>
      <c r="B3" s="152"/>
      <c r="C3" s="153"/>
      <c r="D3" s="417"/>
      <c r="E3" s="417"/>
      <c r="F3" s="417"/>
      <c r="G3" s="154"/>
      <c r="H3" s="155"/>
      <c r="I3" s="156"/>
      <c r="J3" s="92"/>
      <c r="K3" s="92"/>
    </row>
    <row r="4" spans="1:11" ht="12.75">
      <c r="A4" s="99" t="s">
        <v>103</v>
      </c>
      <c r="B4" s="100">
        <f ca="1">TODAY()</f>
        <v>44111</v>
      </c>
      <c r="C4" s="101"/>
      <c r="D4" s="102"/>
      <c r="E4" s="102"/>
      <c r="F4" s="102"/>
      <c r="G4" s="154"/>
      <c r="H4" s="155"/>
      <c r="I4" s="157" t="s">
        <v>109</v>
      </c>
      <c r="J4" s="158"/>
      <c r="K4" s="92"/>
    </row>
    <row r="5" spans="1:11" ht="12.75">
      <c r="A5" s="159" t="s">
        <v>104</v>
      </c>
      <c r="B5" s="160" t="s">
        <v>105</v>
      </c>
      <c r="C5" s="160" t="s">
        <v>106</v>
      </c>
      <c r="D5" s="161" t="s">
        <v>141</v>
      </c>
      <c r="E5" s="107" t="s">
        <v>107</v>
      </c>
      <c r="F5" s="107" t="s">
        <v>108</v>
      </c>
      <c r="G5" s="107" t="s">
        <v>109</v>
      </c>
      <c r="H5" s="162" t="s">
        <v>142</v>
      </c>
      <c r="I5" s="163" t="s">
        <v>143</v>
      </c>
      <c r="J5" s="164"/>
      <c r="K5" s="92"/>
    </row>
    <row r="6" spans="1:12" ht="15" customHeight="1">
      <c r="A6" s="165">
        <v>43763</v>
      </c>
      <c r="B6" s="166" t="s">
        <v>144</v>
      </c>
      <c r="C6" s="167"/>
      <c r="D6" s="168" t="s">
        <v>145</v>
      </c>
      <c r="E6" s="169">
        <v>0</v>
      </c>
      <c r="F6" s="169">
        <v>0</v>
      </c>
      <c r="G6" s="170"/>
      <c r="H6" s="171">
        <f>IF(D6="",-F6+E6,"")</f>
      </c>
      <c r="I6" s="172">
        <f>IF(D6&lt;&gt;"",G6+SUM($H$6:H6),"")</f>
        <v>0</v>
      </c>
      <c r="J6" s="122" t="str">
        <f>critères!B5</f>
        <v>régul ex précédent</v>
      </c>
      <c r="K6" s="92"/>
      <c r="L6" s="173"/>
    </row>
    <row r="7" spans="1:12" ht="12.75">
      <c r="A7" s="141">
        <v>43763</v>
      </c>
      <c r="B7" s="174" t="s">
        <v>146</v>
      </c>
      <c r="C7" s="124" t="s">
        <v>33</v>
      </c>
      <c r="D7" s="175" t="s">
        <v>147</v>
      </c>
      <c r="E7" s="125">
        <v>16.14</v>
      </c>
      <c r="F7" s="125"/>
      <c r="G7" s="170">
        <f>IF(A7&lt;&gt;"",G6+F7-E7,"")</f>
        <v>-16.14</v>
      </c>
      <c r="H7" s="171">
        <f>IF(D7="",-F7+E7,"")</f>
      </c>
      <c r="I7" s="176">
        <f>IF(D7&lt;&gt;"",G7+SUM($H$6:H7),"")</f>
        <v>-16.14</v>
      </c>
      <c r="J7" s="122" t="str">
        <f>critères!B6</f>
        <v>affiliation</v>
      </c>
      <c r="K7" s="92"/>
      <c r="L7" s="92"/>
    </row>
    <row r="8" spans="1:12" ht="12.75">
      <c r="A8" s="141">
        <v>43761</v>
      </c>
      <c r="B8" s="174" t="s">
        <v>148</v>
      </c>
      <c r="C8" s="177" t="s">
        <v>114</v>
      </c>
      <c r="D8" s="175" t="s">
        <v>149</v>
      </c>
      <c r="E8" s="125">
        <v>24</v>
      </c>
      <c r="F8" s="125"/>
      <c r="G8" s="170">
        <f>IF(A8&lt;&gt;"",G7+F8-E8,"")</f>
        <v>-40.14</v>
      </c>
      <c r="H8" s="171"/>
      <c r="I8" s="176"/>
      <c r="J8" s="122"/>
      <c r="K8" s="92"/>
      <c r="L8" s="92"/>
    </row>
    <row r="9" spans="1:10" ht="12.75">
      <c r="A9" s="141">
        <v>43775</v>
      </c>
      <c r="B9" s="174" t="s">
        <v>150</v>
      </c>
      <c r="C9" s="116" t="s">
        <v>135</v>
      </c>
      <c r="D9" s="175" t="s">
        <v>147</v>
      </c>
      <c r="E9" s="125"/>
      <c r="F9" s="125">
        <v>25</v>
      </c>
      <c r="G9" s="170">
        <f>IF(A9&lt;&gt;"",G8+F9-E9,"")</f>
        <v>-15.14</v>
      </c>
      <c r="H9" s="171">
        <f>IF(D9="",-F9+E9,"")</f>
      </c>
      <c r="I9" s="176">
        <f>IF(D9&lt;&gt;"",G9+SUM($H$6:H9),"")</f>
        <v>-15.14</v>
      </c>
      <c r="J9" s="122" t="str">
        <f>critères!B7</f>
        <v>licences</v>
      </c>
    </row>
    <row r="10" spans="1:10" ht="12.75">
      <c r="A10" s="141">
        <v>43775</v>
      </c>
      <c r="B10" s="174" t="s">
        <v>150</v>
      </c>
      <c r="C10" s="178" t="s">
        <v>151</v>
      </c>
      <c r="D10" s="175" t="s">
        <v>147</v>
      </c>
      <c r="E10" s="125"/>
      <c r="F10" s="125">
        <v>36</v>
      </c>
      <c r="G10" s="170">
        <f>IF(A10&lt;&gt;"",G9+F10-E10,"")</f>
        <v>20.86</v>
      </c>
      <c r="H10" s="171">
        <f>IF(D10="",-F10+E10,"")</f>
      </c>
      <c r="I10" s="176">
        <f>IF(D10&lt;&gt;"",G10+SUM($H$6:H10),"")</f>
        <v>20.86</v>
      </c>
      <c r="J10" s="122" t="str">
        <f>critères!B8</f>
        <v>adhésion du club</v>
      </c>
    </row>
    <row r="11" spans="1:10" ht="12.75">
      <c r="A11" s="141">
        <v>43776</v>
      </c>
      <c r="B11" s="174" t="s">
        <v>152</v>
      </c>
      <c r="C11" s="177" t="s">
        <v>114</v>
      </c>
      <c r="D11" s="175" t="s">
        <v>153</v>
      </c>
      <c r="E11" s="125">
        <v>15</v>
      </c>
      <c r="F11" s="125"/>
      <c r="G11" s="170">
        <f>IF(A11&lt;&gt;"",G10+F11-E11,"")</f>
        <v>5.859999999999999</v>
      </c>
      <c r="H11" s="171">
        <f>IF(D11="",-F11+E11,"")</f>
      </c>
      <c r="I11" s="176">
        <f>IF(D11&lt;&gt;"",G11+SUM($H$6:H11),"")</f>
        <v>5.859999999999999</v>
      </c>
      <c r="J11" s="122" t="str">
        <f>critères!B9</f>
        <v>défaut arbitrage</v>
      </c>
    </row>
    <row r="12" spans="1:10" ht="12.75">
      <c r="A12" s="141">
        <v>43779</v>
      </c>
      <c r="B12" s="174" t="s">
        <v>154</v>
      </c>
      <c r="C12" s="116" t="s">
        <v>155</v>
      </c>
      <c r="D12" s="175" t="s">
        <v>147</v>
      </c>
      <c r="E12" s="125">
        <v>100</v>
      </c>
      <c r="F12" s="125"/>
      <c r="G12" s="170">
        <f>IF(A12&lt;&gt;"",G11+F12-E12,"")</f>
        <v>-94.14</v>
      </c>
      <c r="H12" s="171">
        <f>IF(D12="",-F12+E12,"")</f>
      </c>
      <c r="I12" s="176">
        <f>IF(D12&lt;&gt;"",G12+SUM($H$6:H12),"")</f>
        <v>-94.14</v>
      </c>
      <c r="J12" s="122" t="str">
        <f>critères!B10</f>
        <v>calendriers comité</v>
      </c>
    </row>
    <row r="13" spans="1:12" ht="12.75">
      <c r="A13" s="141">
        <v>43780</v>
      </c>
      <c r="B13" s="174" t="s">
        <v>156</v>
      </c>
      <c r="C13" s="177" t="s">
        <v>114</v>
      </c>
      <c r="D13" s="175" t="s">
        <v>153</v>
      </c>
      <c r="E13" s="125">
        <v>20</v>
      </c>
      <c r="F13" s="125"/>
      <c r="G13" s="170">
        <f>IF(A13&lt;&gt;"",G12+F13-E13,"")</f>
        <v>-114.14</v>
      </c>
      <c r="H13" s="171">
        <f>IF(D13="",-F13+E13,"")</f>
      </c>
      <c r="I13" s="176">
        <f>IF(D13&lt;&gt;"",G13+SUM($H$6:H13),"")</f>
        <v>-114.14</v>
      </c>
      <c r="J13" s="122" t="str">
        <f>critères!B11</f>
        <v>frais de banque</v>
      </c>
      <c r="L13" s="87" t="s">
        <v>157</v>
      </c>
    </row>
    <row r="14" spans="1:10" ht="12.75">
      <c r="A14" s="141">
        <v>43784</v>
      </c>
      <c r="B14" s="174" t="s">
        <v>158</v>
      </c>
      <c r="C14" s="116" t="s">
        <v>151</v>
      </c>
      <c r="D14" s="175" t="s">
        <v>153</v>
      </c>
      <c r="E14" s="125">
        <v>50.26</v>
      </c>
      <c r="F14" s="125"/>
      <c r="G14" s="170">
        <f>IF(A14&lt;&gt;"",G13+F14-E14,"")</f>
        <v>-164.4</v>
      </c>
      <c r="H14" s="171">
        <f>IF(D14="",-F14+E14,"")</f>
      </c>
      <c r="I14" s="176">
        <f>IF(D14&lt;&gt;"",G14+SUM($H$6:H14),"")</f>
        <v>-164.4</v>
      </c>
      <c r="J14" s="122" t="str">
        <f>critères!B12</f>
        <v>assurance</v>
      </c>
    </row>
    <row r="15" spans="1:10" ht="12.75">
      <c r="A15" s="141">
        <v>43784</v>
      </c>
      <c r="B15" s="174" t="s">
        <v>159</v>
      </c>
      <c r="C15" s="177" t="s">
        <v>114</v>
      </c>
      <c r="D15" s="175" t="s">
        <v>160</v>
      </c>
      <c r="E15" s="125">
        <v>20</v>
      </c>
      <c r="F15" s="125"/>
      <c r="G15" s="170">
        <f>IF(A15&lt;&gt;"",G14+F15-E15,"")</f>
        <v>-184.4</v>
      </c>
      <c r="H15" s="171">
        <f>IF(D15="",-F15+E15,"")</f>
      </c>
      <c r="I15" s="176">
        <f>IF(D15&lt;&gt;"",G15+SUM($H$6:H15),"")</f>
        <v>-184.4</v>
      </c>
      <c r="J15" s="122" t="str">
        <f>critères!B13</f>
        <v>secrétariat</v>
      </c>
    </row>
    <row r="16" spans="1:10" ht="12.75">
      <c r="A16" s="141">
        <v>43789</v>
      </c>
      <c r="B16" s="174" t="s">
        <v>161</v>
      </c>
      <c r="C16" s="116" t="s">
        <v>151</v>
      </c>
      <c r="D16" s="175" t="s">
        <v>153</v>
      </c>
      <c r="E16" s="125"/>
      <c r="F16" s="125">
        <v>50.26</v>
      </c>
      <c r="G16" s="170">
        <f>IF(A16&lt;&gt;"",G15+F16-E16,"")</f>
        <v>-134.14000000000001</v>
      </c>
      <c r="H16" s="171">
        <f>IF(D16="",-F16+E16,"")</f>
      </c>
      <c r="I16" s="176">
        <f>IF(D16&lt;&gt;"",G16+SUM($H$6:H16),"")</f>
        <v>-134.14000000000001</v>
      </c>
      <c r="J16" s="122" t="str">
        <f>critères!B14</f>
        <v>achat matériel</v>
      </c>
    </row>
    <row r="17" spans="1:10" ht="12.75">
      <c r="A17" s="141">
        <v>43789</v>
      </c>
      <c r="B17" s="174" t="s">
        <v>162</v>
      </c>
      <c r="C17" s="177" t="s">
        <v>163</v>
      </c>
      <c r="D17" s="175" t="s">
        <v>147</v>
      </c>
      <c r="E17" s="125"/>
      <c r="F17" s="125">
        <v>143</v>
      </c>
      <c r="G17" s="170">
        <f>IF(A17&lt;&gt;"",G16+F17-E17,"")</f>
        <v>8.859999999999985</v>
      </c>
      <c r="H17" s="171">
        <f>IF(D17="",-F17+E17,"")</f>
      </c>
      <c r="I17" s="176">
        <f>IF(D17&lt;&gt;"",G17+SUM($H$6:H17),"")</f>
        <v>8.859999999999985</v>
      </c>
      <c r="J17" s="122" t="str">
        <f>critères!B15</f>
        <v>subvention St Jean</v>
      </c>
    </row>
    <row r="18" spans="1:10" ht="12.75">
      <c r="A18" s="141">
        <v>43790</v>
      </c>
      <c r="B18" s="174" t="s">
        <v>164</v>
      </c>
      <c r="C18" s="177" t="s">
        <v>114</v>
      </c>
      <c r="D18" s="175" t="s">
        <v>153</v>
      </c>
      <c r="E18" s="125">
        <v>40</v>
      </c>
      <c r="F18" s="125"/>
      <c r="G18" s="170">
        <f>IF(A18&lt;&gt;"",G17+F18-E18,"")</f>
        <v>-31.140000000000015</v>
      </c>
      <c r="H18" s="171">
        <f>IF(D18="",-F18+E18,"")</f>
      </c>
      <c r="I18" s="176">
        <f>IF(D18&lt;&gt;"",G18+SUM($H$6:H18),"")</f>
        <v>-31.140000000000015</v>
      </c>
      <c r="J18" s="122" t="str">
        <f>critères!B16</f>
        <v>subvention St Martin</v>
      </c>
    </row>
    <row r="19" spans="1:10" ht="12.75">
      <c r="A19" s="141">
        <v>43790</v>
      </c>
      <c r="B19" s="174" t="s">
        <v>165</v>
      </c>
      <c r="C19" s="177" t="s">
        <v>114</v>
      </c>
      <c r="D19" s="175" t="s">
        <v>160</v>
      </c>
      <c r="E19" s="125">
        <v>72</v>
      </c>
      <c r="F19" s="125"/>
      <c r="G19" s="170">
        <f>IF(A19&lt;&gt;"",G18+F19-E19,"")</f>
        <v>-103.14000000000001</v>
      </c>
      <c r="H19" s="171">
        <f>IF(D19="",-F19+E19,"")</f>
      </c>
      <c r="I19" s="176">
        <f>IF(D19&lt;&gt;"",G19+SUM($H$6:H19),"")</f>
        <v>-103.14000000000001</v>
      </c>
      <c r="J19" s="122" t="str">
        <f>critères!B17</f>
        <v>autres recettes</v>
      </c>
    </row>
    <row r="20" spans="1:10" ht="12.75">
      <c r="A20" s="141">
        <v>43795</v>
      </c>
      <c r="B20" s="174" t="s">
        <v>166</v>
      </c>
      <c r="C20" s="177" t="s">
        <v>114</v>
      </c>
      <c r="D20" s="175" t="s">
        <v>160</v>
      </c>
      <c r="E20" s="125">
        <v>48</v>
      </c>
      <c r="F20" s="125"/>
      <c r="G20" s="170">
        <f>IF(A20&lt;&gt;"",G19+F20-E20,"")</f>
        <v>-151.14000000000001</v>
      </c>
      <c r="H20" s="171">
        <f>IF(D20="",-F20+E20,"")</f>
      </c>
      <c r="I20" s="176">
        <f>IF(D20&lt;&gt;"",G20+SUM($H$6:H20),"")</f>
        <v>-151.14000000000001</v>
      </c>
      <c r="J20" s="122" t="str">
        <f>critères!B18</f>
        <v>autres dépenses</v>
      </c>
    </row>
    <row r="21" spans="1:10" ht="12.75">
      <c r="A21" s="141">
        <v>43806</v>
      </c>
      <c r="B21" s="174" t="s">
        <v>167</v>
      </c>
      <c r="C21" s="116" t="s">
        <v>114</v>
      </c>
      <c r="D21" s="175" t="s">
        <v>153</v>
      </c>
      <c r="E21" s="125"/>
      <c r="F21" s="125">
        <v>57</v>
      </c>
      <c r="G21" s="170">
        <f>IF(A21&lt;&gt;"",G20+F21-E21,"")</f>
        <v>-94.14000000000001</v>
      </c>
      <c r="H21" s="171">
        <f>IF(D21="",-F21+E21,"")</f>
      </c>
      <c r="I21" s="176">
        <f>IF(D21&lt;&gt;"",G21+SUM($H$6:H21),"")</f>
        <v>-94.14000000000001</v>
      </c>
      <c r="J21" s="122" t="str">
        <f>critères!B19</f>
        <v>vêtements</v>
      </c>
    </row>
    <row r="22" spans="1:10" ht="12.75">
      <c r="A22" s="141">
        <v>43806</v>
      </c>
      <c r="B22" s="174" t="s">
        <v>167</v>
      </c>
      <c r="C22" s="116" t="s">
        <v>112</v>
      </c>
      <c r="D22" s="175" t="s">
        <v>153</v>
      </c>
      <c r="E22" s="125"/>
      <c r="F22" s="125">
        <v>72</v>
      </c>
      <c r="G22" s="170">
        <f>IF(A22&lt;&gt;"",G21+F22-E22,"")</f>
        <v>-22.140000000000015</v>
      </c>
      <c r="H22" s="171">
        <f>IF(D22="",-F22+E22,"")</f>
      </c>
      <c r="I22" s="176">
        <f>IF(D22&lt;&gt;"",G22+SUM($H$6:H22),"")</f>
        <v>-22.140000000000015</v>
      </c>
      <c r="J22" s="122" t="str">
        <f>critères!B20</f>
        <v>sponsors</v>
      </c>
    </row>
    <row r="23" spans="1:10" ht="12.75">
      <c r="A23" s="141">
        <v>43806</v>
      </c>
      <c r="B23" s="174" t="s">
        <v>168</v>
      </c>
      <c r="C23" s="116" t="s">
        <v>112</v>
      </c>
      <c r="D23" s="175" t="s">
        <v>153</v>
      </c>
      <c r="E23" s="125"/>
      <c r="F23" s="125">
        <v>144</v>
      </c>
      <c r="G23" s="170">
        <f>IF(A23&lt;&gt;"",G22+F23-E23,"")</f>
        <v>121.85999999999999</v>
      </c>
      <c r="H23" s="171">
        <f>IF(D23="",-F23+E23,"")</f>
      </c>
      <c r="I23" s="176">
        <f>IF(D23&lt;&gt;"",G23+SUM($H$6:H23),"")</f>
        <v>121.85999999999999</v>
      </c>
      <c r="J23" s="122" t="str">
        <f>critères!B21</f>
        <v>adhésions loisirs</v>
      </c>
    </row>
    <row r="24" spans="1:10" ht="12.75">
      <c r="A24" s="141">
        <v>43806</v>
      </c>
      <c r="B24" s="174" t="s">
        <v>169</v>
      </c>
      <c r="C24" s="116" t="s">
        <v>112</v>
      </c>
      <c r="D24" s="175" t="s">
        <v>153</v>
      </c>
      <c r="E24" s="125"/>
      <c r="F24" s="125">
        <v>36</v>
      </c>
      <c r="G24" s="170">
        <f>IF(A24&lt;&gt;"",G23+F24-E24,"")</f>
        <v>157.85999999999999</v>
      </c>
      <c r="H24" s="171">
        <f>IF(D24="",-F24+E24,"")</f>
      </c>
      <c r="I24" s="176">
        <f>IF(D24&lt;&gt;"",G24+SUM($H$6:H24),"")</f>
        <v>157.85999999999999</v>
      </c>
      <c r="J24" s="122" t="str">
        <f>critères!B22</f>
        <v>indemnités kilométriques</v>
      </c>
    </row>
    <row r="25" spans="1:10" ht="12.75">
      <c r="A25" s="141">
        <v>43806</v>
      </c>
      <c r="B25" s="174" t="s">
        <v>170</v>
      </c>
      <c r="C25" s="116" t="s">
        <v>112</v>
      </c>
      <c r="D25" s="175" t="s">
        <v>153</v>
      </c>
      <c r="E25"/>
      <c r="F25" s="125">
        <v>144</v>
      </c>
      <c r="G25" s="170">
        <f>IF(A25&lt;&gt;"",G24+F25-E25,"")</f>
        <v>301.86</v>
      </c>
      <c r="H25" s="171">
        <f>IF(D25="",-F25+E25,"")</f>
      </c>
      <c r="I25" s="176">
        <f>IF(D25&lt;&gt;"",G25+SUM($H$6:H25),"")</f>
        <v>301.86</v>
      </c>
      <c r="J25" s="122" t="str">
        <f>critères!B23</f>
        <v>transfert compte à compte</v>
      </c>
    </row>
    <row r="26" spans="1:10" ht="12.75">
      <c r="A26" s="141">
        <v>43806</v>
      </c>
      <c r="B26" s="174" t="s">
        <v>171</v>
      </c>
      <c r="C26" s="116" t="s">
        <v>112</v>
      </c>
      <c r="D26" s="175" t="s">
        <v>153</v>
      </c>
      <c r="E26" s="125"/>
      <c r="F26" s="125">
        <v>180</v>
      </c>
      <c r="G26" s="170">
        <f>IF(A26&lt;&gt;"",G25+F26-E26,"")</f>
        <v>481.86</v>
      </c>
      <c r="H26" s="171">
        <f>IF(D26="",-F26+E26,"")</f>
      </c>
      <c r="I26" s="176">
        <f>IF(D26&lt;&gt;"",G26+SUM($H$6:H26),"")</f>
        <v>481.86</v>
      </c>
      <c r="J26" s="122" t="str">
        <f>critères!B24</f>
        <v>dépots/retraits</v>
      </c>
    </row>
    <row r="27" spans="1:10" ht="12.75">
      <c r="A27" s="141">
        <v>43806</v>
      </c>
      <c r="B27" s="174" t="s">
        <v>172</v>
      </c>
      <c r="C27" s="116" t="s">
        <v>112</v>
      </c>
      <c r="D27" s="175" t="s">
        <v>153</v>
      </c>
      <c r="E27" s="125"/>
      <c r="F27" s="125">
        <v>89</v>
      </c>
      <c r="G27" s="170">
        <f>IF(A27&lt;&gt;"",G26+F27-E27,"")</f>
        <v>570.86</v>
      </c>
      <c r="H27" s="171">
        <f>IF(D27="",-F27+E27,"")</f>
      </c>
      <c r="I27" s="176">
        <f>IF(D27&lt;&gt;"",G27+SUM($H$6:H27),"")</f>
        <v>570.86</v>
      </c>
      <c r="J27" s="122" t="str">
        <f>critères!B25</f>
        <v>arbitrage</v>
      </c>
    </row>
    <row r="28" spans="1:10" ht="12.75">
      <c r="A28" s="141">
        <v>43806</v>
      </c>
      <c r="B28" s="174" t="s">
        <v>172</v>
      </c>
      <c r="C28" s="177" t="s">
        <v>114</v>
      </c>
      <c r="D28" s="175" t="s">
        <v>153</v>
      </c>
      <c r="E28" s="125"/>
      <c r="F28" s="125">
        <v>32</v>
      </c>
      <c r="G28" s="170">
        <f>IF(A28&lt;&gt;"",G27+F28-E28,"")</f>
        <v>602.86</v>
      </c>
      <c r="H28" s="171">
        <f>IF(D28="",-F28+E28,"")</f>
      </c>
      <c r="I28" s="176">
        <f>IF(D28&lt;&gt;"",G28+SUM($H$6:H28),"")</f>
        <v>602.86</v>
      </c>
      <c r="J28" s="122" t="str">
        <f>critères!B26</f>
        <v>concours extérieurs</v>
      </c>
    </row>
    <row r="29" spans="1:10" ht="12.75">
      <c r="A29" s="141">
        <v>43806</v>
      </c>
      <c r="B29" s="174" t="s">
        <v>172</v>
      </c>
      <c r="C29" s="116" t="s">
        <v>16</v>
      </c>
      <c r="D29" s="175" t="s">
        <v>153</v>
      </c>
      <c r="E29" s="125"/>
      <c r="F29" s="125">
        <v>100</v>
      </c>
      <c r="G29" s="170">
        <f>IF(A29&lt;&gt;"",G28+F29-E29,"")</f>
        <v>702.86</v>
      </c>
      <c r="H29" s="171">
        <f>IF(D29="",-F29+E29,"")</f>
      </c>
      <c r="I29" s="176">
        <f>IF(D29&lt;&gt;"",G29+SUM($H$6:H29),"")</f>
        <v>702.86</v>
      </c>
      <c r="J29" s="122">
        <f>critères!B27</f>
        <v>0</v>
      </c>
    </row>
    <row r="30" spans="1:11" ht="12.75">
      <c r="A30" s="141">
        <v>43808</v>
      </c>
      <c r="B30" s="174" t="s">
        <v>173</v>
      </c>
      <c r="C30" s="116" t="s">
        <v>97</v>
      </c>
      <c r="D30" s="175" t="s">
        <v>153</v>
      </c>
      <c r="E30" s="125">
        <v>82.56</v>
      </c>
      <c r="F30" s="125"/>
      <c r="G30" s="170">
        <f>IF(A30&lt;&gt;"",G29+F30-E30,"")</f>
        <v>620.3</v>
      </c>
      <c r="H30" s="171">
        <f>IF(D30="",-F30+E30,"")</f>
      </c>
      <c r="I30" s="176">
        <f>IF(D30&lt;&gt;"",G30+SUM($H$6:H30),"")</f>
        <v>620.3</v>
      </c>
      <c r="J30" s="122" t="str">
        <f>critères!B28</f>
        <v>concours interne </v>
      </c>
      <c r="K30" s="123"/>
    </row>
    <row r="31" spans="1:10" ht="12.75">
      <c r="A31" s="141">
        <v>43815</v>
      </c>
      <c r="B31" s="174" t="s">
        <v>174</v>
      </c>
      <c r="C31" s="177" t="s">
        <v>112</v>
      </c>
      <c r="D31" s="175" t="s">
        <v>153</v>
      </c>
      <c r="E31" s="128">
        <v>512</v>
      </c>
      <c r="F31" s="125"/>
      <c r="G31" s="170">
        <f>IF(A31&lt;&gt;"",G30+F31-E31,"")</f>
        <v>108.29999999999995</v>
      </c>
      <c r="H31" s="171">
        <f>IF(D31="",-F31+E31,"")</f>
      </c>
      <c r="I31" s="176">
        <f>IF(D31&lt;&gt;"",G31+SUM($H$6:H31),"")</f>
        <v>108.29999999999995</v>
      </c>
      <c r="J31" s="122" t="str">
        <f>critères!B30</f>
        <v>concours vétérans mars</v>
      </c>
    </row>
    <row r="32" spans="1:10" ht="12.75">
      <c r="A32" s="141">
        <v>43817</v>
      </c>
      <c r="B32" s="174" t="s">
        <v>175</v>
      </c>
      <c r="C32" s="177" t="s">
        <v>176</v>
      </c>
      <c r="D32" s="175" t="s">
        <v>160</v>
      </c>
      <c r="E32" s="128">
        <v>11.63</v>
      </c>
      <c r="F32" s="125"/>
      <c r="G32" s="170">
        <f>IF(A32&lt;&gt;"",G31+F32-E32,"")</f>
        <v>96.66999999999996</v>
      </c>
      <c r="H32" s="171">
        <f>IF(D32="",-F32+E32,"")</f>
      </c>
      <c r="I32" s="176">
        <f>IF(D32&lt;&gt;"",G32+SUM($H$6:H32),"")</f>
        <v>96.66999999999996</v>
      </c>
      <c r="J32" s="122" t="str">
        <f>critères!B31</f>
        <v>coupe de m&amp;l 55 ans</v>
      </c>
    </row>
    <row r="33" spans="1:10" ht="12.75">
      <c r="A33" s="141">
        <v>43817</v>
      </c>
      <c r="B33" s="174" t="s">
        <v>177</v>
      </c>
      <c r="C33" s="177" t="s">
        <v>114</v>
      </c>
      <c r="D33" s="175" t="s">
        <v>147</v>
      </c>
      <c r="E33" s="128">
        <v>24</v>
      </c>
      <c r="F33" s="125"/>
      <c r="G33" s="170">
        <f>IF(A33&lt;&gt;"",G32+F33-E33,"")</f>
        <v>72.66999999999996</v>
      </c>
      <c r="H33" s="171">
        <f>IF(D33="",-F33+E33,"")</f>
      </c>
      <c r="I33" s="176">
        <f>IF(D33&lt;&gt;"",G33+SUM($H$6:H33),"")</f>
        <v>72.66999999999996</v>
      </c>
      <c r="J33" s="122" t="str">
        <f>critères!B32</f>
        <v>concours vétérans septembre</v>
      </c>
    </row>
    <row r="34" spans="1:10" ht="12.75">
      <c r="A34" s="141">
        <v>43818</v>
      </c>
      <c r="B34" s="174" t="s">
        <v>178</v>
      </c>
      <c r="C34" s="116" t="s">
        <v>114</v>
      </c>
      <c r="D34" s="175" t="s">
        <v>153</v>
      </c>
      <c r="E34" s="128">
        <v>40</v>
      </c>
      <c r="F34" s="125"/>
      <c r="G34" s="170">
        <f>IF(A34&lt;&gt;"",G33+F34-E34,"")</f>
        <v>32.66999999999996</v>
      </c>
      <c r="H34" s="171">
        <f>IF(D34="",-F34+E34,"")</f>
      </c>
      <c r="I34" s="176">
        <f>IF(D34&lt;&gt;"",G34+SUM($H$6:H34),"")</f>
        <v>32.66999999999996</v>
      </c>
      <c r="J34" s="122" t="str">
        <f>critères!B33</f>
        <v>manifestation6</v>
      </c>
    </row>
    <row r="35" spans="1:10" ht="12.75">
      <c r="A35" s="141">
        <v>43821</v>
      </c>
      <c r="B35" s="174" t="s">
        <v>179</v>
      </c>
      <c r="C35" s="177" t="s">
        <v>112</v>
      </c>
      <c r="D35" s="175" t="s">
        <v>153</v>
      </c>
      <c r="E35" s="128">
        <v>832</v>
      </c>
      <c r="F35" s="125"/>
      <c r="G35" s="170">
        <f>IF(A35&lt;&gt;"",G34+F35-E35,"")</f>
        <v>-799.33</v>
      </c>
      <c r="H35" s="171">
        <f>IF(D35="",-F35+E35,"")</f>
      </c>
      <c r="I35" s="176">
        <f>IF(D35&lt;&gt;"",G35+SUM($H$6:H35),"")</f>
        <v>-799.33</v>
      </c>
      <c r="J35" s="122" t="str">
        <f>critères!B34</f>
        <v>manifestation7</v>
      </c>
    </row>
    <row r="36" spans="1:10" ht="12.75">
      <c r="A36" s="141">
        <v>43822</v>
      </c>
      <c r="B36" s="174" t="s">
        <v>180</v>
      </c>
      <c r="C36" s="116" t="s">
        <v>112</v>
      </c>
      <c r="D36" s="175" t="s">
        <v>153</v>
      </c>
      <c r="E36" s="125"/>
      <c r="F36" s="125">
        <v>72</v>
      </c>
      <c r="G36" s="170">
        <f>IF(A36&lt;&gt;"",G35+F36-E36,"")</f>
        <v>-727.33</v>
      </c>
      <c r="H36" s="171">
        <f>IF(D36="",-F36+E36,"")</f>
      </c>
      <c r="I36" s="176">
        <f>IF(D36&lt;&gt;"",G36+SUM($H$6:H36),"")</f>
        <v>-727.33</v>
      </c>
      <c r="J36" s="122" t="str">
        <f>critères!B35</f>
        <v>manifestation8</v>
      </c>
    </row>
    <row r="37" spans="1:10" ht="12.75">
      <c r="A37" s="141">
        <v>43822</v>
      </c>
      <c r="B37" s="174" t="s">
        <v>181</v>
      </c>
      <c r="C37" s="116" t="s">
        <v>112</v>
      </c>
      <c r="D37" s="175" t="s">
        <v>153</v>
      </c>
      <c r="E37" s="125"/>
      <c r="F37" s="125">
        <v>932</v>
      </c>
      <c r="G37" s="170">
        <f>IF(A37&lt;&gt;"",G36+F37-E37,"")</f>
        <v>204.66999999999996</v>
      </c>
      <c r="H37" s="171">
        <f>IF(D37="",-F37+E37,"")</f>
      </c>
      <c r="I37" s="176">
        <f>IF(D37&lt;&gt;"",G37+SUM($H$6:H37),"")</f>
        <v>204.66999999999996</v>
      </c>
      <c r="J37" s="122" t="str">
        <f>critères!B36</f>
        <v>manifestation9</v>
      </c>
    </row>
    <row r="38" spans="1:9" ht="12.75">
      <c r="A38" s="141">
        <v>43822</v>
      </c>
      <c r="B38" s="174" t="s">
        <v>180</v>
      </c>
      <c r="C38" s="177" t="s">
        <v>114</v>
      </c>
      <c r="D38" s="175" t="s">
        <v>153</v>
      </c>
      <c r="E38" s="125"/>
      <c r="F38" s="125">
        <v>121.1</v>
      </c>
      <c r="G38" s="170">
        <f>IF(A38&lt;&gt;"",G37+F38-E38,"")</f>
        <v>325.77</v>
      </c>
      <c r="H38" s="171">
        <f>IF(D38="",-F38+E38,"")</f>
      </c>
      <c r="I38" s="176">
        <f>IF(D38&lt;&gt;"",G38+SUM($H$6:H38),"")</f>
        <v>325.77</v>
      </c>
    </row>
    <row r="39" spans="1:9" ht="12.75">
      <c r="A39" s="141">
        <v>43822</v>
      </c>
      <c r="B39" s="179" t="s">
        <v>182</v>
      </c>
      <c r="C39" s="116" t="s">
        <v>120</v>
      </c>
      <c r="D39" s="175" t="s">
        <v>160</v>
      </c>
      <c r="E39" s="125"/>
      <c r="F39" s="128">
        <v>13</v>
      </c>
      <c r="G39" s="170">
        <f>IF(A39&lt;&gt;"",G38+F39-E39,"")</f>
        <v>338.77</v>
      </c>
      <c r="H39" s="171">
        <f>IF(D39="",-F39+E39,"")</f>
      </c>
      <c r="I39" s="176">
        <f>IF(D39&lt;&gt;"",G39+SUM($H$6:H39),"")</f>
        <v>338.77</v>
      </c>
    </row>
    <row r="40" spans="1:9" ht="12.75">
      <c r="A40" s="141">
        <v>43823</v>
      </c>
      <c r="B40" s="174" t="s">
        <v>183</v>
      </c>
      <c r="C40" s="177" t="s">
        <v>114</v>
      </c>
      <c r="D40" s="180" t="s">
        <v>160</v>
      </c>
      <c r="E40" s="125">
        <v>54</v>
      </c>
      <c r="F40" s="125"/>
      <c r="G40" s="170">
        <f>IF(A40&lt;&gt;"",G39+F40-E40,"")</f>
        <v>284.77</v>
      </c>
      <c r="H40" s="171">
        <f>IF(D40="",-F40+E40,"")</f>
      </c>
      <c r="I40" s="176">
        <f>IF(D40&lt;&gt;"",G40+SUM($H$6:H40),"")</f>
        <v>284.77</v>
      </c>
    </row>
    <row r="41" spans="1:12" ht="12.75">
      <c r="A41" s="141">
        <v>43823</v>
      </c>
      <c r="B41" s="174" t="s">
        <v>184</v>
      </c>
      <c r="C41" s="177" t="s">
        <v>185</v>
      </c>
      <c r="D41" s="175" t="s">
        <v>153</v>
      </c>
      <c r="E41" s="125">
        <v>75</v>
      </c>
      <c r="F41" s="125"/>
      <c r="G41" s="170">
        <f>IF(A41&lt;&gt;"",G40+F41-E41,"")</f>
        <v>209.76999999999998</v>
      </c>
      <c r="H41" s="171">
        <f>IF(D41="",-F41+E41,"")</f>
      </c>
      <c r="I41" s="176">
        <f>IF(D41&lt;&gt;"",G41+SUM($H$6:H41),"")</f>
        <v>209.76999999999998</v>
      </c>
      <c r="J41" s="123"/>
      <c r="K41" s="181" t="s">
        <v>186</v>
      </c>
      <c r="L41" s="181"/>
    </row>
    <row r="42" spans="1:9" ht="12.75">
      <c r="A42" s="141">
        <v>43826</v>
      </c>
      <c r="B42" s="174" t="s">
        <v>187</v>
      </c>
      <c r="C42" s="177" t="s">
        <v>114</v>
      </c>
      <c r="D42" s="180" t="s">
        <v>160</v>
      </c>
      <c r="E42" s="125">
        <v>51</v>
      </c>
      <c r="F42" s="125"/>
      <c r="G42" s="170">
        <f>IF(A42&lt;&gt;"",G41+F42-E42,"")</f>
        <v>158.76999999999998</v>
      </c>
      <c r="H42" s="171">
        <f>IF(D42="",-F42+E42,"")</f>
      </c>
      <c r="I42" s="176">
        <f>IF(D42&lt;&gt;"",G42+SUM($H$6:H42),"")</f>
        <v>158.76999999999998</v>
      </c>
    </row>
    <row r="43" spans="1:9" ht="12.75">
      <c r="A43" s="141">
        <v>43826</v>
      </c>
      <c r="B43" s="138" t="s">
        <v>188</v>
      </c>
      <c r="C43" s="177" t="s">
        <v>176</v>
      </c>
      <c r="D43" s="175" t="s">
        <v>153</v>
      </c>
      <c r="E43" s="128">
        <v>23.16</v>
      </c>
      <c r="F43" s="125"/>
      <c r="G43" s="170">
        <f>IF(A43&lt;&gt;"",G42+F43-E43,"")</f>
        <v>135.60999999999999</v>
      </c>
      <c r="H43" s="171">
        <f>IF(D43="",-F43+E43,"")</f>
      </c>
      <c r="I43" s="176">
        <f>IF(D43&lt;&gt;"",G43+SUM($H$6:H43),"")</f>
        <v>135.60999999999999</v>
      </c>
    </row>
    <row r="44" spans="1:9" ht="12.75">
      <c r="A44" s="141">
        <v>43834</v>
      </c>
      <c r="B44" s="138" t="s">
        <v>189</v>
      </c>
      <c r="C44" s="116" t="s">
        <v>112</v>
      </c>
      <c r="D44" s="175" t="s">
        <v>160</v>
      </c>
      <c r="E44" s="128">
        <v>96</v>
      </c>
      <c r="F44" s="125"/>
      <c r="G44" s="170">
        <f>IF(A44&lt;&gt;"",G43+F44-E44,"")</f>
        <v>39.609999999999985</v>
      </c>
      <c r="H44" s="171">
        <f>IF(D44="",-F44+E44,"")</f>
      </c>
      <c r="I44" s="176">
        <f>IF(D44&lt;&gt;"",G44+SUM($H$6:H44),"")</f>
        <v>39.609999999999985</v>
      </c>
    </row>
    <row r="45" spans="1:9" ht="12.75">
      <c r="A45" s="141">
        <v>43837</v>
      </c>
      <c r="B45" s="138" t="s">
        <v>190</v>
      </c>
      <c r="C45" s="177" t="s">
        <v>112</v>
      </c>
      <c r="D45" s="175" t="s">
        <v>160</v>
      </c>
      <c r="E45" s="128">
        <v>32</v>
      </c>
      <c r="F45" s="125"/>
      <c r="G45" s="170">
        <f>IF(A45&lt;&gt;"",G44+F45-E45,"")</f>
        <v>7.609999999999985</v>
      </c>
      <c r="H45" s="171">
        <f>IF(D45="",-F45+E45,"")</f>
      </c>
      <c r="I45" s="176">
        <f>IF(D45&lt;&gt;"",G45+SUM($H$6:H45),"")</f>
        <v>7.609999999999985</v>
      </c>
    </row>
    <row r="46" spans="1:12" ht="12.75">
      <c r="A46" s="141">
        <v>43839</v>
      </c>
      <c r="B46" s="138" t="s">
        <v>191</v>
      </c>
      <c r="C46" s="116" t="s">
        <v>112</v>
      </c>
      <c r="D46" s="175" t="s">
        <v>160</v>
      </c>
      <c r="E46" s="125">
        <v>79</v>
      </c>
      <c r="F46" s="125"/>
      <c r="G46" s="170">
        <f>IF(A46&lt;&gt;"",G45+F46-E46,"")</f>
        <v>-71.39000000000001</v>
      </c>
      <c r="H46" s="171">
        <f>IF(D46="",-F46+E46,"")</f>
      </c>
      <c r="I46" s="176">
        <f>IF(D46&lt;&gt;"",G46+SUM($H$6:H46),"")</f>
        <v>-71.39000000000001</v>
      </c>
      <c r="K46" s="418" t="s">
        <v>192</v>
      </c>
      <c r="L46" s="418"/>
    </row>
    <row r="47" spans="1:9" ht="12.75">
      <c r="A47" s="141">
        <v>43839</v>
      </c>
      <c r="B47" s="138" t="s">
        <v>193</v>
      </c>
      <c r="C47" s="116" t="s">
        <v>112</v>
      </c>
      <c r="D47" s="175" t="s">
        <v>160</v>
      </c>
      <c r="E47" s="125">
        <v>64</v>
      </c>
      <c r="F47" s="125"/>
      <c r="G47" s="170">
        <f>IF(A47&lt;&gt;"",G46+F47-E47,"")</f>
        <v>-135.39000000000001</v>
      </c>
      <c r="H47" s="171">
        <f>IF(D47="",-F47+E47,"")</f>
      </c>
      <c r="I47" s="176">
        <f>IF(D47&lt;&gt;"",G47+SUM($H$6:H47),"")</f>
        <v>-135.39000000000001</v>
      </c>
    </row>
    <row r="48" spans="1:11" ht="12.75">
      <c r="A48" s="141">
        <v>43850</v>
      </c>
      <c r="B48" s="174" t="s">
        <v>194</v>
      </c>
      <c r="C48" s="124" t="s">
        <v>120</v>
      </c>
      <c r="D48" s="175" t="s">
        <v>160</v>
      </c>
      <c r="E48" s="125"/>
      <c r="F48" s="125">
        <v>248</v>
      </c>
      <c r="G48" s="170">
        <f>IF(A48&lt;&gt;"",G47+F48-E48,"")</f>
        <v>112.60999999999999</v>
      </c>
      <c r="H48" s="171">
        <f>IF(D48="",-F48+E48,"")</f>
      </c>
      <c r="I48" s="176">
        <f>IF(D48&lt;&gt;"",G48+SUM($H$6:H48),"")</f>
        <v>112.60999999999999</v>
      </c>
      <c r="K48" s="182" t="s">
        <v>195</v>
      </c>
    </row>
    <row r="49" spans="1:11" ht="12.75">
      <c r="A49" s="141">
        <v>43850</v>
      </c>
      <c r="B49" s="174" t="s">
        <v>196</v>
      </c>
      <c r="C49" s="116" t="s">
        <v>112</v>
      </c>
      <c r="D49" s="175" t="s">
        <v>160</v>
      </c>
      <c r="E49" s="125"/>
      <c r="F49" s="125">
        <v>36</v>
      </c>
      <c r="G49" s="170">
        <f>IF(A49&lt;&gt;"",G48+F49-E49,"")</f>
        <v>148.60999999999999</v>
      </c>
      <c r="H49" s="171">
        <f>IF(D49="",-F49+E49,"")</f>
      </c>
      <c r="I49" s="176">
        <f>IF(D49&lt;&gt;"",G49+SUM($H$6:H49),"")</f>
        <v>148.60999999999999</v>
      </c>
      <c r="J49" s="87" t="s">
        <v>197</v>
      </c>
      <c r="K49" s="182" t="s">
        <v>198</v>
      </c>
    </row>
    <row r="50" spans="1:11" ht="12.75">
      <c r="A50" s="141">
        <v>43850</v>
      </c>
      <c r="B50" s="174" t="s">
        <v>199</v>
      </c>
      <c r="C50" s="116" t="s">
        <v>9</v>
      </c>
      <c r="D50" s="175" t="s">
        <v>160</v>
      </c>
      <c r="E50" s="125"/>
      <c r="F50" s="125">
        <v>12</v>
      </c>
      <c r="G50" s="170">
        <f>IF(A50&lt;&gt;"",G49+F50-E50,"")</f>
        <v>160.60999999999999</v>
      </c>
      <c r="H50" s="171">
        <f>IF(D50="",-F50+E50,"")</f>
      </c>
      <c r="I50" s="176">
        <f>IF(D50&lt;&gt;"",G50+SUM($H$6:H50),"")</f>
        <v>160.60999999999999</v>
      </c>
      <c r="K50" s="182" t="s">
        <v>200</v>
      </c>
    </row>
    <row r="51" spans="1:9" ht="12.75">
      <c r="A51" s="141">
        <v>43851</v>
      </c>
      <c r="B51" s="138" t="s">
        <v>201</v>
      </c>
      <c r="C51" s="124" t="s">
        <v>120</v>
      </c>
      <c r="D51" s="175" t="s">
        <v>160</v>
      </c>
      <c r="E51" s="125">
        <v>25.4</v>
      </c>
      <c r="F51" s="125"/>
      <c r="G51" s="170">
        <f>IF(A51&lt;&gt;"",G50+F51-E51,"")</f>
        <v>135.20999999999998</v>
      </c>
      <c r="H51" s="171">
        <f>IF(D51="",-F51+E51,"")</f>
      </c>
      <c r="I51" s="176">
        <f>IF(D51&lt;&gt;"",G51+SUM($H$6:H51),"")</f>
        <v>135.20999999999998</v>
      </c>
    </row>
    <row r="52" spans="1:9" ht="12.75">
      <c r="A52" s="141">
        <v>43848</v>
      </c>
      <c r="B52" s="174" t="s">
        <v>202</v>
      </c>
      <c r="C52" s="124" t="s">
        <v>33</v>
      </c>
      <c r="D52" s="180" t="s">
        <v>160</v>
      </c>
      <c r="E52" s="128">
        <v>46.3</v>
      </c>
      <c r="F52" s="125"/>
      <c r="G52" s="170">
        <f>IF(A52&lt;&gt;"",G51+F52-E52,"")</f>
        <v>88.90999999999998</v>
      </c>
      <c r="H52" s="171">
        <f>IF(D52="",-F52+E52,"")</f>
      </c>
      <c r="I52" s="176">
        <f>IF(D52&lt;&gt;"",G52+SUM($H$6:H52),"")</f>
        <v>88.90999999999998</v>
      </c>
    </row>
    <row r="53" spans="1:9" ht="12.75">
      <c r="A53" s="141">
        <v>43843</v>
      </c>
      <c r="B53" s="174" t="s">
        <v>203</v>
      </c>
      <c r="C53" s="124" t="s">
        <v>120</v>
      </c>
      <c r="D53" s="175" t="s">
        <v>160</v>
      </c>
      <c r="E53" s="125">
        <v>124</v>
      </c>
      <c r="F53" s="125"/>
      <c r="G53" s="170">
        <f>IF(A53&lt;&gt;"",G52+F53-E53,"")</f>
        <v>-35.09000000000002</v>
      </c>
      <c r="H53" s="171">
        <f>IF(D53="",-F53+E53,"")</f>
      </c>
      <c r="I53" s="176">
        <f>IF(D53&lt;&gt;"",G53+SUM($H$6:H53),"")</f>
        <v>-35.09000000000002</v>
      </c>
    </row>
    <row r="54" spans="1:9" ht="12.75">
      <c r="A54" s="141">
        <v>43837</v>
      </c>
      <c r="B54" s="174" t="s">
        <v>204</v>
      </c>
      <c r="C54" s="124" t="s">
        <v>135</v>
      </c>
      <c r="D54" s="175" t="s">
        <v>160</v>
      </c>
      <c r="E54" s="125">
        <v>1491.05</v>
      </c>
      <c r="F54" s="125"/>
      <c r="G54" s="170">
        <f>IF(A54&lt;&gt;"",G53+F54-E54,"")</f>
        <v>-1526.1399999999999</v>
      </c>
      <c r="H54" s="171">
        <f>IF(D54="",-F54+E54,"")</f>
      </c>
      <c r="I54" s="176">
        <f>IF(D54&lt;&gt;"",G54+SUM($H$6:H54),"")</f>
        <v>-1526.1399999999999</v>
      </c>
    </row>
    <row r="55" spans="1:9" ht="12.75">
      <c r="A55" s="141">
        <v>43851</v>
      </c>
      <c r="B55" s="174" t="s">
        <v>205</v>
      </c>
      <c r="C55" s="116" t="s">
        <v>112</v>
      </c>
      <c r="D55" s="175" t="s">
        <v>160</v>
      </c>
      <c r="E55" s="125">
        <v>20</v>
      </c>
      <c r="F55" s="125"/>
      <c r="G55" s="170">
        <f>IF(A55&lt;&gt;"",G54+F55-E55,"")</f>
        <v>-1546.1399999999999</v>
      </c>
      <c r="H55" s="171">
        <f>IF(D55="",-F55+E55,"")</f>
      </c>
      <c r="I55" s="176">
        <f>IF(D55&lt;&gt;"",G55+SUM($H$6:H55),"")</f>
        <v>-1546.1399999999999</v>
      </c>
    </row>
    <row r="56" spans="1:9" ht="12.75">
      <c r="A56" s="141">
        <v>43840</v>
      </c>
      <c r="B56" s="174" t="s">
        <v>206</v>
      </c>
      <c r="C56" s="177" t="s">
        <v>207</v>
      </c>
      <c r="D56" s="175" t="s">
        <v>160</v>
      </c>
      <c r="E56" s="125"/>
      <c r="F56" s="125">
        <v>2500</v>
      </c>
      <c r="G56" s="170">
        <f>IF(A56&lt;&gt;"",G55+F56-E56,"")</f>
        <v>953.8600000000001</v>
      </c>
      <c r="H56" s="171">
        <f>IF(D56="",-F56+E56,"")</f>
      </c>
      <c r="I56" s="176">
        <f>IF(D56&lt;&gt;"",G56+SUM($H$6:H56),"")</f>
        <v>953.8600000000001</v>
      </c>
    </row>
    <row r="57" spans="1:9" ht="12.75">
      <c r="A57" s="141">
        <v>43851</v>
      </c>
      <c r="B57" s="174" t="s">
        <v>208</v>
      </c>
      <c r="C57" s="177" t="s">
        <v>163</v>
      </c>
      <c r="D57" s="175" t="s">
        <v>160</v>
      </c>
      <c r="E57" s="125">
        <v>477</v>
      </c>
      <c r="F57" s="125"/>
      <c r="G57" s="170">
        <f>IF(A57&lt;&gt;"",G56+F57-E57,"")</f>
        <v>476.8600000000001</v>
      </c>
      <c r="H57" s="171">
        <f>IF(D57="",-F57+E57,"")</f>
      </c>
      <c r="I57" s="176">
        <f>IF(D57&lt;&gt;"",G57+SUM($H$6:H57),"")</f>
        <v>476.8600000000001</v>
      </c>
    </row>
    <row r="58" spans="1:11" ht="12.75">
      <c r="A58" s="141">
        <v>43851</v>
      </c>
      <c r="B58" s="174" t="s">
        <v>209</v>
      </c>
      <c r="C58" s="177" t="s">
        <v>163</v>
      </c>
      <c r="D58" s="175" t="s">
        <v>160</v>
      </c>
      <c r="E58" s="125"/>
      <c r="F58" s="125">
        <v>435</v>
      </c>
      <c r="G58" s="170">
        <f>IF(A58&lt;&gt;"",G57+F58-E58,"")</f>
        <v>911.8600000000001</v>
      </c>
      <c r="H58" s="171">
        <f>IF(D58="",-F58+E58,"")</f>
      </c>
      <c r="I58" s="176">
        <f>IF(D58&lt;&gt;"",G58+SUM($H$6:H58),"")</f>
        <v>911.8600000000001</v>
      </c>
      <c r="K58" s="183"/>
    </row>
    <row r="59" spans="1:12" ht="12.75">
      <c r="A59" s="141">
        <v>43853</v>
      </c>
      <c r="B59" s="174" t="s">
        <v>210</v>
      </c>
      <c r="C59" s="116" t="s">
        <v>112</v>
      </c>
      <c r="D59" s="180" t="s">
        <v>160</v>
      </c>
      <c r="E59" s="125">
        <v>32</v>
      </c>
      <c r="F59" s="125"/>
      <c r="G59" s="170">
        <f>IF(A59&lt;&gt;"",G58+F59-E59,"")</f>
        <v>879.8600000000001</v>
      </c>
      <c r="H59" s="171">
        <f>IF(D59="",-F59+E59,"")</f>
      </c>
      <c r="I59" s="176">
        <f>IF(D59&lt;&gt;"",G59+SUM($H$6:H59),"")</f>
        <v>879.8600000000001</v>
      </c>
      <c r="L59" s="184"/>
    </row>
    <row r="60" spans="1:11" ht="12.75">
      <c r="A60" s="141">
        <v>43855</v>
      </c>
      <c r="B60" s="138" t="s">
        <v>211</v>
      </c>
      <c r="C60" s="124" t="s">
        <v>120</v>
      </c>
      <c r="D60" s="175" t="s">
        <v>160</v>
      </c>
      <c r="E60" s="125"/>
      <c r="F60" s="128">
        <v>38</v>
      </c>
      <c r="G60" s="170">
        <f>IF(A60&lt;&gt;"",G59+F60-E60,"")</f>
        <v>917.8600000000001</v>
      </c>
      <c r="H60" s="171">
        <f>IF(D60="",-F60+E60,"")</f>
      </c>
      <c r="I60" s="176">
        <f>IF(D60&lt;&gt;"",G60+SUM($H$6:H60),"")</f>
        <v>917.8600000000001</v>
      </c>
      <c r="J60" s="87" t="s">
        <v>61</v>
      </c>
      <c r="K60" s="123" t="s">
        <v>212</v>
      </c>
    </row>
    <row r="61" spans="1:9" ht="12.75">
      <c r="A61" s="141">
        <v>43855</v>
      </c>
      <c r="B61" s="138" t="s">
        <v>211</v>
      </c>
      <c r="C61" s="116" t="s">
        <v>112</v>
      </c>
      <c r="D61" s="175" t="s">
        <v>160</v>
      </c>
      <c r="E61" s="125"/>
      <c r="F61" s="128">
        <v>36</v>
      </c>
      <c r="G61" s="170">
        <f>IF(A61&lt;&gt;"",G60+F61-E61,"")</f>
        <v>953.8600000000001</v>
      </c>
      <c r="H61" s="171">
        <f>IF(D61="",-F61+E61,"")</f>
      </c>
      <c r="I61" s="176">
        <f>IF(D61&lt;&gt;"",G61+SUM($H$6:H61),"")</f>
        <v>953.8600000000001</v>
      </c>
    </row>
    <row r="62" spans="1:9" ht="12.75">
      <c r="A62" s="141">
        <v>43857</v>
      </c>
      <c r="B62" s="174" t="s">
        <v>213</v>
      </c>
      <c r="C62" s="124" t="s">
        <v>120</v>
      </c>
      <c r="D62" s="175" t="s">
        <v>160</v>
      </c>
      <c r="E62" s="125"/>
      <c r="F62" s="128">
        <v>143</v>
      </c>
      <c r="G62" s="170">
        <f>IF(A62&lt;&gt;"",G61+F62-E62,"")</f>
        <v>1096.8600000000001</v>
      </c>
      <c r="H62" s="171">
        <f>IF(D62="",-F62+E62,"")</f>
      </c>
      <c r="I62" s="176">
        <f>IF(D62&lt;&gt;"",G62+SUM($H$6:H62),"")</f>
        <v>1096.8600000000001</v>
      </c>
    </row>
    <row r="63" spans="1:9" ht="12.75">
      <c r="A63" s="141">
        <v>43855</v>
      </c>
      <c r="B63" s="138" t="s">
        <v>214</v>
      </c>
      <c r="C63" s="124" t="s">
        <v>120</v>
      </c>
      <c r="D63" s="175" t="s">
        <v>160</v>
      </c>
      <c r="E63" s="125"/>
      <c r="F63" s="128">
        <v>637</v>
      </c>
      <c r="G63" s="170">
        <f>IF(A63&lt;&gt;"",G62+F63-E63,"")</f>
        <v>1733.8600000000001</v>
      </c>
      <c r="H63" s="171">
        <f>IF(D63="",-F63+E63,"")</f>
      </c>
      <c r="I63" s="176">
        <f>IF(D63&lt;&gt;"",G63+SUM($H$6:H63),"")</f>
        <v>1733.8600000000001</v>
      </c>
    </row>
    <row r="64" spans="1:9" ht="12.75">
      <c r="A64" s="141">
        <v>43855</v>
      </c>
      <c r="B64" s="138" t="s">
        <v>215</v>
      </c>
      <c r="C64" s="124" t="s">
        <v>120</v>
      </c>
      <c r="D64" s="175" t="s">
        <v>160</v>
      </c>
      <c r="E64" s="125"/>
      <c r="F64" s="128">
        <v>109.9</v>
      </c>
      <c r="G64" s="170">
        <f>IF(A64&lt;&gt;"",G63+F64-E64,"")</f>
        <v>1843.7600000000002</v>
      </c>
      <c r="H64" s="171">
        <f>IF(D64="",-F64+E64,"")</f>
      </c>
      <c r="I64" s="176">
        <f>IF(D64&lt;&gt;"",G64+SUM($H$6:H64),"")</f>
        <v>1843.7600000000002</v>
      </c>
    </row>
    <row r="65" spans="1:9" ht="12.75">
      <c r="A65" s="141">
        <v>43855</v>
      </c>
      <c r="B65" s="138" t="s">
        <v>216</v>
      </c>
      <c r="C65" s="124" t="s">
        <v>120</v>
      </c>
      <c r="D65" s="175" t="s">
        <v>160</v>
      </c>
      <c r="E65" s="125"/>
      <c r="F65" s="128">
        <v>1360</v>
      </c>
      <c r="G65" s="170">
        <f>IF(A65&lt;&gt;"",G64+F65-E65,"")</f>
        <v>3203.76</v>
      </c>
      <c r="H65" s="171">
        <f>IF(D65="",-F65+E65,"")</f>
      </c>
      <c r="I65" s="176">
        <f>IF(D65&lt;&gt;"",G65+SUM($H$6:H65),"")</f>
        <v>3203.76</v>
      </c>
    </row>
    <row r="66" spans="1:11" ht="12.75">
      <c r="A66" s="141">
        <v>43840</v>
      </c>
      <c r="B66" s="174" t="s">
        <v>217</v>
      </c>
      <c r="C66" s="124" t="s">
        <v>120</v>
      </c>
      <c r="D66" s="180" t="s">
        <v>160</v>
      </c>
      <c r="E66" s="125"/>
      <c r="F66" s="128">
        <v>39</v>
      </c>
      <c r="G66" s="170">
        <f>IF(A66&lt;&gt;"",G65+F66-E66,"")</f>
        <v>3242.76</v>
      </c>
      <c r="H66" s="171">
        <f>IF(D66="",-F66+E66,"")</f>
      </c>
      <c r="I66" s="176">
        <f>IF(D66&lt;&gt;"",G66+SUM($H$6:H66),"")</f>
        <v>3242.76</v>
      </c>
      <c r="K66" s="87" t="s">
        <v>61</v>
      </c>
    </row>
    <row r="67" spans="1:9" ht="12.75">
      <c r="A67" s="141">
        <v>43840</v>
      </c>
      <c r="B67" s="174" t="s">
        <v>218</v>
      </c>
      <c r="C67" s="116" t="s">
        <v>112</v>
      </c>
      <c r="D67" s="180" t="s">
        <v>160</v>
      </c>
      <c r="E67" s="125"/>
      <c r="F67" s="128">
        <v>108</v>
      </c>
      <c r="G67" s="170">
        <f>IF(A67&lt;&gt;"",G66+F67-E67,"")</f>
        <v>3350.76</v>
      </c>
      <c r="H67" s="171">
        <f>IF(D67="",-F67+E67,"")</f>
      </c>
      <c r="I67" s="176">
        <f>IF(D67&lt;&gt;"",G67+SUM($H$6:H67),"")</f>
        <v>3350.76</v>
      </c>
    </row>
    <row r="68" spans="1:9" ht="12.75">
      <c r="A68" s="141">
        <v>43851</v>
      </c>
      <c r="B68" s="138" t="s">
        <v>219</v>
      </c>
      <c r="C68" s="116" t="s">
        <v>112</v>
      </c>
      <c r="D68" s="180" t="s">
        <v>160</v>
      </c>
      <c r="E68" s="125">
        <v>239</v>
      </c>
      <c r="F68" s="125"/>
      <c r="G68" s="170">
        <f>IF(A68&lt;&gt;"",G67+F68-E68,"")</f>
        <v>3111.76</v>
      </c>
      <c r="H68" s="171">
        <f>IF(D68="",-F68+E68,"")</f>
      </c>
      <c r="I68" s="176">
        <f>IF(D68&lt;&gt;"",G68+SUM($H$6:H68),"")</f>
        <v>3111.76</v>
      </c>
    </row>
    <row r="69" spans="1:9" ht="12.75">
      <c r="A69" s="141">
        <v>43851</v>
      </c>
      <c r="B69" s="174" t="s">
        <v>220</v>
      </c>
      <c r="C69" s="177" t="s">
        <v>114</v>
      </c>
      <c r="D69" s="180" t="s">
        <v>160</v>
      </c>
      <c r="E69" s="125">
        <v>10</v>
      </c>
      <c r="F69" s="125"/>
      <c r="G69" s="170">
        <f>IF(A69&lt;&gt;"",G68+F69-E69,"")</f>
        <v>3101.76</v>
      </c>
      <c r="H69" s="171">
        <f>IF(D69="",-F69+E69,"")</f>
      </c>
      <c r="I69" s="176">
        <f>IF(D69&lt;&gt;"",G69+SUM($H$6:H69),"")</f>
        <v>3101.76</v>
      </c>
    </row>
    <row r="70" spans="1:9" ht="12.75">
      <c r="A70" s="141">
        <v>43851</v>
      </c>
      <c r="B70" s="174" t="s">
        <v>221</v>
      </c>
      <c r="C70" s="177" t="s">
        <v>222</v>
      </c>
      <c r="D70" s="180" t="s">
        <v>223</v>
      </c>
      <c r="E70" s="125"/>
      <c r="F70" s="125">
        <v>20</v>
      </c>
      <c r="G70" s="170">
        <f>IF(A70&lt;&gt;"",G69+F70-E70,"")</f>
        <v>3121.76</v>
      </c>
      <c r="H70" s="171">
        <f>IF(D70="",-F70+E70,"")</f>
      </c>
      <c r="I70" s="176">
        <f>IF(D70&lt;&gt;"",G70+SUM($H$6:H70),"")</f>
        <v>3121.76</v>
      </c>
    </row>
    <row r="71" spans="1:11" ht="12.75">
      <c r="A71" s="141">
        <v>43854</v>
      </c>
      <c r="B71" s="174" t="s">
        <v>224</v>
      </c>
      <c r="C71" s="124" t="s">
        <v>120</v>
      </c>
      <c r="D71" s="175" t="s">
        <v>225</v>
      </c>
      <c r="E71" s="125">
        <v>173.62</v>
      </c>
      <c r="F71" s="125"/>
      <c r="G71" s="170">
        <f>IF(A71&lt;&gt;"",G70+F71-E71,"")</f>
        <v>2948.1400000000003</v>
      </c>
      <c r="H71" s="171">
        <f>IF(D71="",-F71+E71,"")</f>
      </c>
      <c r="I71" s="176">
        <f>IF(D71&lt;&gt;"",G71+SUM($H$6:H71),"")</f>
        <v>2948.1400000000003</v>
      </c>
      <c r="K71" s="123" t="s">
        <v>61</v>
      </c>
    </row>
    <row r="72" spans="1:9" ht="12.75">
      <c r="A72" s="141">
        <v>43854</v>
      </c>
      <c r="B72" s="174" t="s">
        <v>226</v>
      </c>
      <c r="C72" s="124" t="s">
        <v>120</v>
      </c>
      <c r="D72" s="175" t="s">
        <v>225</v>
      </c>
      <c r="E72" s="125">
        <v>13.8</v>
      </c>
      <c r="F72" s="125"/>
      <c r="G72" s="170">
        <f>IF(A72&lt;&gt;"",G71+F72-E72,"")</f>
        <v>2934.34</v>
      </c>
      <c r="H72" s="171">
        <f>IF(D72="",-F72+E72,"")</f>
      </c>
      <c r="I72" s="176">
        <f>IF(D72&lt;&gt;"",G72+SUM($H$6:H72),"")</f>
        <v>2934.34</v>
      </c>
    </row>
    <row r="73" spans="1:9" ht="12.75">
      <c r="A73" s="141">
        <v>43854</v>
      </c>
      <c r="B73" s="138" t="s">
        <v>227</v>
      </c>
      <c r="C73" s="124" t="s">
        <v>120</v>
      </c>
      <c r="D73" s="175" t="s">
        <v>225</v>
      </c>
      <c r="E73" s="125">
        <v>19.1</v>
      </c>
      <c r="F73" s="125"/>
      <c r="G73" s="170">
        <f>IF(A73&lt;&gt;"",G72+F73-E73,"")</f>
        <v>2915.2400000000002</v>
      </c>
      <c r="H73" s="171">
        <f>IF(D73="",-F73+E73,"")</f>
      </c>
      <c r="I73" s="176">
        <f>IF(D73&lt;&gt;"",G73+SUM($H$6:H73),"")</f>
        <v>2915.2400000000002</v>
      </c>
    </row>
    <row r="74" spans="1:11" ht="12.75">
      <c r="A74" s="141">
        <v>43854</v>
      </c>
      <c r="B74" s="174" t="s">
        <v>228</v>
      </c>
      <c r="C74" s="124" t="s">
        <v>120</v>
      </c>
      <c r="D74" s="175" t="s">
        <v>225</v>
      </c>
      <c r="E74" s="125">
        <v>389.8</v>
      </c>
      <c r="F74" s="125"/>
      <c r="G74" s="170">
        <f>IF(A74&lt;&gt;"",G73+F74-E74,"")</f>
        <v>2525.44</v>
      </c>
      <c r="H74" s="171">
        <f>IF(D74="",-F74+E74,"")</f>
      </c>
      <c r="I74" s="176">
        <f>IF(D74&lt;&gt;"",G74+SUM($H$6:H74),"")</f>
        <v>2525.44</v>
      </c>
      <c r="K74" s="87" t="s">
        <v>61</v>
      </c>
    </row>
    <row r="75" spans="1:9" ht="12.75">
      <c r="A75" s="141">
        <v>43854</v>
      </c>
      <c r="B75" s="174" t="s">
        <v>229</v>
      </c>
      <c r="C75" s="124" t="s">
        <v>120</v>
      </c>
      <c r="D75" s="175" t="s">
        <v>225</v>
      </c>
      <c r="E75" s="125">
        <v>13.14</v>
      </c>
      <c r="F75" s="125"/>
      <c r="G75" s="170">
        <f>IF(A75&lt;&gt;"",G74+F75-E75,"")</f>
        <v>2512.3</v>
      </c>
      <c r="H75" s="171">
        <f>IF(D75="",-F75+E75,"")</f>
      </c>
      <c r="I75" s="176">
        <f>IF(D75&lt;&gt;"",G75+SUM($H$6:H75),"")</f>
        <v>2512.3</v>
      </c>
    </row>
    <row r="76" spans="1:11" ht="12.75">
      <c r="A76" s="141">
        <v>43861</v>
      </c>
      <c r="B76" s="174" t="s">
        <v>230</v>
      </c>
      <c r="C76" s="124" t="s">
        <v>120</v>
      </c>
      <c r="D76" s="175" t="s">
        <v>225</v>
      </c>
      <c r="E76" s="125">
        <v>369.8</v>
      </c>
      <c r="F76" s="125"/>
      <c r="G76" s="170">
        <f>IF(A76&lt;&gt;"",G75+F76-E76,"")</f>
        <v>2142.5</v>
      </c>
      <c r="H76" s="171">
        <f>IF(D76="",-F76+E76,"")</f>
      </c>
      <c r="I76" s="176">
        <f>IF(D76&lt;&gt;"",G76+SUM($H$6:H76),"")</f>
        <v>2142.5</v>
      </c>
      <c r="K76" s="87" t="s">
        <v>61</v>
      </c>
    </row>
    <row r="77" spans="1:9" ht="12.75">
      <c r="A77" s="141">
        <v>43862</v>
      </c>
      <c r="B77" s="174" t="s">
        <v>231</v>
      </c>
      <c r="C77" s="124" t="s">
        <v>135</v>
      </c>
      <c r="D77" s="175" t="s">
        <v>232</v>
      </c>
      <c r="E77" s="125"/>
      <c r="F77" s="128">
        <v>432</v>
      </c>
      <c r="G77" s="170">
        <f>IF(A77&lt;&gt;"",G76+F77-E77,"")</f>
        <v>2574.5</v>
      </c>
      <c r="H77" s="171">
        <f>IF(D77="",-F77+E77,"")</f>
      </c>
      <c r="I77" s="176">
        <f>IF(D77&lt;&gt;"",G77+SUM($H$6:H77),"")</f>
        <v>2574.5</v>
      </c>
    </row>
    <row r="78" spans="1:9" ht="12.75">
      <c r="A78" s="141">
        <v>43862</v>
      </c>
      <c r="B78" s="138" t="s">
        <v>233</v>
      </c>
      <c r="C78" s="124" t="s">
        <v>135</v>
      </c>
      <c r="D78" s="175" t="s">
        <v>232</v>
      </c>
      <c r="E78" s="125"/>
      <c r="F78" s="128">
        <v>290</v>
      </c>
      <c r="G78" s="170">
        <f>IF(A78&lt;&gt;"",G77+F78-E78,"")</f>
        <v>2864.5</v>
      </c>
      <c r="H78" s="171">
        <f>IF(D78="",-F78+E78,"")</f>
      </c>
      <c r="I78" s="176">
        <f>IF(D78&lt;&gt;"",G78+SUM($H$6:H78),"")</f>
        <v>2864.5</v>
      </c>
    </row>
    <row r="79" spans="1:9" ht="12.75">
      <c r="A79" s="141">
        <v>43862</v>
      </c>
      <c r="B79" s="138" t="s">
        <v>234</v>
      </c>
      <c r="C79" s="116" t="s">
        <v>112</v>
      </c>
      <c r="D79" s="175" t="s">
        <v>232</v>
      </c>
      <c r="E79" s="125"/>
      <c r="F79" s="128">
        <v>36</v>
      </c>
      <c r="G79" s="170">
        <f>IF(A79&lt;&gt;"",G78+F79-E79,"")</f>
        <v>2900.5</v>
      </c>
      <c r="H79" s="171">
        <f>IF(D79="",-F79+E79,"")</f>
      </c>
      <c r="I79" s="176">
        <f>IF(D79&lt;&gt;"",G79+SUM($H$6:H79),"")</f>
        <v>2900.5</v>
      </c>
    </row>
    <row r="80" spans="1:9" ht="12.75">
      <c r="A80" s="141">
        <v>43850</v>
      </c>
      <c r="B80" s="138" t="s">
        <v>235</v>
      </c>
      <c r="C80" s="138" t="s">
        <v>9</v>
      </c>
      <c r="D80" s="175" t="s">
        <v>232</v>
      </c>
      <c r="E80" s="125"/>
      <c r="F80" s="128">
        <v>12</v>
      </c>
      <c r="G80" s="170">
        <f>IF(A80&lt;&gt;"",G79+F80-E80,"")</f>
        <v>2912.5</v>
      </c>
      <c r="H80" s="171">
        <f>IF(D80="",-F80+E80,"")</f>
      </c>
      <c r="I80" s="176">
        <f>IF(D80&lt;&gt;"",G80+SUM($H$6:H80),"")</f>
        <v>2912.5</v>
      </c>
    </row>
    <row r="81" spans="1:9" ht="12.75">
      <c r="A81" s="141">
        <v>43850</v>
      </c>
      <c r="B81" s="174" t="s">
        <v>196</v>
      </c>
      <c r="C81" s="116" t="s">
        <v>112</v>
      </c>
      <c r="D81" s="175" t="s">
        <v>232</v>
      </c>
      <c r="E81" s="125"/>
      <c r="F81" s="128">
        <v>36</v>
      </c>
      <c r="G81" s="170">
        <f>IF(A81&lt;&gt;"",G80+F81-E81,"")</f>
        <v>2948.5</v>
      </c>
      <c r="H81" s="171">
        <f>IF(D81="",-F81+E81,"")</f>
      </c>
      <c r="I81" s="176">
        <f>IF(D81&lt;&gt;"",G81+SUM($H$6:H81),"")</f>
        <v>2948.5</v>
      </c>
    </row>
    <row r="82" spans="1:9" ht="12.75">
      <c r="A82" s="141">
        <v>43850</v>
      </c>
      <c r="B82" s="174" t="s">
        <v>236</v>
      </c>
      <c r="C82" s="124" t="s">
        <v>120</v>
      </c>
      <c r="D82" s="175" t="s">
        <v>232</v>
      </c>
      <c r="E82" s="125"/>
      <c r="F82" s="128">
        <v>248</v>
      </c>
      <c r="G82" s="170">
        <f>IF(A82&lt;&gt;"",G81+F82-E82,"")</f>
        <v>3196.5</v>
      </c>
      <c r="H82" s="171">
        <f>IF(D82="",-F82+E82,"")</f>
      </c>
      <c r="I82" s="176">
        <f>IF(D82&lt;&gt;"",G82+SUM($H$6:H82),"")</f>
        <v>3196.5</v>
      </c>
    </row>
    <row r="83" spans="1:9" ht="12.75">
      <c r="A83" s="141">
        <v>43862</v>
      </c>
      <c r="B83" s="174" t="s">
        <v>237</v>
      </c>
      <c r="C83" s="177" t="s">
        <v>114</v>
      </c>
      <c r="D83" s="175" t="s">
        <v>232</v>
      </c>
      <c r="E83" s="125"/>
      <c r="F83" s="128">
        <v>15</v>
      </c>
      <c r="G83" s="170">
        <f>IF(A83&lt;&gt;"",G82+F83-E83,"")</f>
        <v>3211.5</v>
      </c>
      <c r="H83" s="171">
        <f>IF(D83="",-F83+E83,"")</f>
      </c>
      <c r="I83" s="176">
        <f>IF(D83&lt;&gt;"",G83+SUM($H$6:H83),"")</f>
        <v>3211.5</v>
      </c>
    </row>
    <row r="84" spans="1:9" ht="12.75">
      <c r="A84" s="141">
        <v>43831</v>
      </c>
      <c r="B84" s="174" t="s">
        <v>238</v>
      </c>
      <c r="C84" s="177" t="s">
        <v>114</v>
      </c>
      <c r="D84" s="175" t="s">
        <v>232</v>
      </c>
      <c r="E84" s="125">
        <v>18</v>
      </c>
      <c r="F84" s="125"/>
      <c r="G84" s="170">
        <f>IF(A84&lt;&gt;"",G83+F84-E84,"")</f>
        <v>3193.5</v>
      </c>
      <c r="H84" s="171">
        <f>IF(D84="",-F84+E84,"")</f>
      </c>
      <c r="I84" s="176">
        <f>IF(D84&lt;&gt;"",G84+SUM($H$6:H84),"")</f>
        <v>3193.5</v>
      </c>
    </row>
    <row r="85" spans="1:9" ht="12.75">
      <c r="A85" s="141">
        <v>43833</v>
      </c>
      <c r="B85" s="138" t="s">
        <v>131</v>
      </c>
      <c r="C85" s="177" t="s">
        <v>114</v>
      </c>
      <c r="D85" s="175" t="s">
        <v>232</v>
      </c>
      <c r="E85" s="125"/>
      <c r="F85" s="125">
        <v>22</v>
      </c>
      <c r="G85" s="170">
        <f>IF(A85&lt;&gt;"",G84+F85-E85,"")</f>
        <v>3215.5</v>
      </c>
      <c r="H85" s="171">
        <f>IF(D85="",-F85+E85,"")</f>
      </c>
      <c r="I85" s="176">
        <f>IF(D85&lt;&gt;"",G85+SUM($H$6:H85),"")</f>
        <v>3215.5</v>
      </c>
    </row>
    <row r="86" spans="1:9" ht="12.75">
      <c r="A86" s="141">
        <v>43833</v>
      </c>
      <c r="B86" s="174" t="s">
        <v>239</v>
      </c>
      <c r="C86" s="116" t="s">
        <v>112</v>
      </c>
      <c r="D86" s="175" t="s">
        <v>232</v>
      </c>
      <c r="E86" s="125"/>
      <c r="F86" s="125">
        <v>36</v>
      </c>
      <c r="G86" s="170">
        <f>IF(A86&lt;&gt;"",G85+F86-E86,"")</f>
        <v>3251.5</v>
      </c>
      <c r="H86" s="171">
        <f>IF(D86="",-F86+E86,"")</f>
      </c>
      <c r="I86" s="176">
        <f>IF(D86&lt;&gt;"",G86+SUM($H$6:H86),"")</f>
        <v>3251.5</v>
      </c>
    </row>
    <row r="87" spans="1:9" ht="12.75">
      <c r="A87" s="141">
        <v>43863</v>
      </c>
      <c r="B87" s="174" t="s">
        <v>130</v>
      </c>
      <c r="C87" s="138" t="s">
        <v>9</v>
      </c>
      <c r="D87" s="175" t="s">
        <v>232</v>
      </c>
      <c r="E87" s="125"/>
      <c r="F87" s="125">
        <v>48</v>
      </c>
      <c r="G87" s="170">
        <f>IF(A87&lt;&gt;"",G86+F87-E87,"")</f>
        <v>3299.5</v>
      </c>
      <c r="H87" s="171">
        <f>IF(D87="",-F87+E87,"")</f>
      </c>
      <c r="I87" s="176">
        <f>IF(D87&lt;&gt;"",G87+SUM($H$6:H87),"")</f>
        <v>3299.5</v>
      </c>
    </row>
    <row r="88" spans="1:9" ht="12.75">
      <c r="A88" s="141">
        <v>43863</v>
      </c>
      <c r="B88" s="174" t="s">
        <v>240</v>
      </c>
      <c r="C88" s="177" t="s">
        <v>114</v>
      </c>
      <c r="D88" s="175" t="s">
        <v>232</v>
      </c>
      <c r="E88" s="125"/>
      <c r="F88" s="125">
        <v>60</v>
      </c>
      <c r="G88" s="170">
        <f>IF(A88&lt;&gt;"",G87+F88-E88,"")</f>
        <v>3359.5</v>
      </c>
      <c r="H88" s="171">
        <f>IF(D88="",-F88+E88,"")</f>
      </c>
      <c r="I88" s="176">
        <f>IF(D88&lt;&gt;"",G88+SUM($H$6:H88),"")</f>
        <v>3359.5</v>
      </c>
    </row>
    <row r="89" spans="1:9" ht="12.75">
      <c r="A89" s="141">
        <v>43865</v>
      </c>
      <c r="B89" s="138" t="s">
        <v>241</v>
      </c>
      <c r="C89" s="116" t="s">
        <v>112</v>
      </c>
      <c r="D89" s="175" t="s">
        <v>232</v>
      </c>
      <c r="E89" s="125">
        <v>15</v>
      </c>
      <c r="F89" s="125"/>
      <c r="G89" s="170">
        <f>IF(A89&lt;&gt;"",G88+F89-E89,"")</f>
        <v>3344.5</v>
      </c>
      <c r="H89" s="171">
        <f>IF(D89="",-F89+E89,"")</f>
      </c>
      <c r="I89" s="176">
        <f>IF(D89&lt;&gt;"",G89+SUM($H$6:H89),"")</f>
        <v>3344.5</v>
      </c>
    </row>
    <row r="90" spans="1:9" ht="12.75">
      <c r="A90" s="141">
        <v>43857</v>
      </c>
      <c r="B90" s="174" t="s">
        <v>242</v>
      </c>
      <c r="C90" s="116" t="s">
        <v>16</v>
      </c>
      <c r="D90" s="175" t="s">
        <v>232</v>
      </c>
      <c r="E90" s="125"/>
      <c r="F90" s="125">
        <v>100</v>
      </c>
      <c r="G90" s="170">
        <f>IF(A90&lt;&gt;"",G89+F90-E90,"")</f>
        <v>3444.5</v>
      </c>
      <c r="H90" s="171">
        <f>IF(D90="",-F90+E90,"")</f>
      </c>
      <c r="I90" s="176">
        <f>IF(D90&lt;&gt;"",G90+SUM($H$6:H90),"")</f>
        <v>3444.5</v>
      </c>
    </row>
    <row r="91" spans="1:9" ht="12.75">
      <c r="A91" s="141">
        <v>43840</v>
      </c>
      <c r="B91" s="174" t="s">
        <v>243</v>
      </c>
      <c r="C91" s="177" t="s">
        <v>114</v>
      </c>
      <c r="D91" s="175" t="s">
        <v>232</v>
      </c>
      <c r="E91" s="125">
        <v>24</v>
      </c>
      <c r="F91" s="125"/>
      <c r="G91" s="170">
        <f>IF(A91&lt;&gt;"",G90+F91-E91,"")</f>
        <v>3420.5</v>
      </c>
      <c r="H91" s="171">
        <f>IF(D91="",-F91+E91,"")</f>
      </c>
      <c r="I91" s="176">
        <f>IF(D91&lt;&gt;"",G91+SUM($H$6:H91),"")</f>
        <v>3420.5</v>
      </c>
    </row>
    <row r="92" spans="1:9" ht="12.75">
      <c r="A92" s="141">
        <v>43866</v>
      </c>
      <c r="B92" s="174" t="s">
        <v>244</v>
      </c>
      <c r="C92" s="116" t="s">
        <v>112</v>
      </c>
      <c r="D92" s="175" t="s">
        <v>232</v>
      </c>
      <c r="E92" s="125"/>
      <c r="F92" s="125">
        <v>36</v>
      </c>
      <c r="G92" s="170">
        <f>IF(A92&lt;&gt;"",G91+F92-E92,"")</f>
        <v>3456.5</v>
      </c>
      <c r="H92" s="171">
        <f>IF(D92="",-F92+E92,"")</f>
      </c>
      <c r="I92" s="176">
        <f>IF(D92&lt;&gt;"",G92+SUM($H$6:H92),"")</f>
        <v>3456.5</v>
      </c>
    </row>
    <row r="93" spans="1:9" ht="12.75">
      <c r="A93" s="141">
        <v>43866</v>
      </c>
      <c r="B93" s="174" t="s">
        <v>244</v>
      </c>
      <c r="C93" s="177" t="s">
        <v>114</v>
      </c>
      <c r="D93" s="175" t="s">
        <v>232</v>
      </c>
      <c r="E93" s="125"/>
      <c r="F93" s="125">
        <v>22.14</v>
      </c>
      <c r="G93" s="170">
        <f>IF(A93&lt;&gt;"",G92+F93-E93,"")</f>
        <v>3478.64</v>
      </c>
      <c r="H93" s="171">
        <f>IF(D93="",-F93+E93,"")</f>
      </c>
      <c r="I93" s="176">
        <f>IF(D93&lt;&gt;"",G93+SUM($H$6:H93),"")</f>
        <v>3478.64</v>
      </c>
    </row>
    <row r="94" spans="1:9" ht="12.75">
      <c r="A94" s="141">
        <v>43866</v>
      </c>
      <c r="B94" s="174" t="s">
        <v>244</v>
      </c>
      <c r="C94" s="124" t="s">
        <v>135</v>
      </c>
      <c r="D94" s="175" t="s">
        <v>232</v>
      </c>
      <c r="E94" s="125"/>
      <c r="F94" s="125">
        <v>58</v>
      </c>
      <c r="G94" s="170">
        <f>IF(A94&lt;&gt;"",G93+F94-E94,"")</f>
        <v>3536.64</v>
      </c>
      <c r="H94" s="171">
        <f>IF(D94="",-F94+E94,"")</f>
      </c>
      <c r="I94" s="176">
        <f>IF(D94&lt;&gt;"",G94+SUM($H$6:H94),"")</f>
        <v>3536.64</v>
      </c>
    </row>
    <row r="95" spans="1:9" ht="12.75">
      <c r="A95" s="141">
        <v>43872</v>
      </c>
      <c r="B95" s="174" t="s">
        <v>245</v>
      </c>
      <c r="C95" s="124" t="s">
        <v>246</v>
      </c>
      <c r="D95" s="175" t="s">
        <v>232</v>
      </c>
      <c r="E95" s="125">
        <v>1281.72</v>
      </c>
      <c r="F95" s="125"/>
      <c r="G95" s="170">
        <f>IF(A95&lt;&gt;"",G94+F95-E95,"")</f>
        <v>2254.92</v>
      </c>
      <c r="H95" s="171">
        <f>IF(D95="",-F95+E95,"")</f>
      </c>
      <c r="I95" s="176">
        <f>IF(D95&lt;&gt;"",G95+SUM($H$6:H95),"")</f>
        <v>2254.92</v>
      </c>
    </row>
    <row r="96" spans="1:9" ht="12.75">
      <c r="A96" s="141">
        <v>43872</v>
      </c>
      <c r="B96" s="174" t="s">
        <v>247</v>
      </c>
      <c r="C96" s="116" t="s">
        <v>112</v>
      </c>
      <c r="D96" s="175" t="s">
        <v>232</v>
      </c>
      <c r="E96" s="125"/>
      <c r="F96" s="125">
        <v>64</v>
      </c>
      <c r="G96" s="170">
        <f>IF(A96&lt;&gt;"",G95+F96-E96,"")</f>
        <v>2318.92</v>
      </c>
      <c r="H96" s="171">
        <f>IF(D96="",-F96+E96,"")</f>
      </c>
      <c r="I96" s="176">
        <f>IF(D96&lt;&gt;"",G96+SUM($H$6:H96),"")</f>
        <v>2318.92</v>
      </c>
    </row>
    <row r="97" spans="1:9" ht="12.75">
      <c r="A97" s="141">
        <v>43872</v>
      </c>
      <c r="B97" s="174" t="s">
        <v>248</v>
      </c>
      <c r="C97" s="124" t="s">
        <v>135</v>
      </c>
      <c r="D97" s="180" t="s">
        <v>225</v>
      </c>
      <c r="E97" s="125"/>
      <c r="F97" s="125">
        <v>60</v>
      </c>
      <c r="G97" s="170">
        <f>IF(A97&lt;&gt;"",G96+F97-E97,"")</f>
        <v>2378.92</v>
      </c>
      <c r="H97" s="171">
        <f>IF(D97="",-F97+E97,"")</f>
      </c>
      <c r="I97" s="176">
        <f>IF(D97&lt;&gt;"",G97+SUM($H$6:H97),"")</f>
        <v>2378.92</v>
      </c>
    </row>
    <row r="98" spans="1:9" ht="12.75">
      <c r="A98" s="141">
        <v>43881</v>
      </c>
      <c r="B98" s="174" t="s">
        <v>249</v>
      </c>
      <c r="C98" s="124" t="s">
        <v>135</v>
      </c>
      <c r="D98" s="175" t="s">
        <v>232</v>
      </c>
      <c r="E98" s="125"/>
      <c r="F98" s="125">
        <v>158</v>
      </c>
      <c r="G98" s="170">
        <f>IF(A98&lt;&gt;"",G97+F98-E98,"")</f>
        <v>2536.92</v>
      </c>
      <c r="H98" s="171">
        <f>IF(D98="",-F98+E98,"")</f>
      </c>
      <c r="I98" s="176">
        <f>IF(D98&lt;&gt;"",G98+SUM($H$6:H98),"")</f>
        <v>2536.92</v>
      </c>
    </row>
    <row r="99" spans="1:9" ht="12.75">
      <c r="A99" s="141">
        <v>43881</v>
      </c>
      <c r="B99" s="185" t="s">
        <v>249</v>
      </c>
      <c r="C99" s="177" t="s">
        <v>16</v>
      </c>
      <c r="D99" s="175" t="s">
        <v>250</v>
      </c>
      <c r="E99" s="125"/>
      <c r="F99" s="125">
        <v>200</v>
      </c>
      <c r="G99" s="170">
        <f>IF(A99&lt;&gt;"",G98+F99-E99,"")</f>
        <v>2736.92</v>
      </c>
      <c r="H99" s="171">
        <f>IF(D99="",-F99+E99,"")</f>
      </c>
      <c r="I99" s="176">
        <f>IF(D99&lt;&gt;"",G99+SUM($H$6:H99),"")</f>
        <v>2736.92</v>
      </c>
    </row>
    <row r="100" spans="1:9" ht="12.75">
      <c r="A100" s="141">
        <v>43881</v>
      </c>
      <c r="B100" s="185" t="s">
        <v>249</v>
      </c>
      <c r="C100" s="116" t="s">
        <v>112</v>
      </c>
      <c r="D100" s="175" t="s">
        <v>232</v>
      </c>
      <c r="E100" s="125"/>
      <c r="F100" s="125">
        <v>36</v>
      </c>
      <c r="G100" s="170">
        <f>IF(A100&lt;&gt;"",G99+F100-E100,"")</f>
        <v>2772.92</v>
      </c>
      <c r="H100" s="171">
        <f>IF(D100="",-F100+E100,"")</f>
      </c>
      <c r="I100" s="176">
        <f>IF(D100&lt;&gt;"",G100+SUM($H$6:H100),"")</f>
        <v>2772.92</v>
      </c>
    </row>
    <row r="101" spans="1:9" ht="12.75">
      <c r="A101" s="141">
        <v>43881</v>
      </c>
      <c r="B101" s="177" t="s">
        <v>249</v>
      </c>
      <c r="C101" s="138" t="s">
        <v>9</v>
      </c>
      <c r="D101" s="175" t="s">
        <v>232</v>
      </c>
      <c r="E101" s="125"/>
      <c r="F101" s="125">
        <v>12</v>
      </c>
      <c r="G101" s="170">
        <f>IF(A101&lt;&gt;"",G100+F101-E101,"")</f>
        <v>2784.92</v>
      </c>
      <c r="H101" s="171">
        <f>IF(D101="",-F101+E101,"")</f>
      </c>
      <c r="I101" s="176">
        <f>IF(D101&lt;&gt;"",G101+SUM($H$6:H101),"")</f>
        <v>2784.92</v>
      </c>
    </row>
    <row r="102" spans="1:9" ht="12.75">
      <c r="A102" s="141">
        <v>43881</v>
      </c>
      <c r="B102" s="185" t="s">
        <v>249</v>
      </c>
      <c r="C102" s="177" t="s">
        <v>114</v>
      </c>
      <c r="D102" s="175" t="s">
        <v>232</v>
      </c>
      <c r="E102" s="125"/>
      <c r="F102" s="125">
        <v>75</v>
      </c>
      <c r="G102" s="170">
        <f>IF(A102&lt;&gt;"",G101+F102-E102,"")</f>
        <v>2859.92</v>
      </c>
      <c r="H102" s="171">
        <f>IF(D102="",-F102+E102,"")</f>
      </c>
      <c r="I102" s="176">
        <f>IF(D102&lt;&gt;"",G102+SUM($H$6:H102),"")</f>
        <v>2859.92</v>
      </c>
    </row>
    <row r="103" spans="1:9" ht="12.75">
      <c r="A103" s="141">
        <v>43881</v>
      </c>
      <c r="B103" s="185" t="s">
        <v>249</v>
      </c>
      <c r="C103" s="177" t="s">
        <v>222</v>
      </c>
      <c r="D103" s="175" t="s">
        <v>232</v>
      </c>
      <c r="E103" s="125"/>
      <c r="F103" s="125">
        <v>21</v>
      </c>
      <c r="G103" s="170">
        <f>IF(A103&lt;&gt;"",G102+F103-E103,"")</f>
        <v>2880.92</v>
      </c>
      <c r="H103" s="171">
        <f>IF(D103="",-F103+E103,"")</f>
      </c>
      <c r="I103" s="176">
        <f>IF(D103&lt;&gt;"",G103+SUM($H$6:H103),"")</f>
        <v>2880.92</v>
      </c>
    </row>
    <row r="104" spans="1:9" ht="12.75">
      <c r="A104" s="141">
        <v>43895</v>
      </c>
      <c r="B104" s="174" t="s">
        <v>251</v>
      </c>
      <c r="C104" s="177" t="s">
        <v>163</v>
      </c>
      <c r="D104" s="175" t="s">
        <v>252</v>
      </c>
      <c r="E104" s="125">
        <v>200</v>
      </c>
      <c r="F104" s="125"/>
      <c r="G104" s="170">
        <f>IF(A104&lt;&gt;"",G103+F104-E104,"")</f>
        <v>2680.92</v>
      </c>
      <c r="H104" s="171">
        <f>IF(D104="",-F104+E104,"")</f>
      </c>
      <c r="I104" s="176">
        <f>IF(D104&lt;&gt;"",G104+SUM($H$6:H104),"")</f>
        <v>2680.92</v>
      </c>
    </row>
    <row r="105" spans="1:11" ht="12.75">
      <c r="A105" s="141">
        <v>43897</v>
      </c>
      <c r="B105" s="174" t="s">
        <v>253</v>
      </c>
      <c r="C105" s="177" t="s">
        <v>163</v>
      </c>
      <c r="D105" s="175" t="s">
        <v>254</v>
      </c>
      <c r="E105" s="125"/>
      <c r="F105" s="125">
        <v>247.1</v>
      </c>
      <c r="G105" s="170">
        <f>IF(A105&lt;&gt;"",G104+F105-E105,"")</f>
        <v>2928.02</v>
      </c>
      <c r="H105" s="171">
        <f>IF(D105="",-F105+E105,"")</f>
      </c>
      <c r="I105" s="176">
        <f>IF(D105&lt;&gt;"",G105+SUM($H$6:H105),"")</f>
        <v>2928.02</v>
      </c>
      <c r="K105" s="87" t="s">
        <v>255</v>
      </c>
    </row>
    <row r="106" spans="1:9" ht="12.75">
      <c r="A106" s="141">
        <v>43880</v>
      </c>
      <c r="B106" s="174" t="s">
        <v>256</v>
      </c>
      <c r="C106" s="177" t="s">
        <v>114</v>
      </c>
      <c r="D106" s="175" t="s">
        <v>250</v>
      </c>
      <c r="E106" s="125"/>
      <c r="F106" s="125">
        <v>75</v>
      </c>
      <c r="G106" s="170">
        <f>IF(A106&lt;&gt;"",G105+F106-E106,"")</f>
        <v>3003.02</v>
      </c>
      <c r="H106" s="171">
        <f>IF(D106="",-F106+E106,"")</f>
      </c>
      <c r="I106" s="176">
        <f>IF(D106&lt;&gt;"",G106+SUM($H$6:H106),"")</f>
        <v>3003.02</v>
      </c>
    </row>
    <row r="107" spans="1:9" ht="12.75">
      <c r="A107" s="141">
        <v>43880</v>
      </c>
      <c r="B107" s="174" t="s">
        <v>256</v>
      </c>
      <c r="C107" s="124" t="s">
        <v>135</v>
      </c>
      <c r="D107" s="175" t="s">
        <v>250</v>
      </c>
      <c r="E107" s="125"/>
      <c r="F107" s="125">
        <v>4</v>
      </c>
      <c r="G107" s="170">
        <f>IF(A107&lt;&gt;"",G106+F107-E107,"")</f>
        <v>3007.02</v>
      </c>
      <c r="H107" s="171">
        <f>IF(D107="",-F107+E107,"")</f>
      </c>
      <c r="I107" s="176">
        <f>IF(D107&lt;&gt;"",G107+SUM($H$6:H107),"")</f>
        <v>3007.02</v>
      </c>
    </row>
    <row r="108" spans="1:9" ht="12.75">
      <c r="A108" s="141">
        <v>43880</v>
      </c>
      <c r="B108" s="174" t="s">
        <v>256</v>
      </c>
      <c r="C108" s="138" t="s">
        <v>9</v>
      </c>
      <c r="D108" s="175" t="s">
        <v>250</v>
      </c>
      <c r="E108" s="125"/>
      <c r="F108" s="125">
        <v>12</v>
      </c>
      <c r="G108" s="170">
        <f>IF(A108&lt;&gt;"",G107+F108-E108,"")</f>
        <v>3019.02</v>
      </c>
      <c r="H108" s="171">
        <f>IF(D108="",-F108+E108,"")</f>
      </c>
      <c r="I108" s="176">
        <f>IF(D108&lt;&gt;"",G108+SUM($H$6:H108),"")</f>
        <v>3019.02</v>
      </c>
    </row>
    <row r="109" spans="1:9" ht="12.75">
      <c r="A109" s="141">
        <v>43880</v>
      </c>
      <c r="B109" s="174" t="s">
        <v>256</v>
      </c>
      <c r="C109" s="177" t="s">
        <v>185</v>
      </c>
      <c r="D109" s="175" t="s">
        <v>250</v>
      </c>
      <c r="E109" s="125"/>
      <c r="F109" s="125">
        <v>1</v>
      </c>
      <c r="G109" s="170">
        <f>IF(A109&lt;&gt;"",G108+F109-E109,"")</f>
        <v>3020.02</v>
      </c>
      <c r="H109" s="171">
        <f>IF(D109="",-F109+E109,"")</f>
      </c>
      <c r="I109" s="176">
        <f>IF(D109&lt;&gt;"",G109+SUM($H$6:H109),"")</f>
        <v>3020.02</v>
      </c>
    </row>
    <row r="110" spans="1:9" ht="12.75">
      <c r="A110" s="141">
        <v>43898</v>
      </c>
      <c r="B110" s="174" t="s">
        <v>257</v>
      </c>
      <c r="C110" s="124" t="s">
        <v>135</v>
      </c>
      <c r="D110" s="175" t="s">
        <v>250</v>
      </c>
      <c r="E110" s="125">
        <v>481.02</v>
      </c>
      <c r="F110" s="125"/>
      <c r="G110" s="170">
        <f>IF(A110&lt;&gt;"",G109+F110-E110,"")</f>
        <v>2539</v>
      </c>
      <c r="H110" s="171">
        <f>IF(D110="",-F110+E110,"")</f>
      </c>
      <c r="I110" s="176">
        <f>IF(D110&lt;&gt;"",G110+SUM($H$6:H110),"")</f>
        <v>2539</v>
      </c>
    </row>
    <row r="111" spans="1:9" ht="12.75">
      <c r="A111" s="141">
        <v>43898</v>
      </c>
      <c r="B111" s="185" t="s">
        <v>258</v>
      </c>
      <c r="C111" s="116" t="s">
        <v>16</v>
      </c>
      <c r="D111" s="186">
        <v>43957</v>
      </c>
      <c r="E111" s="125"/>
      <c r="F111" s="125">
        <v>300</v>
      </c>
      <c r="G111" s="170">
        <f>IF(A111&lt;&gt;"",G110+F111-E111,"")</f>
        <v>2839</v>
      </c>
      <c r="H111" s="171">
        <f>IF(D111="",-F111+E111,"")</f>
      </c>
      <c r="I111" s="176">
        <f>IF(D111&lt;&gt;"",G111+SUM($H$6:H111),"")</f>
        <v>2839</v>
      </c>
    </row>
    <row r="112" spans="1:9" ht="12.75">
      <c r="A112" s="141">
        <v>43898</v>
      </c>
      <c r="B112" s="185" t="s">
        <v>258</v>
      </c>
      <c r="C112" s="124" t="s">
        <v>135</v>
      </c>
      <c r="D112" s="186">
        <v>43957</v>
      </c>
      <c r="E112" s="125"/>
      <c r="F112" s="125">
        <v>276</v>
      </c>
      <c r="G112" s="170">
        <f>IF(A112&lt;&gt;"",G111+F112-E112,"")</f>
        <v>3115</v>
      </c>
      <c r="H112" s="171">
        <f>IF(D112="",-F112+E112,"")</f>
      </c>
      <c r="I112" s="176">
        <f>IF(D112&lt;&gt;"",G112+SUM($H$6:H112),"")</f>
        <v>3115</v>
      </c>
    </row>
    <row r="113" spans="1:9" ht="12.75">
      <c r="A113" s="141">
        <v>43898</v>
      </c>
      <c r="B113" s="174" t="s">
        <v>259</v>
      </c>
      <c r="C113" s="177" t="s">
        <v>260</v>
      </c>
      <c r="D113" s="175" t="s">
        <v>250</v>
      </c>
      <c r="E113" s="125">
        <v>26</v>
      </c>
      <c r="F113" s="125"/>
      <c r="G113" s="170">
        <f>IF(A113&lt;&gt;"",G112+F113-E113,"")</f>
        <v>3089</v>
      </c>
      <c r="H113" s="171">
        <f>IF(D113="",-F113+E113,"")</f>
      </c>
      <c r="I113" s="176">
        <f>IF(D113&lt;&gt;"",G113+SUM($H$6:H113),"")</f>
        <v>3089</v>
      </c>
    </row>
    <row r="114" spans="1:9" ht="12.75">
      <c r="A114" s="141">
        <v>43874</v>
      </c>
      <c r="B114" s="174" t="s">
        <v>261</v>
      </c>
      <c r="C114" s="116" t="s">
        <v>112</v>
      </c>
      <c r="D114" s="175" t="s">
        <v>232</v>
      </c>
      <c r="E114" s="125">
        <v>96</v>
      </c>
      <c r="F114" s="125"/>
      <c r="G114" s="170">
        <f>IF(A114&lt;&gt;"",G113+F114-E114,"")</f>
        <v>2993</v>
      </c>
      <c r="H114" s="171">
        <f>IF(D114="",-F114+E114,"")</f>
      </c>
      <c r="I114" s="176">
        <f>IF(D114&lt;&gt;"",G114+SUM($H$6:H114),"")</f>
        <v>2993</v>
      </c>
    </row>
    <row r="115" spans="1:9" ht="12.75">
      <c r="A115" s="141">
        <v>43882</v>
      </c>
      <c r="B115" s="177" t="s">
        <v>262</v>
      </c>
      <c r="C115" s="177" t="s">
        <v>260</v>
      </c>
      <c r="D115" s="175" t="s">
        <v>232</v>
      </c>
      <c r="E115" s="125">
        <v>9.38</v>
      </c>
      <c r="F115" s="125"/>
      <c r="G115" s="170">
        <f>IF(A115&lt;&gt;"",G114+F115-E115,"")</f>
        <v>2983.62</v>
      </c>
      <c r="H115" s="171">
        <f>IF(D115="",-F115+E115,"")</f>
      </c>
      <c r="I115" s="176">
        <f>IF(D115&lt;&gt;"",G115+SUM($H$6:H115),"")</f>
        <v>2983.62</v>
      </c>
    </row>
    <row r="116" spans="1:9" ht="12.75">
      <c r="A116" s="141">
        <v>43900</v>
      </c>
      <c r="B116" t="s">
        <v>263</v>
      </c>
      <c r="C116" s="177" t="s">
        <v>264</v>
      </c>
      <c r="D116" s="175" t="s">
        <v>254</v>
      </c>
      <c r="E116">
        <v>40.04</v>
      </c>
      <c r="F116" s="125"/>
      <c r="G116" s="170">
        <f>IF(A116&lt;&gt;"",G115+F116-E116,"")</f>
        <v>2943.58</v>
      </c>
      <c r="H116" s="171">
        <f>IF(D116="",-F116+E116,"")</f>
      </c>
      <c r="I116" s="176">
        <f>IF(D116&lt;&gt;"",G116+SUM($H$6:H116),"")</f>
        <v>2943.58</v>
      </c>
    </row>
    <row r="117" spans="1:9" ht="12.75">
      <c r="A117" s="141">
        <v>43891</v>
      </c>
      <c r="B117" s="174" t="s">
        <v>265</v>
      </c>
      <c r="C117" s="177" t="s">
        <v>114</v>
      </c>
      <c r="D117" s="186">
        <v>43957</v>
      </c>
      <c r="E117" s="125">
        <v>12</v>
      </c>
      <c r="F117"/>
      <c r="G117" s="170">
        <f>IF(A117&lt;&gt;"",G116+F117-E117,"")</f>
        <v>2931.58</v>
      </c>
      <c r="H117" s="171">
        <f>IF(D117="",-F117+E117,"")</f>
      </c>
      <c r="I117" s="176">
        <f>IF(D117&lt;&gt;"",G117+SUM($H$6:H117),"")</f>
        <v>2931.58</v>
      </c>
    </row>
    <row r="118" spans="1:9" ht="12.75">
      <c r="A118" s="141">
        <v>43897</v>
      </c>
      <c r="B118" s="174" t="s">
        <v>266</v>
      </c>
      <c r="C118" s="177" t="s">
        <v>114</v>
      </c>
      <c r="D118" s="175" t="s">
        <v>254</v>
      </c>
      <c r="E118" s="125">
        <v>51</v>
      </c>
      <c r="F118" s="125"/>
      <c r="G118" s="170">
        <f>IF(A118&lt;&gt;"",G117+F118-E118,"")</f>
        <v>2880.58</v>
      </c>
      <c r="H118" s="171">
        <f>IF(D118="",-F118+E118,"")</f>
      </c>
      <c r="I118" s="176">
        <f>IF(D118&lt;&gt;"",G118+SUM($H$6:H118),"")</f>
        <v>2880.58</v>
      </c>
    </row>
    <row r="119" spans="1:9" ht="12.75">
      <c r="A119" s="141">
        <v>43895</v>
      </c>
      <c r="B119" s="174" t="s">
        <v>267</v>
      </c>
      <c r="C119" s="177" t="s">
        <v>114</v>
      </c>
      <c r="D119" s="175" t="s">
        <v>254</v>
      </c>
      <c r="E119" s="125">
        <v>214.7</v>
      </c>
      <c r="F119"/>
      <c r="G119" s="170">
        <f>IF(A119&lt;&gt;"",G118+F119-E119,"")</f>
        <v>2665.88</v>
      </c>
      <c r="H119" s="171">
        <f>IF(D119="",-F119+E119,"")</f>
      </c>
      <c r="I119" s="176">
        <f>IF(D119&lt;&gt;"",G119+SUM($H$6:H119),"")</f>
        <v>2665.88</v>
      </c>
    </row>
    <row r="120" spans="1:9" ht="12.75">
      <c r="A120" s="141">
        <v>43903</v>
      </c>
      <c r="B120" s="174" t="s">
        <v>268</v>
      </c>
      <c r="C120" s="124" t="s">
        <v>135</v>
      </c>
      <c r="D120" s="175" t="s">
        <v>254</v>
      </c>
      <c r="E120" s="125">
        <v>23</v>
      </c>
      <c r="F120"/>
      <c r="G120" s="170">
        <f>IF(A120&lt;&gt;"",G119+F120-E120,"")</f>
        <v>2642.88</v>
      </c>
      <c r="H120" s="171">
        <f>IF(D120="",-F120+E120,"")</f>
      </c>
      <c r="I120" s="176">
        <f>IF(D120&lt;&gt;"",G120+SUM($H$6:H120),"")</f>
        <v>2642.88</v>
      </c>
    </row>
    <row r="121" spans="1:9" ht="12.75">
      <c r="A121" s="141">
        <v>43903</v>
      </c>
      <c r="B121" s="174" t="s">
        <v>269</v>
      </c>
      <c r="C121" s="177" t="s">
        <v>114</v>
      </c>
      <c r="D121" s="175" t="s">
        <v>254</v>
      </c>
      <c r="E121" s="125">
        <v>3</v>
      </c>
      <c r="F121"/>
      <c r="G121" s="170">
        <f>IF(A121&lt;&gt;"",G120+F121-E121,"")</f>
        <v>2639.88</v>
      </c>
      <c r="H121" s="171">
        <f>IF(D121="",-F121+E121,"")</f>
      </c>
      <c r="I121" s="176">
        <f>IF(D121&lt;&gt;"",G121+SUM($H$6:H121),"")</f>
        <v>2639.88</v>
      </c>
    </row>
    <row r="122" spans="1:9" ht="12.75">
      <c r="A122" s="141">
        <v>43907</v>
      </c>
      <c r="B122" s="174" t="s">
        <v>270</v>
      </c>
      <c r="C122" s="124" t="s">
        <v>135</v>
      </c>
      <c r="D122" s="175" t="s">
        <v>254</v>
      </c>
      <c r="E122" s="125">
        <v>430.88</v>
      </c>
      <c r="F122" s="125"/>
      <c r="G122" s="170">
        <f>IF(A122&lt;&gt;"",G121+F122-E122,"")</f>
        <v>2209</v>
      </c>
      <c r="H122" s="171">
        <f>IF(D122="",-F122+E122,"")</f>
      </c>
      <c r="I122" s="176">
        <f>IF(D122&lt;&gt;"",G122+SUM($H$6:H122),"")</f>
        <v>2209</v>
      </c>
    </row>
    <row r="123" spans="1:9" ht="12.75">
      <c r="A123" s="141">
        <v>43957</v>
      </c>
      <c r="B123" s="174" t="s">
        <v>271</v>
      </c>
      <c r="C123" s="177" t="s">
        <v>114</v>
      </c>
      <c r="D123" s="175" t="s">
        <v>254</v>
      </c>
      <c r="E123" s="125"/>
      <c r="F123" s="125">
        <v>51</v>
      </c>
      <c r="G123" s="170">
        <f>IF(A123&lt;&gt;"",G122+F123-E123,"")</f>
        <v>2260</v>
      </c>
      <c r="H123" s="171">
        <f>IF(D123="",-F123+E123,"")</f>
      </c>
      <c r="I123" s="176">
        <f>IF(D123&lt;&gt;"",G123+SUM($H$6:H123),"")</f>
        <v>2260</v>
      </c>
    </row>
    <row r="124" spans="1:9" ht="12.75">
      <c r="A124" s="141">
        <v>43942</v>
      </c>
      <c r="B124" s="174" t="s">
        <v>272</v>
      </c>
      <c r="C124" s="177" t="s">
        <v>207</v>
      </c>
      <c r="D124" s="175" t="s">
        <v>254</v>
      </c>
      <c r="E124" s="125">
        <v>2000</v>
      </c>
      <c r="F124" s="125"/>
      <c r="G124" s="170">
        <f>IF(A124&lt;&gt;"",G123+F124-E124,"")</f>
        <v>260</v>
      </c>
      <c r="H124" s="171">
        <f>IF(D124="",-F124+E124,"")</f>
      </c>
      <c r="I124" s="176">
        <f>IF(D124&lt;&gt;"",G124+SUM($H$6:H124),"")</f>
        <v>260</v>
      </c>
    </row>
    <row r="125" spans="1:9" ht="12.75">
      <c r="A125" s="187">
        <v>43949</v>
      </c>
      <c r="B125" t="s">
        <v>273</v>
      </c>
      <c r="C125" s="177" t="s">
        <v>33</v>
      </c>
      <c r="D125" s="186">
        <v>43957</v>
      </c>
      <c r="E125">
        <v>35.1</v>
      </c>
      <c r="F125" s="188"/>
      <c r="G125" s="170">
        <f>IF(A125&lt;&gt;"",G124+F125-E125,"")</f>
        <v>224.9</v>
      </c>
      <c r="H125" s="171">
        <f>IF(D125="",-F125+E125,"")</f>
      </c>
      <c r="I125" s="176">
        <f>IF(D125&lt;&gt;"",G125+SUM($H$6:H125),"")</f>
        <v>224.9</v>
      </c>
    </row>
    <row r="126" spans="1:9" ht="12.75">
      <c r="A126" s="141">
        <v>43957</v>
      </c>
      <c r="B126" s="189" t="s">
        <v>274</v>
      </c>
      <c r="C126" s="177" t="s">
        <v>222</v>
      </c>
      <c r="D126" s="190" t="s">
        <v>275</v>
      </c>
      <c r="E126" s="188"/>
      <c r="F126" s="188">
        <v>231</v>
      </c>
      <c r="G126" s="170">
        <f>IF(A126&lt;&gt;"",G125+F126-E126,"")</f>
        <v>455.9</v>
      </c>
      <c r="H126" s="171">
        <f>IF(D126="",-F126+E126,"")</f>
      </c>
      <c r="I126" s="176">
        <f>IF(D126&lt;&gt;"",G126+SUM($H$6:H126),"")</f>
        <v>455.9</v>
      </c>
    </row>
    <row r="127" spans="1:9" ht="12.75">
      <c r="A127" s="191">
        <v>43963</v>
      </c>
      <c r="B127" s="192" t="s">
        <v>276</v>
      </c>
      <c r="C127" s="177" t="s">
        <v>33</v>
      </c>
      <c r="D127" s="193" t="s">
        <v>277</v>
      </c>
      <c r="E127" s="194">
        <v>22.95</v>
      </c>
      <c r="F127" s="194"/>
      <c r="G127" s="170">
        <f>IF(A127&lt;&gt;"",G126+F127-E127,"")</f>
        <v>432.95</v>
      </c>
      <c r="H127" s="171">
        <f>IF(D127="",-F127+E127,"")</f>
      </c>
      <c r="I127" s="176">
        <f>IF(D127&lt;&gt;"",G127+SUM($H$6:H127),"")</f>
        <v>432.95</v>
      </c>
    </row>
    <row r="128" spans="1:9" ht="12.75" hidden="1">
      <c r="A128" s="191"/>
      <c r="B128" s="192"/>
      <c r="C128" s="192"/>
      <c r="D128" s="193"/>
      <c r="E128" s="194"/>
      <c r="F128" s="194"/>
      <c r="G128" s="170">
        <f>IF(A128&lt;&gt;"",G127+F128-E128,"")</f>
      </c>
      <c r="H128" s="171">
        <f>IF(D128="",-F128+E128,"")</f>
        <v>0</v>
      </c>
      <c r="I128" s="176">
        <f>IF(D128&lt;&gt;"",G128+SUM($H$6:H128),"")</f>
      </c>
    </row>
    <row r="129" spans="1:9" ht="12.75" hidden="1">
      <c r="A129" s="141"/>
      <c r="B129" s="189"/>
      <c r="C129" s="189"/>
      <c r="D129" s="190"/>
      <c r="E129" s="188"/>
      <c r="F129" s="188"/>
      <c r="G129" s="170">
        <f>IF(A129&lt;&gt;"",G128+F129-E129,"")</f>
      </c>
      <c r="H129" s="171">
        <f>IF(D129="",-F129+E129,"")</f>
        <v>0</v>
      </c>
      <c r="I129" s="176">
        <f>IF(D129&lt;&gt;"",G129+SUM($H$6:H129),"")</f>
      </c>
    </row>
    <row r="130" spans="1:9" ht="12.75" hidden="1">
      <c r="A130" s="141"/>
      <c r="B130" s="189"/>
      <c r="C130" s="192"/>
      <c r="D130" s="190"/>
      <c r="E130" s="188"/>
      <c r="F130" s="188"/>
      <c r="G130" s="170">
        <f>IF(A130&lt;&gt;"",G129+F130-E130,"")</f>
      </c>
      <c r="H130" s="171">
        <f>IF(D130="",-F130+E130,"")</f>
        <v>0</v>
      </c>
      <c r="I130" s="176">
        <f>IF(D130&lt;&gt;"",G130+SUM($H$6:H130),"")</f>
      </c>
    </row>
    <row r="131" spans="1:9" ht="12.75" hidden="1">
      <c r="A131" s="141"/>
      <c r="B131" s="189"/>
      <c r="C131" s="192"/>
      <c r="D131" s="190"/>
      <c r="E131" s="188"/>
      <c r="F131" s="188"/>
      <c r="G131" s="170">
        <f>IF(A131&lt;&gt;"",G130+F131-E131,"")</f>
      </c>
      <c r="H131" s="171">
        <f>IF(D131="",-F131+E131,"")</f>
        <v>0</v>
      </c>
      <c r="I131" s="176">
        <f>IF(D131&lt;&gt;"",G131+SUM($H$6:H131),"")</f>
      </c>
    </row>
    <row r="132" spans="1:9" ht="12.75">
      <c r="A132" s="141">
        <v>43986</v>
      </c>
      <c r="B132" s="189" t="s">
        <v>278</v>
      </c>
      <c r="C132" s="116" t="s">
        <v>112</v>
      </c>
      <c r="D132" s="190" t="s">
        <v>279</v>
      </c>
      <c r="E132" s="188"/>
      <c r="F132" s="188">
        <v>36</v>
      </c>
      <c r="G132" s="170" t="e">
        <f>IF(A132&lt;&gt;"",G131+F132-E132,"")</f>
        <v>#VALUE!</v>
      </c>
      <c r="H132" s="171">
        <f>IF(D132="",-F132+E132,"")</f>
      </c>
      <c r="I132" s="176" t="e">
        <f>IF(D132&lt;&gt;"",G132+SUM($H$6:H132),"")</f>
        <v>#VALUE!</v>
      </c>
    </row>
    <row r="133" spans="1:9" ht="12.75" hidden="1">
      <c r="A133" s="141"/>
      <c r="B133" s="189"/>
      <c r="C133" s="192"/>
      <c r="D133" s="190"/>
      <c r="E133" s="188"/>
      <c r="F133" s="188"/>
      <c r="G133" s="170">
        <f>IF(A133&lt;&gt;"",G132+F133-E133,"")</f>
      </c>
      <c r="H133" s="171">
        <f>IF(D133="",-F133+E133,"")</f>
        <v>0</v>
      </c>
      <c r="I133" s="176">
        <f>IF(D133&lt;&gt;"",G133+SUM($H$6:H133),"")</f>
      </c>
    </row>
    <row r="134" spans="1:9" ht="12.75" hidden="1">
      <c r="A134" s="141"/>
      <c r="B134" s="189"/>
      <c r="C134" s="195"/>
      <c r="D134" s="190"/>
      <c r="E134" s="188"/>
      <c r="F134" s="188"/>
      <c r="G134" s="170">
        <f>IF(A134&lt;&gt;"",G133+F134-E134,"")</f>
      </c>
      <c r="H134" s="171">
        <f>IF(D134="",-F134+E134,"")</f>
        <v>0</v>
      </c>
      <c r="I134" s="176">
        <f>IF(D134&lt;&gt;"",G134+SUM($H$6:H134),"")</f>
      </c>
    </row>
    <row r="135" spans="1:10" ht="12.75">
      <c r="A135" s="141">
        <v>43986</v>
      </c>
      <c r="B135" s="189" t="s">
        <v>280</v>
      </c>
      <c r="C135" s="124" t="s">
        <v>135</v>
      </c>
      <c r="D135" s="190" t="s">
        <v>281</v>
      </c>
      <c r="E135" s="188"/>
      <c r="F135" s="188">
        <v>21</v>
      </c>
      <c r="G135" s="170" t="e">
        <f>IF(A135&lt;&gt;"",G134+F135-E135,"")</f>
        <v>#VALUE!</v>
      </c>
      <c r="H135" s="171">
        <f>IF(D135="",-F135+E135,"")</f>
      </c>
      <c r="I135" s="176" t="e">
        <f>IF(D135&lt;&gt;"",G135+SUM($H$6:H135),"")</f>
        <v>#VALUE!</v>
      </c>
      <c r="J135" s="87" t="s">
        <v>61</v>
      </c>
    </row>
    <row r="136" spans="1:9" ht="12.75">
      <c r="A136" s="141">
        <v>43986</v>
      </c>
      <c r="B136" s="189" t="s">
        <v>282</v>
      </c>
      <c r="C136" s="177" t="s">
        <v>163</v>
      </c>
      <c r="D136" s="190" t="s">
        <v>283</v>
      </c>
      <c r="E136" s="188"/>
      <c r="F136" s="188">
        <v>63</v>
      </c>
      <c r="G136" s="170" t="e">
        <f>IF(A136&lt;&gt;"",G135+F136-E136,"")</f>
        <v>#VALUE!</v>
      </c>
      <c r="H136" s="171">
        <f>IF(D136="",-F136+E136,"")</f>
      </c>
      <c r="I136" s="176" t="e">
        <f>IF(D136&lt;&gt;"",G136+SUM($H$6:H136),"")</f>
        <v>#VALUE!</v>
      </c>
    </row>
    <row r="137" spans="1:9" ht="12.75">
      <c r="A137" s="141">
        <v>43987</v>
      </c>
      <c r="B137" s="189" t="s">
        <v>274</v>
      </c>
      <c r="C137" s="177" t="s">
        <v>222</v>
      </c>
      <c r="D137" s="190" t="s">
        <v>284</v>
      </c>
      <c r="E137" s="188"/>
      <c r="F137" s="188">
        <v>90</v>
      </c>
      <c r="G137" s="170" t="e">
        <f>IF(A137&lt;&gt;"",G136+F137-E137,"")</f>
        <v>#VALUE!</v>
      </c>
      <c r="H137" s="171">
        <f>IF(D137="",-F137+E137,"")</f>
      </c>
      <c r="I137" s="176" t="e">
        <f>IF(D137&lt;&gt;"",G137+SUM($H$6:H137),"")</f>
        <v>#VALUE!</v>
      </c>
    </row>
    <row r="138" spans="1:9" ht="12.75">
      <c r="A138" s="141">
        <v>44012</v>
      </c>
      <c r="B138" s="174" t="s">
        <v>285</v>
      </c>
      <c r="C138" s="116" t="s">
        <v>16</v>
      </c>
      <c r="D138" s="175"/>
      <c r="E138" s="125"/>
      <c r="F138" s="125">
        <v>200</v>
      </c>
      <c r="G138" s="170" t="e">
        <f>IF(A138&lt;&gt;"",G137+F138-E138,"")</f>
        <v>#VALUE!</v>
      </c>
      <c r="H138" s="171">
        <f>IF(D138="",-F138+E138,"")</f>
        <v>-200</v>
      </c>
      <c r="I138" s="176">
        <f>IF(D138&lt;&gt;"",G138+SUM($H$6:H138),"")</f>
      </c>
    </row>
    <row r="139" spans="1:9" ht="12.75">
      <c r="A139" s="141"/>
      <c r="B139" s="174"/>
      <c r="C139" s="116"/>
      <c r="D139" s="175"/>
      <c r="E139" s="125"/>
      <c r="F139" s="125"/>
      <c r="G139" s="170">
        <f>IF(A139&lt;&gt;"",G138+F139-E139,"")</f>
      </c>
      <c r="H139" s="171">
        <f>IF(D139="",-F139+E139,"")</f>
        <v>0</v>
      </c>
      <c r="I139" s="176">
        <f>IF(D139&lt;&gt;"",G139+SUM($H$6:H139),"")</f>
      </c>
    </row>
    <row r="140" spans="1:9" ht="12.75">
      <c r="A140" s="141"/>
      <c r="B140" s="174"/>
      <c r="C140" s="116"/>
      <c r="D140" s="175"/>
      <c r="E140" s="125"/>
      <c r="F140" s="125"/>
      <c r="G140" s="170">
        <f>IF(A140&lt;&gt;"",G139+F140-E140,"")</f>
      </c>
      <c r="H140" s="171">
        <f>IF(D140="",-F140+E140,"")</f>
        <v>0</v>
      </c>
      <c r="I140" s="176">
        <f>IF(D140&lt;&gt;"",G140+SUM($H$6:H140),"")</f>
      </c>
    </row>
    <row r="141" spans="1:9" ht="12.75">
      <c r="A141" s="141"/>
      <c r="B141" s="174"/>
      <c r="C141" s="116"/>
      <c r="D141" s="175"/>
      <c r="E141" s="125"/>
      <c r="F141" s="125"/>
      <c r="G141" s="170">
        <f>IF(A141&lt;&gt;"",G140+F141-E141,"")</f>
      </c>
      <c r="H141" s="171">
        <f>IF(D141="",-F141+E141,"")</f>
        <v>0</v>
      </c>
      <c r="I141" s="176">
        <f>IF(D141&lt;&gt;"",G141+SUM($H$6:H141),"")</f>
      </c>
    </row>
    <row r="142" spans="1:9" ht="12.75">
      <c r="A142" s="141"/>
      <c r="B142" s="174"/>
      <c r="C142" s="116"/>
      <c r="D142" s="175"/>
      <c r="E142" s="125"/>
      <c r="F142" s="125"/>
      <c r="G142" s="170">
        <f>IF(A142&lt;&gt;"",G141+F142-E142,"")</f>
      </c>
      <c r="H142" s="171">
        <f>IF(D142="",-F142+E142,"")</f>
        <v>0</v>
      </c>
      <c r="I142" s="176">
        <f>IF(D142&lt;&gt;"",G142+SUM($H$6:H142),"")</f>
      </c>
    </row>
    <row r="143" spans="1:9" ht="12.75">
      <c r="A143" s="141"/>
      <c r="B143" s="174"/>
      <c r="C143" s="116"/>
      <c r="D143" s="175"/>
      <c r="E143" s="125"/>
      <c r="F143" s="125"/>
      <c r="G143" s="170">
        <f>IF(A143&lt;&gt;"",G142+F143-E143,"")</f>
      </c>
      <c r="H143" s="171">
        <f>IF(D143="",-F143+E143,"")</f>
        <v>0</v>
      </c>
      <c r="I143" s="176">
        <f>IF(D143&lt;&gt;"",G143+SUM($H$6:H143),"")</f>
      </c>
    </row>
    <row r="144" spans="1:9" ht="12.75">
      <c r="A144" s="141"/>
      <c r="B144" s="174"/>
      <c r="C144" s="116"/>
      <c r="D144" s="175"/>
      <c r="E144" s="125"/>
      <c r="F144" s="125"/>
      <c r="G144" s="170">
        <f>IF(A144&lt;&gt;"",G143+F144-E144,"")</f>
      </c>
      <c r="H144" s="171">
        <f>IF(D144="",-F144+E144,"")</f>
        <v>0</v>
      </c>
      <c r="I144" s="176">
        <f>IF(D144&lt;&gt;"",G144+SUM($H$6:H144),"")</f>
      </c>
    </row>
    <row r="145" spans="1:9" ht="12.75">
      <c r="A145" s="141"/>
      <c r="B145" s="174"/>
      <c r="C145" s="116"/>
      <c r="D145" s="175"/>
      <c r="E145" s="125"/>
      <c r="F145" s="125"/>
      <c r="G145" s="170">
        <f>IF(A145&lt;&gt;"",G144+F145-E145,"")</f>
      </c>
      <c r="H145" s="171">
        <f>IF(D145="",-F145+E145,"")</f>
        <v>0</v>
      </c>
      <c r="I145" s="176">
        <f>IF(D145&lt;&gt;"",G145+SUM($H$6:H145),"")</f>
      </c>
    </row>
    <row r="146" spans="1:10" ht="12.75">
      <c r="A146" s="141"/>
      <c r="B146" s="174"/>
      <c r="C146" s="116"/>
      <c r="D146" s="175"/>
      <c r="E146" s="125"/>
      <c r="F146" s="125"/>
      <c r="G146" s="170">
        <f>IF(A146&lt;&gt;"",G145+F146-E146,"")</f>
      </c>
      <c r="H146" s="171">
        <f>IF(D146="",-F146+E146,"")</f>
        <v>0</v>
      </c>
      <c r="I146" s="176">
        <f>IF(D146&lt;&gt;"",G146+SUM($H$6:H146),"")</f>
      </c>
      <c r="J146" s="123"/>
    </row>
    <row r="147" spans="1:9" ht="12.75">
      <c r="A147" s="141"/>
      <c r="B147" s="174"/>
      <c r="C147" s="116"/>
      <c r="D147" s="175"/>
      <c r="E147" s="125"/>
      <c r="F147" s="125"/>
      <c r="G147" s="170">
        <f>IF(A147&lt;&gt;"",G146+F147-E147,"")</f>
      </c>
      <c r="H147" s="171">
        <f>IF(D147="",-F147+E147,"")</f>
        <v>0</v>
      </c>
      <c r="I147" s="176">
        <f>IF(D147&lt;&gt;"",G147+SUM($H$6:H147),"")</f>
      </c>
    </row>
    <row r="148" spans="1:9" ht="12.75">
      <c r="A148" s="141"/>
      <c r="B148" s="174"/>
      <c r="C148" s="116"/>
      <c r="D148" s="175"/>
      <c r="E148" s="125"/>
      <c r="F148" s="125"/>
      <c r="G148" s="170">
        <f>IF(A148&lt;&gt;"",G147+F148-E148,"")</f>
      </c>
      <c r="H148" s="171">
        <f>IF(D148="",-F148+E148,"")</f>
        <v>0</v>
      </c>
      <c r="I148" s="176">
        <f>IF(D148&lt;&gt;"",G148+SUM($H$6:H148),"")</f>
      </c>
    </row>
    <row r="149" spans="1:9" ht="12.75">
      <c r="A149" s="141"/>
      <c r="B149" s="174"/>
      <c r="C149" s="116"/>
      <c r="D149" s="175"/>
      <c r="E149" s="125"/>
      <c r="F149" s="125"/>
      <c r="G149" s="170">
        <f>IF(A149&lt;&gt;"",G148+F149-E149,"")</f>
      </c>
      <c r="H149" s="171">
        <f>IF(D149="",-F149+E149,"")</f>
        <v>0</v>
      </c>
      <c r="I149" s="176">
        <f>IF(D149&lt;&gt;"",G149+SUM($H$6:H149),"")</f>
      </c>
    </row>
    <row r="150" spans="1:11" ht="12.75">
      <c r="A150" s="141"/>
      <c r="B150" s="174"/>
      <c r="C150" s="116"/>
      <c r="D150" s="175"/>
      <c r="E150" s="125"/>
      <c r="F150" s="125"/>
      <c r="G150" s="170">
        <f>IF(A150&lt;&gt;"",G149+F150-E150,"")</f>
      </c>
      <c r="H150" s="171">
        <f>IF(D150="",-F150+E150,"")</f>
        <v>0</v>
      </c>
      <c r="I150" s="176">
        <f>IF(D150&lt;&gt;"",G150+SUM($H$6:H150),"")</f>
      </c>
      <c r="K150" s="123"/>
    </row>
    <row r="151" spans="1:9" ht="12.75">
      <c r="A151" s="141"/>
      <c r="B151" s="174"/>
      <c r="C151" s="116"/>
      <c r="D151" s="175"/>
      <c r="E151" s="125"/>
      <c r="F151" s="125"/>
      <c r="G151" s="170">
        <f>IF(A151&lt;&gt;"",G150+F151-E151,"")</f>
      </c>
      <c r="H151" s="171">
        <f>IF(D151="",-F151+E151,"")</f>
        <v>0</v>
      </c>
      <c r="I151" s="176">
        <f>IF(D151&lt;&gt;"",G151+SUM($H$6:H151),"")</f>
      </c>
    </row>
    <row r="152" spans="1:9" ht="12.75">
      <c r="A152" s="141"/>
      <c r="B152" s="174"/>
      <c r="C152" s="116"/>
      <c r="D152" s="175"/>
      <c r="E152" s="125"/>
      <c r="F152" s="125"/>
      <c r="G152" s="170">
        <f>IF(A152&lt;&gt;"",G151+F152-E152,"")</f>
      </c>
      <c r="H152" s="171">
        <f>IF(D152="",-F152+E152,"")</f>
        <v>0</v>
      </c>
      <c r="I152" s="176">
        <f>IF(D152&lt;&gt;"",G152+SUM($H$6:H152),"")</f>
      </c>
    </row>
    <row r="153" spans="1:9" ht="12.75">
      <c r="A153" s="141"/>
      <c r="B153" s="174"/>
      <c r="C153" s="116"/>
      <c r="D153" s="175"/>
      <c r="E153" s="125"/>
      <c r="F153" s="125"/>
      <c r="G153" s="170">
        <f>IF(A153&lt;&gt;"",G152+F153-E153,"")</f>
      </c>
      <c r="H153" s="171">
        <f>IF(D153="",-F153+E153,"")</f>
        <v>0</v>
      </c>
      <c r="I153" s="176">
        <f>IF(D153&lt;&gt;"",G153+SUM($H$6:H153),"")</f>
      </c>
    </row>
    <row r="154" spans="1:9" ht="12.75">
      <c r="A154" s="141"/>
      <c r="B154" s="174"/>
      <c r="C154" s="116"/>
      <c r="D154" s="175"/>
      <c r="E154" s="125"/>
      <c r="F154" s="125"/>
      <c r="G154" s="170">
        <f>IF(A154&lt;&gt;"",G153+F154-E154,"")</f>
      </c>
      <c r="H154" s="171">
        <f>IF(D154="",-F154+E154,"")</f>
        <v>0</v>
      </c>
      <c r="I154" s="176">
        <f>IF(D154&lt;&gt;"",G154+SUM($H$6:H154),"")</f>
      </c>
    </row>
    <row r="155" spans="1:9" ht="12.75">
      <c r="A155" s="141"/>
      <c r="B155" s="174"/>
      <c r="C155" s="116"/>
      <c r="D155" s="175"/>
      <c r="E155" s="125"/>
      <c r="F155" s="125"/>
      <c r="G155" s="170">
        <f>IF(A155&lt;&gt;"",G154+F155-E155,"")</f>
      </c>
      <c r="H155" s="171">
        <f>IF(D155="",-F155+E155,"")</f>
        <v>0</v>
      </c>
      <c r="I155" s="176">
        <f>IF(D155&lt;&gt;"",G155+SUM($H$6:H155),"")</f>
      </c>
    </row>
    <row r="156" spans="1:9" ht="12.75">
      <c r="A156" s="141"/>
      <c r="B156" s="174"/>
      <c r="C156" s="116"/>
      <c r="D156" s="175"/>
      <c r="E156" s="125"/>
      <c r="F156" s="125"/>
      <c r="G156" s="170">
        <f>IF(A156&lt;&gt;"",G155+F156-E156,"")</f>
      </c>
      <c r="H156" s="171">
        <f>IF(D156="",-F156+E156,"")</f>
        <v>0</v>
      </c>
      <c r="I156" s="176">
        <f>IF(D156&lt;&gt;"",G156+SUM($H$6:H156),"")</f>
      </c>
    </row>
    <row r="157" spans="1:9" ht="12.75">
      <c r="A157" s="141"/>
      <c r="B157" s="174"/>
      <c r="C157" s="116"/>
      <c r="D157" s="175"/>
      <c r="E157" s="125"/>
      <c r="F157" s="125"/>
      <c r="G157" s="170">
        <f>IF(A157&lt;&gt;"",G156+F157-E157,"")</f>
      </c>
      <c r="H157" s="171">
        <f>IF(D157="",-F157+E157,"")</f>
        <v>0</v>
      </c>
      <c r="I157" s="176">
        <f>IF(D157&lt;&gt;"",G157+SUM($H$6:H157),"")</f>
      </c>
    </row>
    <row r="158" spans="1:9" ht="12.75">
      <c r="A158" s="141"/>
      <c r="B158" s="174"/>
      <c r="C158" s="116"/>
      <c r="D158" s="175"/>
      <c r="E158" s="125"/>
      <c r="F158" s="125"/>
      <c r="G158" s="170">
        <f>IF(A158&lt;&gt;"",G157+F158-E158,"")</f>
      </c>
      <c r="H158" s="171">
        <f>IF(D158="",-F158+E158,"")</f>
        <v>0</v>
      </c>
      <c r="I158" s="176">
        <f>IF(D158&lt;&gt;"",G158+SUM($H$6:H158),"")</f>
      </c>
    </row>
    <row r="159" spans="1:9" ht="12.75">
      <c r="A159" s="141"/>
      <c r="B159" s="174"/>
      <c r="C159" s="116"/>
      <c r="D159" s="175"/>
      <c r="E159" s="125"/>
      <c r="F159" s="125"/>
      <c r="G159" s="170">
        <f>IF(A159&lt;&gt;"",G158+F159-E159,"")</f>
      </c>
      <c r="H159" s="171">
        <f>IF(D159="",-F159+E159,"")</f>
        <v>0</v>
      </c>
      <c r="I159" s="176">
        <f>IF(D159&lt;&gt;"",G159+SUM($H$6:H159),"")</f>
      </c>
    </row>
    <row r="160" spans="1:9" ht="12.75">
      <c r="A160" s="141"/>
      <c r="B160" s="174"/>
      <c r="C160" s="116"/>
      <c r="D160" s="175"/>
      <c r="E160" s="125"/>
      <c r="F160" s="125"/>
      <c r="G160" s="170">
        <f>IF(A160&lt;&gt;"",G159+F160-E160,"")</f>
      </c>
      <c r="H160" s="171">
        <f>IF(D160="",-F160+E160,"")</f>
        <v>0</v>
      </c>
      <c r="I160" s="176">
        <f>IF(D160&lt;&gt;"",G160+SUM($H$6:H160),"")</f>
      </c>
    </row>
    <row r="161" spans="1:9" ht="12.75">
      <c r="A161" s="141"/>
      <c r="B161" s="174"/>
      <c r="C161" s="116"/>
      <c r="D161" s="175"/>
      <c r="E161" s="125"/>
      <c r="F161" s="125"/>
      <c r="G161" s="170">
        <f>IF(A161&lt;&gt;"",G160+F161-E161,"")</f>
      </c>
      <c r="H161" s="171">
        <f>IF(D161="",-F161+E161,"")</f>
        <v>0</v>
      </c>
      <c r="I161" s="176">
        <f>IF(D161&lt;&gt;"",G161+SUM($H$6:H161),"")</f>
      </c>
    </row>
    <row r="162" spans="1:9" ht="12.75">
      <c r="A162" s="141"/>
      <c r="B162" s="174"/>
      <c r="C162" s="116"/>
      <c r="D162" s="175"/>
      <c r="E162" s="125"/>
      <c r="F162" s="125"/>
      <c r="G162" s="170">
        <f>IF(A162&lt;&gt;"",G161+F162-E162,"")</f>
      </c>
      <c r="H162" s="171">
        <f>IF(D162="",-F162+E162,"")</f>
        <v>0</v>
      </c>
      <c r="I162" s="176">
        <f>IF(D162&lt;&gt;"",G162+SUM($H$6:H162),"")</f>
      </c>
    </row>
    <row r="163" spans="1:9" ht="12.75">
      <c r="A163" s="141"/>
      <c r="B163" s="174"/>
      <c r="C163" s="116"/>
      <c r="D163" s="175"/>
      <c r="E163" s="125"/>
      <c r="F163" s="125"/>
      <c r="G163" s="170">
        <f>IF(A163&lt;&gt;"",G162+F163-E163,"")</f>
      </c>
      <c r="H163" s="171">
        <f>IF(D163="",-F163+E163,"")</f>
        <v>0</v>
      </c>
      <c r="I163" s="176">
        <f>IF(D163&lt;&gt;"",G163+SUM($H$6:H163),"")</f>
      </c>
    </row>
    <row r="164" spans="1:9" ht="12.75">
      <c r="A164" s="141"/>
      <c r="B164" s="174"/>
      <c r="C164" s="116"/>
      <c r="D164" s="175"/>
      <c r="E164" s="125"/>
      <c r="F164" s="125"/>
      <c r="G164" s="170">
        <f>IF(A164&lt;&gt;"",G163+F164-E164,"")</f>
      </c>
      <c r="H164" s="171">
        <f>IF(D164="",-F164+E164,"")</f>
        <v>0</v>
      </c>
      <c r="I164" s="176">
        <f>IF(D164&lt;&gt;"",G164+SUM($H$6:H164),"")</f>
      </c>
    </row>
    <row r="165" spans="1:9" ht="12.75">
      <c r="A165" s="141"/>
      <c r="B165" s="174"/>
      <c r="C165" s="116"/>
      <c r="D165" s="175"/>
      <c r="E165" s="125"/>
      <c r="F165" s="125"/>
      <c r="G165" s="170">
        <f>IF(A165&lt;&gt;"",G164+F165-E165,"")</f>
      </c>
      <c r="H165" s="171">
        <f>IF(D165="",-F165+E165,"")</f>
        <v>0</v>
      </c>
      <c r="I165" s="176">
        <f>IF(D165&lt;&gt;"",G165+SUM($H$6:H165),"")</f>
      </c>
    </row>
    <row r="166" spans="1:9" ht="12.75">
      <c r="A166" s="141"/>
      <c r="B166" s="174"/>
      <c r="C166" s="116"/>
      <c r="D166" s="175"/>
      <c r="E166" s="125"/>
      <c r="F166" s="125"/>
      <c r="G166" s="170">
        <f>IF(A166&lt;&gt;"",G165+F166-E166,"")</f>
      </c>
      <c r="H166" s="171">
        <f>IF(D166="",-F166+E166,"")</f>
        <v>0</v>
      </c>
      <c r="I166" s="176">
        <f>IF(D166&lt;&gt;"",G166+SUM($H$6:H166),"")</f>
      </c>
    </row>
    <row r="167" spans="1:9" ht="12.75">
      <c r="A167" s="141"/>
      <c r="B167" s="174"/>
      <c r="C167" s="116"/>
      <c r="D167" s="175"/>
      <c r="E167" s="125"/>
      <c r="F167" s="125"/>
      <c r="G167" s="170">
        <f>IF(A167&lt;&gt;"",G166+F167-E167,"")</f>
      </c>
      <c r="H167" s="171">
        <f>IF(D167="",-F167+E167,"")</f>
        <v>0</v>
      </c>
      <c r="I167" s="176">
        <f>IF(D167&lt;&gt;"",G167+SUM($H$6:H167),"")</f>
      </c>
    </row>
    <row r="168" spans="1:9" ht="12.75">
      <c r="A168" s="141"/>
      <c r="B168" s="174"/>
      <c r="C168" s="116"/>
      <c r="D168" s="175"/>
      <c r="E168" s="125"/>
      <c r="F168" s="125"/>
      <c r="G168" s="170">
        <f>IF(A168&lt;&gt;"",G167+F168-E168,"")</f>
      </c>
      <c r="H168" s="171">
        <f>IF(D168="",-F168+E168,"")</f>
        <v>0</v>
      </c>
      <c r="I168" s="176">
        <f>IF(D168&lt;&gt;"",G168+SUM($H$6:H168),"")</f>
      </c>
    </row>
    <row r="169" spans="1:9" ht="12.75">
      <c r="A169" s="141"/>
      <c r="B169" s="174"/>
      <c r="C169" s="116"/>
      <c r="D169" s="175"/>
      <c r="E169" s="125"/>
      <c r="F169" s="125"/>
      <c r="G169" s="170">
        <f>IF(A169&lt;&gt;"",G168+F169-E169,"")</f>
      </c>
      <c r="H169" s="171">
        <f>IF(D169="",-F169+E169,"")</f>
        <v>0</v>
      </c>
      <c r="I169" s="176">
        <f>IF(D169&lt;&gt;"",G169+SUM($H$6:H169),"")</f>
      </c>
    </row>
    <row r="170" spans="1:9" ht="12.75">
      <c r="A170" s="141"/>
      <c r="B170" s="174"/>
      <c r="C170" s="116"/>
      <c r="D170" s="175"/>
      <c r="E170" s="125"/>
      <c r="F170" s="125"/>
      <c r="G170" s="170">
        <f>IF(A170&lt;&gt;"",G169+F170-E170,"")</f>
      </c>
      <c r="H170" s="171">
        <f>IF(D170="",-F170+E170,"")</f>
        <v>0</v>
      </c>
      <c r="I170" s="176">
        <f>IF(D170&lt;&gt;"",G170+SUM($H$6:H170),"")</f>
      </c>
    </row>
    <row r="171" spans="1:9" ht="12.75">
      <c r="A171" s="141"/>
      <c r="B171" s="174"/>
      <c r="C171" s="116"/>
      <c r="D171" s="175"/>
      <c r="E171" s="125"/>
      <c r="F171" s="125"/>
      <c r="G171" s="170">
        <f>IF(A171&lt;&gt;"",G170+F171-E171,"")</f>
      </c>
      <c r="H171" s="171">
        <f>IF(D171="",-F171+E171,"")</f>
        <v>0</v>
      </c>
      <c r="I171" s="176">
        <f>IF(D171&lt;&gt;"",G171+SUM($H$6:H171),"")</f>
      </c>
    </row>
    <row r="172" spans="1:9" ht="12.75">
      <c r="A172" s="141"/>
      <c r="B172" s="174"/>
      <c r="C172" s="116"/>
      <c r="D172" s="175"/>
      <c r="E172" s="125"/>
      <c r="F172" s="125"/>
      <c r="G172" s="170">
        <f>IF(A172&lt;&gt;"",G171+F172-E172,"")</f>
      </c>
      <c r="H172" s="171">
        <f>IF(D172="",-F172+E172,"")</f>
        <v>0</v>
      </c>
      <c r="I172" s="176">
        <f>IF(D172&lt;&gt;"",G172+SUM($H$6:H172),"")</f>
      </c>
    </row>
    <row r="173" spans="1:9" ht="12.75">
      <c r="A173" s="141"/>
      <c r="B173" s="174"/>
      <c r="C173" s="116"/>
      <c r="D173" s="175"/>
      <c r="E173" s="125"/>
      <c r="F173" s="125"/>
      <c r="G173" s="170">
        <f>IF(A173&lt;&gt;"",G172+F173-E173,"")</f>
      </c>
      <c r="H173" s="171">
        <f>IF(D173="",-F173+E173,"")</f>
        <v>0</v>
      </c>
      <c r="I173" s="176">
        <f>IF(D173&lt;&gt;"",G173+SUM($H$6:H173),"")</f>
      </c>
    </row>
    <row r="174" spans="1:9" ht="12.75">
      <c r="A174" s="141"/>
      <c r="B174" s="174"/>
      <c r="C174" s="116"/>
      <c r="D174" s="175"/>
      <c r="E174" s="125"/>
      <c r="F174" s="125"/>
      <c r="G174" s="170">
        <f>IF(A174&lt;&gt;"",G173+F174-E174,"")</f>
      </c>
      <c r="H174" s="171">
        <f>IF(D174="",-F174+E174,"")</f>
        <v>0</v>
      </c>
      <c r="I174" s="176">
        <f>IF(D174&lt;&gt;"",G174+SUM($H$6:H174),"")</f>
      </c>
    </row>
    <row r="175" spans="1:9" ht="12.75">
      <c r="A175" s="141"/>
      <c r="B175" s="174"/>
      <c r="C175" s="116"/>
      <c r="D175" s="175"/>
      <c r="E175" s="125"/>
      <c r="F175" s="125"/>
      <c r="G175" s="170">
        <f>IF(A175&lt;&gt;"",G174+F175-E175,"")</f>
      </c>
      <c r="H175" s="171">
        <f>IF(D175="",-F175+E175,"")</f>
        <v>0</v>
      </c>
      <c r="I175" s="176">
        <f>IF(D175&lt;&gt;"",G175+SUM($H$6:H175),"")</f>
      </c>
    </row>
    <row r="176" spans="1:9" ht="12.75">
      <c r="A176" s="141"/>
      <c r="B176" s="174"/>
      <c r="C176" s="116"/>
      <c r="D176" s="175"/>
      <c r="E176" s="125"/>
      <c r="F176" s="125"/>
      <c r="G176" s="170">
        <f>IF(A176&lt;&gt;"",G175+F176-E176,"")</f>
      </c>
      <c r="H176" s="171">
        <f>IF(D176="",-F176+E176,"")</f>
        <v>0</v>
      </c>
      <c r="I176" s="176">
        <f>IF(D176&lt;&gt;"",G176+SUM($H$6:H176),"")</f>
      </c>
    </row>
    <row r="177" spans="1:9" ht="12.75">
      <c r="A177" s="141"/>
      <c r="B177" s="174"/>
      <c r="C177" s="116"/>
      <c r="D177" s="175"/>
      <c r="E177" s="125"/>
      <c r="F177" s="125"/>
      <c r="G177" s="170">
        <f>IF(A177&lt;&gt;"",G176+F177-E177,"")</f>
      </c>
      <c r="H177" s="171">
        <f>IF(D177="",-F177+E177,"")</f>
        <v>0</v>
      </c>
      <c r="I177" s="176">
        <f>IF(D177&lt;&gt;"",G177+SUM($H$6:H177),"")</f>
      </c>
    </row>
    <row r="178" spans="1:9" ht="12.75">
      <c r="A178" s="141"/>
      <c r="B178" s="174"/>
      <c r="C178" s="116"/>
      <c r="D178" s="175"/>
      <c r="E178" s="125"/>
      <c r="F178" s="125"/>
      <c r="G178" s="170">
        <f>IF(A178&lt;&gt;"",G177+F178-E178,"")</f>
      </c>
      <c r="H178" s="171">
        <f>IF(D178="",-F178+E178,"")</f>
        <v>0</v>
      </c>
      <c r="I178" s="176">
        <f>IF(D178&lt;&gt;"",G178+SUM($H$6:H178),"")</f>
      </c>
    </row>
    <row r="179" spans="1:9" ht="12.75">
      <c r="A179" s="141"/>
      <c r="B179" s="174"/>
      <c r="C179" s="116"/>
      <c r="D179" s="175"/>
      <c r="E179" s="125"/>
      <c r="F179" s="125"/>
      <c r="G179" s="170">
        <f>IF(A179&lt;&gt;"",G178+F179-E179,"")</f>
      </c>
      <c r="H179" s="171">
        <f>IF(D179="",-F179+E179,"")</f>
        <v>0</v>
      </c>
      <c r="I179" s="176">
        <f>IF(D179&lt;&gt;"",G179+SUM($H$6:H179),"")</f>
      </c>
    </row>
    <row r="180" spans="1:9" ht="12.75">
      <c r="A180" s="141"/>
      <c r="B180" s="174"/>
      <c r="C180" s="116"/>
      <c r="D180" s="175"/>
      <c r="E180" s="125"/>
      <c r="F180" s="125"/>
      <c r="G180" s="170">
        <f>IF(A180&lt;&gt;"",G179+F180-E180,"")</f>
      </c>
      <c r="H180" s="171">
        <f>IF(D180="",-F180+E180,"")</f>
        <v>0</v>
      </c>
      <c r="I180" s="176">
        <f>IF(D180&lt;&gt;"",G180+SUM($H$6:H180),"")</f>
      </c>
    </row>
    <row r="181" spans="1:9" ht="12.75">
      <c r="A181" s="141"/>
      <c r="B181" s="174"/>
      <c r="C181" s="116"/>
      <c r="D181" s="175"/>
      <c r="E181" s="125"/>
      <c r="F181" s="125"/>
      <c r="G181" s="170">
        <f>IF(A181&lt;&gt;"",G180+F181-E181,"")</f>
      </c>
      <c r="H181" s="171">
        <f>IF(D181="",-F181+E181,"")</f>
        <v>0</v>
      </c>
      <c r="I181" s="176">
        <f>IF(D181&lt;&gt;"",G181+SUM($H$6:H181),"")</f>
      </c>
    </row>
    <row r="182" spans="1:9" ht="12.75">
      <c r="A182" s="141"/>
      <c r="B182" s="174"/>
      <c r="C182" s="116"/>
      <c r="D182" s="175"/>
      <c r="E182" s="125"/>
      <c r="F182" s="125"/>
      <c r="G182" s="170">
        <f>IF(A182&lt;&gt;"",G181+F182-E182,"")</f>
      </c>
      <c r="H182" s="171">
        <f>IF(D182="",-F182+E182,"")</f>
        <v>0</v>
      </c>
      <c r="I182" s="176">
        <f>IF(D182&lt;&gt;"",G182+SUM($H$6:H182),"")</f>
      </c>
    </row>
    <row r="183" spans="1:9" ht="12.75">
      <c r="A183" s="141"/>
      <c r="B183" s="174"/>
      <c r="C183" s="116"/>
      <c r="D183" s="175"/>
      <c r="E183" s="125"/>
      <c r="F183" s="125"/>
      <c r="G183" s="170">
        <f>IF(A183&lt;&gt;"",G182+F183-E183,"")</f>
      </c>
      <c r="H183" s="171">
        <f>IF(D183="",-F183+E183,"")</f>
        <v>0</v>
      </c>
      <c r="I183" s="176">
        <f>IF(D183&lt;&gt;"",G183+SUM($H$6:H183),"")</f>
      </c>
    </row>
    <row r="184" spans="1:9" ht="12.75">
      <c r="A184" s="141"/>
      <c r="B184" s="174"/>
      <c r="C184" s="116"/>
      <c r="D184" s="175"/>
      <c r="E184" s="125"/>
      <c r="F184" s="125"/>
      <c r="G184" s="170">
        <f>IF(A184&lt;&gt;"",G183+F184-E184,"")</f>
      </c>
      <c r="H184" s="171">
        <f>IF(D184="",-F184+E184,"")</f>
        <v>0</v>
      </c>
      <c r="I184" s="176">
        <f>IF(D184&lt;&gt;"",G184+SUM($H$6:H184),"")</f>
      </c>
    </row>
    <row r="185" spans="1:9" ht="12.75">
      <c r="A185" s="141"/>
      <c r="B185" s="174"/>
      <c r="C185" s="116"/>
      <c r="D185" s="175"/>
      <c r="E185" s="125"/>
      <c r="F185" s="125"/>
      <c r="G185" s="170">
        <f>IF(A185&lt;&gt;"",G184+F185-E185,"")</f>
      </c>
      <c r="H185" s="171">
        <f>IF(D185="",-F185+E185,"")</f>
        <v>0</v>
      </c>
      <c r="I185" s="176">
        <f>IF(D185&lt;&gt;"",G185+SUM($H$6:H185),"")</f>
      </c>
    </row>
    <row r="186" spans="1:9" ht="12.75">
      <c r="A186" s="141"/>
      <c r="B186" s="174"/>
      <c r="C186" s="116"/>
      <c r="D186" s="175"/>
      <c r="E186" s="125"/>
      <c r="F186" s="125"/>
      <c r="G186" s="170">
        <f>IF(A186&lt;&gt;"",G185+F186-E186,"")</f>
      </c>
      <c r="H186" s="171">
        <f>IF(D186="",-F186+E186,"")</f>
        <v>0</v>
      </c>
      <c r="I186" s="176">
        <f>IF(D186&lt;&gt;"",G186+SUM($H$6:H186),"")</f>
      </c>
    </row>
    <row r="187" spans="1:9" ht="12.75">
      <c r="A187" s="141"/>
      <c r="B187" s="174"/>
      <c r="C187" s="116"/>
      <c r="D187" s="175"/>
      <c r="E187" s="125"/>
      <c r="F187" s="125"/>
      <c r="G187" s="170">
        <f>IF(A187&lt;&gt;"",G186+F187-E187,"")</f>
      </c>
      <c r="H187" s="171">
        <f>IF(D187="",-F187+E187,"")</f>
        <v>0</v>
      </c>
      <c r="I187" s="176">
        <f>IF(D187&lt;&gt;"",G187+SUM($H$6:H187),"")</f>
      </c>
    </row>
    <row r="188" spans="1:9" ht="12.75">
      <c r="A188" s="141"/>
      <c r="B188" s="174"/>
      <c r="C188" s="116"/>
      <c r="D188" s="175"/>
      <c r="E188" s="125"/>
      <c r="F188" s="125"/>
      <c r="G188" s="170">
        <f>IF(A188&lt;&gt;"",G187+F188-E188,"")</f>
      </c>
      <c r="H188" s="171">
        <f>IF(D188="",-F188+E188,"")</f>
        <v>0</v>
      </c>
      <c r="I188" s="176">
        <f>IF(D188&lt;&gt;"",G188+SUM($H$6:H188),"")</f>
      </c>
    </row>
    <row r="189" spans="1:9" ht="12.75">
      <c r="A189" s="141"/>
      <c r="B189" s="174"/>
      <c r="C189" s="116"/>
      <c r="D189" s="175"/>
      <c r="E189" s="125"/>
      <c r="F189" s="125"/>
      <c r="G189" s="170">
        <f>IF(A189&lt;&gt;"",G188+F189-E189,"")</f>
      </c>
      <c r="H189" s="171">
        <f>IF(D189="",-F189+E189,"")</f>
        <v>0</v>
      </c>
      <c r="I189" s="176">
        <f>IF(D189&lt;&gt;"",G189+SUM($H$6:H189),"")</f>
      </c>
    </row>
    <row r="190" spans="1:9" ht="12.75">
      <c r="A190" s="141"/>
      <c r="B190" s="174"/>
      <c r="C190" s="116"/>
      <c r="D190" s="175"/>
      <c r="E190" s="125"/>
      <c r="F190" s="125"/>
      <c r="G190" s="170">
        <f>IF(A190&lt;&gt;"",G189+F190-E190,"")</f>
      </c>
      <c r="H190" s="171">
        <f>IF(D190="",-F190+E190,"")</f>
        <v>0</v>
      </c>
      <c r="I190" s="176">
        <f>IF(D190&lt;&gt;"",G190+SUM($H$6:H190),"")</f>
      </c>
    </row>
    <row r="191" spans="1:9" ht="12.75">
      <c r="A191" s="141"/>
      <c r="B191" s="174"/>
      <c r="C191" s="116"/>
      <c r="D191" s="175"/>
      <c r="E191" s="125"/>
      <c r="F191" s="125"/>
      <c r="G191" s="170">
        <f>IF(A191&lt;&gt;"",G190+F191-E191,"")</f>
      </c>
      <c r="H191" s="171">
        <f>IF(D191="",-F191+E191,"")</f>
        <v>0</v>
      </c>
      <c r="I191" s="176">
        <f>IF(D191&lt;&gt;"",G191+SUM($H$6:H191),"")</f>
      </c>
    </row>
    <row r="192" spans="1:9" ht="12.75">
      <c r="A192" s="141"/>
      <c r="B192" s="174"/>
      <c r="C192" s="116"/>
      <c r="D192" s="175"/>
      <c r="E192" s="125"/>
      <c r="F192" s="125"/>
      <c r="G192" s="170">
        <f>IF(A192&lt;&gt;"",G191+F192-E192,"")</f>
      </c>
      <c r="H192" s="171">
        <f>IF(D192="",-F192+E192,"")</f>
        <v>0</v>
      </c>
      <c r="I192" s="176">
        <f>IF(D192&lt;&gt;"",G192+SUM($H$6:H192),"")</f>
      </c>
    </row>
    <row r="193" spans="1:9" ht="12.75">
      <c r="A193" s="141"/>
      <c r="B193" s="174"/>
      <c r="C193" s="116"/>
      <c r="D193" s="175"/>
      <c r="E193" s="125"/>
      <c r="F193" s="125"/>
      <c r="G193" s="170">
        <f>IF(A193&lt;&gt;"",G192+F193-E193,"")</f>
      </c>
      <c r="H193" s="171">
        <f>IF(D193="",-F193+E193,"")</f>
        <v>0</v>
      </c>
      <c r="I193" s="176">
        <f>IF(D193&lt;&gt;"",G193+SUM($H$6:H193),"")</f>
      </c>
    </row>
    <row r="194" spans="1:9" ht="12.75">
      <c r="A194" s="141"/>
      <c r="B194" s="174"/>
      <c r="C194" s="116"/>
      <c r="D194" s="175"/>
      <c r="E194" s="125"/>
      <c r="F194" s="125"/>
      <c r="G194" s="170">
        <f>IF(A194&lt;&gt;"",G193+F194-E194,"")</f>
      </c>
      <c r="H194" s="171">
        <f>IF(D194="",-F194+E194,"")</f>
        <v>0</v>
      </c>
      <c r="I194" s="176">
        <f>IF(D194&lt;&gt;"",G194+SUM($H$6:H194),"")</f>
      </c>
    </row>
    <row r="195" spans="1:9" ht="12.75">
      <c r="A195" s="141"/>
      <c r="B195" s="174"/>
      <c r="C195" s="116"/>
      <c r="D195" s="175"/>
      <c r="E195" s="125"/>
      <c r="F195" s="125"/>
      <c r="G195" s="170">
        <f>IF(A195&lt;&gt;"",G194+F195-E195,"")</f>
      </c>
      <c r="H195" s="171">
        <f>IF(D195="",-F195+E195,"")</f>
        <v>0</v>
      </c>
      <c r="I195" s="176">
        <f>IF(D195&lt;&gt;"",G195+SUM($H$6:H195),"")</f>
      </c>
    </row>
    <row r="196" spans="1:9" ht="12.75">
      <c r="A196" s="141"/>
      <c r="B196" s="174"/>
      <c r="C196" s="116"/>
      <c r="D196" s="175"/>
      <c r="E196" s="125"/>
      <c r="F196" s="125"/>
      <c r="G196" s="170">
        <f>IF(A196&lt;&gt;"",G195+F196-E196,"")</f>
      </c>
      <c r="H196" s="171">
        <f>IF(D196="",-F196+E196,"")</f>
        <v>0</v>
      </c>
      <c r="I196" s="176">
        <f>IF(D196&lt;&gt;"",G196+SUM($H$6:H196),"")</f>
      </c>
    </row>
    <row r="197" spans="1:9" ht="12.75">
      <c r="A197" s="141"/>
      <c r="B197" s="174"/>
      <c r="C197" s="116"/>
      <c r="D197" s="175"/>
      <c r="E197" s="125"/>
      <c r="F197" s="125"/>
      <c r="G197" s="170">
        <f>IF(A197&lt;&gt;"",G196+F197-E197,"")</f>
      </c>
      <c r="H197" s="171">
        <f>IF(D197="",-F197+E197,"")</f>
        <v>0</v>
      </c>
      <c r="I197" s="176">
        <f>IF(D197&lt;&gt;"",G197+SUM($H$6:H197),"")</f>
      </c>
    </row>
    <row r="198" spans="1:9" ht="12.75">
      <c r="A198" s="141"/>
      <c r="B198" s="174"/>
      <c r="C198" s="116"/>
      <c r="D198" s="175"/>
      <c r="E198" s="125"/>
      <c r="F198" s="125"/>
      <c r="G198" s="170">
        <f>IF(A198&lt;&gt;"",G197+F198-E198,"")</f>
      </c>
      <c r="H198" s="171">
        <f>IF(D198="",-F198+E198,"")</f>
        <v>0</v>
      </c>
      <c r="I198" s="176">
        <f>IF(D198&lt;&gt;"",G198+SUM($H$6:H198),"")</f>
      </c>
    </row>
    <row r="199" spans="1:9" ht="12.75">
      <c r="A199" s="141"/>
      <c r="B199" s="174"/>
      <c r="C199" s="116"/>
      <c r="D199" s="175"/>
      <c r="E199" s="125"/>
      <c r="F199" s="125"/>
      <c r="G199" s="170">
        <f>IF(A199&lt;&gt;"",G198+F199-E199,"")</f>
      </c>
      <c r="H199" s="171">
        <f>IF(D199="",-F199+E199,"")</f>
        <v>0</v>
      </c>
      <c r="I199" s="176">
        <f>IF(D199&lt;&gt;"",G199+SUM($H$6:H199),"")</f>
      </c>
    </row>
    <row r="200" spans="1:9" ht="12.75">
      <c r="A200" s="141"/>
      <c r="B200" s="174"/>
      <c r="C200" s="116"/>
      <c r="D200" s="175"/>
      <c r="E200" s="125"/>
      <c r="F200" s="125"/>
      <c r="G200" s="170">
        <f>IF(A200&lt;&gt;"",G199+F200-E200,"")</f>
      </c>
      <c r="H200" s="171">
        <f>IF(D200="",-F200+E200,"")</f>
        <v>0</v>
      </c>
      <c r="I200" s="176">
        <f>IF(D200&lt;&gt;"",G200+SUM($H$6:H200),"")</f>
      </c>
    </row>
    <row r="201" spans="1:9" ht="12.75">
      <c r="A201" s="141"/>
      <c r="B201" s="174"/>
      <c r="C201" s="116"/>
      <c r="D201" s="175"/>
      <c r="E201" s="125"/>
      <c r="F201" s="125"/>
      <c r="G201" s="170">
        <f>IF(A201&lt;&gt;"",G200+F201-E201,"")</f>
      </c>
      <c r="H201" s="171">
        <f>IF(D201="",-F201+E201,"")</f>
        <v>0</v>
      </c>
      <c r="I201" s="176">
        <f>IF(D201&lt;&gt;"",G201+SUM($H$6:H201),"")</f>
      </c>
    </row>
    <row r="202" spans="1:9" ht="12.75">
      <c r="A202" s="141"/>
      <c r="B202" s="174"/>
      <c r="C202" s="116"/>
      <c r="D202" s="175"/>
      <c r="E202" s="125"/>
      <c r="F202" s="125"/>
      <c r="G202" s="170">
        <f>IF(A202&lt;&gt;"",G201+F202-E202,"")</f>
      </c>
      <c r="H202" s="171">
        <f>IF(D202="",-F202+E202,"")</f>
        <v>0</v>
      </c>
      <c r="I202" s="176">
        <f>IF(D202&lt;&gt;"",G202+SUM($H$6:H202),"")</f>
      </c>
    </row>
    <row r="203" spans="1:9" ht="12.75">
      <c r="A203" s="141"/>
      <c r="B203" s="174"/>
      <c r="C203" s="116"/>
      <c r="D203" s="175"/>
      <c r="E203" s="125"/>
      <c r="F203" s="125"/>
      <c r="G203" s="170">
        <f>IF(A203&lt;&gt;"",G202+F203-E203,"")</f>
      </c>
      <c r="H203" s="171">
        <f>IF(D203="",-F203+E203,"")</f>
        <v>0</v>
      </c>
      <c r="I203" s="176">
        <f>IF(D203&lt;&gt;"",G203+SUM($H$6:H203),"")</f>
      </c>
    </row>
    <row r="204" spans="1:9" ht="12.75">
      <c r="A204" s="141"/>
      <c r="B204" s="174"/>
      <c r="C204" s="116"/>
      <c r="D204" s="175"/>
      <c r="E204" s="125"/>
      <c r="F204" s="125"/>
      <c r="G204" s="170">
        <f>IF(A204&lt;&gt;"",G203+F204-E204,"")</f>
      </c>
      <c r="H204" s="171">
        <f>IF(D204="",-F204+E204,"")</f>
        <v>0</v>
      </c>
      <c r="I204" s="176">
        <f>IF(D204&lt;&gt;"",G204+SUM($H$6:H204),"")</f>
      </c>
    </row>
    <row r="205" spans="1:9" ht="12.75">
      <c r="A205" s="141"/>
      <c r="B205" s="174"/>
      <c r="C205" s="116"/>
      <c r="D205" s="175"/>
      <c r="E205" s="125"/>
      <c r="F205" s="125"/>
      <c r="G205" s="170">
        <f>IF(A205&lt;&gt;"",G204+F205-E205,"")</f>
      </c>
      <c r="H205" s="171">
        <f>IF(D205="",-F205+E205,"")</f>
        <v>0</v>
      </c>
      <c r="I205" s="176">
        <f>IF(D205&lt;&gt;"",G205+SUM($H$6:H205),"")</f>
      </c>
    </row>
    <row r="206" spans="1:9" ht="12.75">
      <c r="A206" s="141"/>
      <c r="B206" s="174"/>
      <c r="C206" s="116"/>
      <c r="D206" s="175"/>
      <c r="E206" s="125"/>
      <c r="F206" s="125"/>
      <c r="G206" s="170">
        <f>IF(A206&lt;&gt;"",G205+F206-E206,"")</f>
      </c>
      <c r="H206" s="171">
        <f>IF(D206="",-F206+E206,"")</f>
        <v>0</v>
      </c>
      <c r="I206" s="176">
        <f>IF(D206&lt;&gt;"",G206+SUM($H$6:H206),"")</f>
      </c>
    </row>
    <row r="207" spans="1:9" ht="12.75">
      <c r="A207" s="141"/>
      <c r="B207" s="174"/>
      <c r="C207" s="116"/>
      <c r="D207" s="175"/>
      <c r="E207" s="125"/>
      <c r="F207" s="125"/>
      <c r="G207" s="170">
        <f>IF(A207&lt;&gt;"",G206+F207-E207,"")</f>
      </c>
      <c r="H207" s="171">
        <f>IF(D207="",-F207+E207,"")</f>
        <v>0</v>
      </c>
      <c r="I207" s="176">
        <f>IF(D207&lt;&gt;"",G207+SUM($H$6:H207),"")</f>
      </c>
    </row>
    <row r="208" spans="1:9" ht="12.75">
      <c r="A208" s="141"/>
      <c r="B208" s="174"/>
      <c r="C208" s="116"/>
      <c r="D208" s="175"/>
      <c r="E208" s="125"/>
      <c r="F208" s="125"/>
      <c r="G208" s="170">
        <f>IF(A208&lt;&gt;"",G207+F208-E208,"")</f>
      </c>
      <c r="H208" s="171">
        <f>IF(D208="",-F208+E208,"")</f>
        <v>0</v>
      </c>
      <c r="I208" s="176">
        <f>IF(D208&lt;&gt;"",G208+SUM($H$6:H208),"")</f>
      </c>
    </row>
    <row r="209" spans="1:9" ht="12.75">
      <c r="A209" s="141"/>
      <c r="B209" s="174"/>
      <c r="C209" s="116"/>
      <c r="D209" s="175"/>
      <c r="E209" s="125"/>
      <c r="F209" s="125"/>
      <c r="G209" s="170">
        <f>IF(A209&lt;&gt;"",G208+F209-E209,"")</f>
      </c>
      <c r="H209" s="171">
        <f>IF(D209="",-F209+E209,"")</f>
        <v>0</v>
      </c>
      <c r="I209" s="176">
        <f>IF(D209&lt;&gt;"",G209+SUM($H$6:H209),"")</f>
      </c>
    </row>
    <row r="210" spans="1:9" ht="12.75">
      <c r="A210" s="141"/>
      <c r="B210" s="174"/>
      <c r="C210" s="116"/>
      <c r="D210" s="175"/>
      <c r="E210" s="125"/>
      <c r="F210" s="125"/>
      <c r="G210" s="170">
        <f>IF(A210&lt;&gt;"",G209+F210-E210,"")</f>
      </c>
      <c r="H210" s="171">
        <f>IF(D210="",-F210+E210,"")</f>
        <v>0</v>
      </c>
      <c r="I210" s="176">
        <f>IF(D210&lt;&gt;"",G210+SUM($H$6:H210),"")</f>
      </c>
    </row>
    <row r="211" spans="1:9" ht="12.75">
      <c r="A211" s="141"/>
      <c r="B211" s="174"/>
      <c r="C211" s="116"/>
      <c r="D211" s="175"/>
      <c r="E211" s="125"/>
      <c r="F211" s="125"/>
      <c r="G211" s="170">
        <f>IF(A211&lt;&gt;"",G210+F211-E211,"")</f>
      </c>
      <c r="H211" s="171">
        <f>IF(D211="",-F211+E211,"")</f>
        <v>0</v>
      </c>
      <c r="I211" s="176">
        <f>IF(D211&lt;&gt;"",G211+SUM($H$6:H211),"")</f>
      </c>
    </row>
    <row r="212" spans="1:9" ht="12.75">
      <c r="A212" s="141"/>
      <c r="B212" s="174"/>
      <c r="C212" s="116"/>
      <c r="D212" s="175"/>
      <c r="E212" s="125"/>
      <c r="F212" s="125"/>
      <c r="G212" s="170">
        <f>IF(A212&lt;&gt;"",G211+F212-E212,"")</f>
      </c>
      <c r="H212" s="171">
        <f>IF(D212="",-F212+E212,"")</f>
        <v>0</v>
      </c>
      <c r="I212" s="176">
        <f>IF(D212&lt;&gt;"",G212+SUM($H$6:H212),"")</f>
      </c>
    </row>
    <row r="213" spans="1:9" ht="12.75">
      <c r="A213" s="141"/>
      <c r="B213" s="174"/>
      <c r="C213" s="116"/>
      <c r="D213" s="175"/>
      <c r="E213" s="125"/>
      <c r="F213" s="125"/>
      <c r="G213" s="170">
        <f>IF(A213&lt;&gt;"",G212+F213-E213,"")</f>
      </c>
      <c r="H213" s="171">
        <f>IF(D213="",-F213+E213,"")</f>
        <v>0</v>
      </c>
      <c r="I213" s="176">
        <f>IF(D213&lt;&gt;"",G213+SUM($H$6:H213),"")</f>
      </c>
    </row>
    <row r="214" spans="1:9" ht="12.75">
      <c r="A214" s="141"/>
      <c r="B214" s="174"/>
      <c r="C214" s="116"/>
      <c r="D214" s="175"/>
      <c r="E214" s="125"/>
      <c r="F214" s="125"/>
      <c r="G214" s="170">
        <f>IF(A214&lt;&gt;"",G213+F214-E214,"")</f>
      </c>
      <c r="H214" s="171">
        <f>IF(D214="",-F214+E214,"")</f>
        <v>0</v>
      </c>
      <c r="I214" s="176">
        <f>IF(D214&lt;&gt;"",G214+SUM($H$6:H214),"")</f>
      </c>
    </row>
    <row r="215" spans="1:9" ht="12.75">
      <c r="A215" s="141"/>
      <c r="B215" s="174"/>
      <c r="C215" s="116"/>
      <c r="D215" s="175"/>
      <c r="E215" s="125"/>
      <c r="F215" s="125"/>
      <c r="G215" s="170">
        <f>IF(A215&lt;&gt;"",G214+F215-E215,"")</f>
      </c>
      <c r="H215" s="171">
        <f>IF(D215="",-F215+E215,"")</f>
        <v>0</v>
      </c>
      <c r="I215" s="176">
        <f>IF(D215&lt;&gt;"",G215+SUM($H$6:H215),"")</f>
      </c>
    </row>
    <row r="216" spans="1:9" ht="12.75">
      <c r="A216" s="141"/>
      <c r="B216" s="174"/>
      <c r="C216" s="116"/>
      <c r="D216" s="175"/>
      <c r="E216" s="125"/>
      <c r="F216" s="125"/>
      <c r="G216" s="170">
        <f>IF(A216&lt;&gt;"",G215+F216-E216,"")</f>
      </c>
      <c r="H216" s="171">
        <f>IF(D216="",-F216+E216,"")</f>
        <v>0</v>
      </c>
      <c r="I216" s="176">
        <f>IF(D216&lt;&gt;"",G216+SUM($H$6:H216),"")</f>
      </c>
    </row>
    <row r="217" spans="1:9" ht="12.75">
      <c r="A217" s="141"/>
      <c r="B217" s="174"/>
      <c r="C217" s="116"/>
      <c r="D217" s="175"/>
      <c r="E217" s="125"/>
      <c r="F217" s="125"/>
      <c r="G217" s="170">
        <f>IF(A217&lt;&gt;"",G216+F217-E217,"")</f>
      </c>
      <c r="H217" s="171">
        <f>IF(D217="",-F217+E217,"")</f>
        <v>0</v>
      </c>
      <c r="I217" s="176">
        <f>IF(D217&lt;&gt;"",G217+SUM($H$6:H217),"")</f>
      </c>
    </row>
    <row r="218" spans="1:9" ht="12.75">
      <c r="A218" s="141"/>
      <c r="B218" s="174"/>
      <c r="C218" s="116"/>
      <c r="D218" s="175"/>
      <c r="E218" s="125"/>
      <c r="F218" s="125"/>
      <c r="G218" s="170">
        <f>IF(A218&lt;&gt;"",G217+F218-E218,"")</f>
      </c>
      <c r="H218" s="171">
        <f>IF(D218="",-F218+E218,"")</f>
        <v>0</v>
      </c>
      <c r="I218" s="176">
        <f>IF(D218&lt;&gt;"",G218+SUM($H$6:H218),"")</f>
      </c>
    </row>
    <row r="219" spans="1:9" ht="12.75">
      <c r="A219" s="141"/>
      <c r="B219" s="174"/>
      <c r="C219" s="116"/>
      <c r="D219" s="175"/>
      <c r="E219" s="125"/>
      <c r="F219" s="125"/>
      <c r="G219" s="170">
        <f>IF(A219&lt;&gt;"",G218+F219-E219,"")</f>
      </c>
      <c r="H219" s="171">
        <f>IF(D219="",-F219+E219,"")</f>
        <v>0</v>
      </c>
      <c r="I219" s="176">
        <f>IF(D219&lt;&gt;"",G219+SUM($H$6:H219),"")</f>
      </c>
    </row>
    <row r="220" spans="1:9" ht="12.75">
      <c r="A220" s="141"/>
      <c r="B220" s="174"/>
      <c r="C220" s="116"/>
      <c r="D220" s="175"/>
      <c r="E220" s="125"/>
      <c r="F220" s="125"/>
      <c r="G220" s="170">
        <f>IF(A220&lt;&gt;"",G219+F220-E220,"")</f>
      </c>
      <c r="H220" s="171">
        <f>IF(D220="",-F220+E220,"")</f>
        <v>0</v>
      </c>
      <c r="I220" s="176">
        <f>IF(D220&lt;&gt;"",G220+SUM($H$6:H220),"")</f>
      </c>
    </row>
    <row r="221" spans="1:9" ht="12.75">
      <c r="A221" s="141"/>
      <c r="B221" s="174"/>
      <c r="C221" s="116"/>
      <c r="D221" s="175"/>
      <c r="E221" s="125"/>
      <c r="F221" s="125"/>
      <c r="G221" s="170">
        <f>IF(A221&lt;&gt;"",G220+F221-E221,"")</f>
      </c>
      <c r="H221" s="171">
        <f>IF(D221="",-F221+E221,"")</f>
        <v>0</v>
      </c>
      <c r="I221" s="176">
        <f>IF(D221&lt;&gt;"",G221+SUM($H$6:H221),"")</f>
      </c>
    </row>
    <row r="222" spans="1:9" ht="12.75">
      <c r="A222" s="141"/>
      <c r="B222" s="174"/>
      <c r="C222" s="116"/>
      <c r="D222" s="175"/>
      <c r="E222" s="125"/>
      <c r="F222" s="125"/>
      <c r="G222" s="170">
        <f>IF(A222&lt;&gt;"",G221+F222-E222,"")</f>
      </c>
      <c r="H222" s="171">
        <f>IF(D222="",-F222+E222,"")</f>
        <v>0</v>
      </c>
      <c r="I222" s="176">
        <f>IF(D222&lt;&gt;"",G222+SUM($H$6:H222),"")</f>
      </c>
    </row>
    <row r="223" spans="1:9" ht="12.75">
      <c r="A223" s="141"/>
      <c r="B223" s="174"/>
      <c r="C223" s="116"/>
      <c r="D223" s="175"/>
      <c r="E223" s="125"/>
      <c r="F223" s="125"/>
      <c r="G223" s="170">
        <f>IF(A223&lt;&gt;"",G222+F223-E223,"")</f>
      </c>
      <c r="H223" s="171">
        <f>IF(D223="",-F223+E223,"")</f>
        <v>0</v>
      </c>
      <c r="I223" s="176">
        <f>IF(D223&lt;&gt;"",G223+SUM($H$6:H223),"")</f>
      </c>
    </row>
    <row r="224" spans="1:9" ht="12.75">
      <c r="A224" s="141"/>
      <c r="B224" s="174"/>
      <c r="C224" s="116"/>
      <c r="D224" s="175"/>
      <c r="E224" s="125"/>
      <c r="F224" s="125"/>
      <c r="G224" s="170">
        <f>IF(A224&lt;&gt;"",G223+F224-E224,"")</f>
      </c>
      <c r="H224" s="171">
        <f>IF(D224="",-F224+E224,"")</f>
        <v>0</v>
      </c>
      <c r="I224" s="176">
        <f>IF(D224&lt;&gt;"",G224+SUM($H$6:H224),"")</f>
      </c>
    </row>
    <row r="225" spans="1:9" ht="12.75">
      <c r="A225" s="141"/>
      <c r="B225" s="174"/>
      <c r="C225" s="116"/>
      <c r="D225" s="175"/>
      <c r="E225" s="125"/>
      <c r="F225" s="125"/>
      <c r="G225" s="170">
        <f>IF(A225&lt;&gt;"",G224+F225-E225,"")</f>
      </c>
      <c r="H225" s="171">
        <f>IF(D225="",-F225+E225,"")</f>
        <v>0</v>
      </c>
      <c r="I225" s="176">
        <f>IF(D225&lt;&gt;"",G225+SUM($H$6:H225),"")</f>
      </c>
    </row>
    <row r="226" spans="1:9" ht="12.75">
      <c r="A226" s="141"/>
      <c r="B226" s="174"/>
      <c r="C226" s="116"/>
      <c r="D226" s="175"/>
      <c r="E226" s="125"/>
      <c r="F226" s="125"/>
      <c r="G226" s="170">
        <f>IF(A226&lt;&gt;"",G225+F226-E226,"")</f>
      </c>
      <c r="H226" s="171">
        <f>IF(D226="",-F226+E226,"")</f>
        <v>0</v>
      </c>
      <c r="I226" s="176">
        <f>IF(D226&lt;&gt;"",G226+SUM($H$6:H226),"")</f>
      </c>
    </row>
    <row r="227" spans="1:9" ht="12.75">
      <c r="A227" s="141"/>
      <c r="B227" s="174"/>
      <c r="C227" s="116"/>
      <c r="D227" s="175"/>
      <c r="E227" s="125"/>
      <c r="F227" s="125"/>
      <c r="G227" s="170">
        <f>IF(A227&lt;&gt;"",G226+F227-E227,"")</f>
      </c>
      <c r="H227" s="171">
        <f>IF(D227="",-F227+E227,"")</f>
        <v>0</v>
      </c>
      <c r="I227" s="176">
        <f>IF(D227&lt;&gt;"",G227+SUM($H$6:H227),"")</f>
      </c>
    </row>
    <row r="228" spans="1:9" ht="12.75">
      <c r="A228" s="141"/>
      <c r="B228" s="174"/>
      <c r="C228" s="116"/>
      <c r="D228" s="175"/>
      <c r="E228" s="125"/>
      <c r="F228" s="125"/>
      <c r="G228" s="170">
        <f>IF(A228&lt;&gt;"",G227+F228-E228,"")</f>
      </c>
      <c r="H228" s="171">
        <f>IF(D228="",-F228+E228,"")</f>
        <v>0</v>
      </c>
      <c r="I228" s="176">
        <f>IF(D228&lt;&gt;"",G228+SUM($H$6:H228),"")</f>
      </c>
    </row>
    <row r="229" spans="1:9" ht="12.75">
      <c r="A229" s="141"/>
      <c r="B229" s="174"/>
      <c r="C229" s="116"/>
      <c r="D229" s="175"/>
      <c r="E229" s="125"/>
      <c r="F229" s="125"/>
      <c r="G229" s="170">
        <f>IF(A229&lt;&gt;"",G228+F229-E229,"")</f>
      </c>
      <c r="H229" s="171">
        <f>IF(D229="",-F229+E229,"")</f>
        <v>0</v>
      </c>
      <c r="I229" s="176">
        <f>IF(D229&lt;&gt;"",G229+SUM($H$6:H229),"")</f>
      </c>
    </row>
    <row r="230" spans="1:9" ht="12.75">
      <c r="A230" s="141"/>
      <c r="B230" s="174"/>
      <c r="C230" s="116"/>
      <c r="D230" s="175"/>
      <c r="E230" s="125"/>
      <c r="F230" s="125"/>
      <c r="G230" s="170">
        <f>IF(A230&lt;&gt;"",G229+F230-E230,"")</f>
      </c>
      <c r="H230" s="171">
        <f>IF(D230="",-F230+E230,"")</f>
        <v>0</v>
      </c>
      <c r="I230" s="176">
        <f>IF(D230&lt;&gt;"",G230+SUM($H$6:H230),"")</f>
      </c>
    </row>
    <row r="231" spans="1:9" ht="12.75">
      <c r="A231" s="141"/>
      <c r="B231" s="174"/>
      <c r="C231" s="116"/>
      <c r="D231" s="175"/>
      <c r="E231" s="125"/>
      <c r="F231" s="125"/>
      <c r="G231" s="170">
        <f>IF(A231&lt;&gt;"",G230+F231-E231,"")</f>
      </c>
      <c r="H231" s="171">
        <f>IF(D231="",-F231+E231,"")</f>
        <v>0</v>
      </c>
      <c r="I231" s="176">
        <f>IF(D231&lt;&gt;"",G231+SUM($H$6:H231),"")</f>
      </c>
    </row>
    <row r="232" spans="1:9" ht="12.75">
      <c r="A232" s="141"/>
      <c r="B232" s="174"/>
      <c r="C232" s="116"/>
      <c r="D232" s="175"/>
      <c r="E232" s="125"/>
      <c r="F232" s="125"/>
      <c r="G232" s="170">
        <f>IF(A232&lt;&gt;"",G231+F232-E232,"")</f>
      </c>
      <c r="H232" s="171">
        <f>IF(D232="",-F232+E232,"")</f>
        <v>0</v>
      </c>
      <c r="I232" s="176">
        <f>IF(D232&lt;&gt;"",G232+SUM($H$6:H232),"")</f>
      </c>
    </row>
    <row r="233" spans="1:9" ht="12.75">
      <c r="A233" s="141"/>
      <c r="B233" s="174"/>
      <c r="C233" s="116"/>
      <c r="D233" s="175"/>
      <c r="E233" s="125"/>
      <c r="F233" s="125"/>
      <c r="G233" s="170">
        <f>IF(A233&lt;&gt;"",G232+F233-E233,"")</f>
      </c>
      <c r="H233" s="171">
        <f>IF(D233="",-F233+E233,"")</f>
        <v>0</v>
      </c>
      <c r="I233" s="176">
        <f>IF(D233&lt;&gt;"",G233+SUM($H$6:H233),"")</f>
      </c>
    </row>
    <row r="234" spans="1:9" ht="12.75">
      <c r="A234" s="141"/>
      <c r="B234" s="174"/>
      <c r="C234" s="116"/>
      <c r="D234" s="175"/>
      <c r="E234" s="125"/>
      <c r="F234" s="125"/>
      <c r="G234" s="170">
        <f>IF(A234&lt;&gt;"",G233+F234-E234,"")</f>
      </c>
      <c r="H234" s="171">
        <f>IF(D234="",-F234+E234,"")</f>
        <v>0</v>
      </c>
      <c r="I234" s="176">
        <f>IF(D234&lt;&gt;"",G234+SUM($H$6:H234),"")</f>
      </c>
    </row>
    <row r="235" spans="1:9" ht="12.75">
      <c r="A235" s="141"/>
      <c r="B235" s="174"/>
      <c r="C235" s="116"/>
      <c r="D235" s="175"/>
      <c r="E235" s="125"/>
      <c r="F235" s="125"/>
      <c r="G235" s="170">
        <f>IF(A235&lt;&gt;"",G234+F235-E235,"")</f>
      </c>
      <c r="H235" s="171">
        <f>IF(D235="",-F235+E235,"")</f>
        <v>0</v>
      </c>
      <c r="I235" s="176">
        <f>IF(D235&lt;&gt;"",G235+SUM($H$6:H235),"")</f>
      </c>
    </row>
    <row r="236" spans="1:9" ht="12.75">
      <c r="A236" s="141"/>
      <c r="B236" s="174"/>
      <c r="C236" s="116"/>
      <c r="D236" s="175"/>
      <c r="E236" s="125"/>
      <c r="F236" s="125"/>
      <c r="G236" s="170">
        <f>IF(A236&lt;&gt;"",G235+F236-E236,"")</f>
      </c>
      <c r="H236" s="171">
        <f>IF(D236="",-F236+E236,"")</f>
        <v>0</v>
      </c>
      <c r="I236" s="176">
        <f>IF(D236&lt;&gt;"",G236+SUM($H$6:H236),"")</f>
      </c>
    </row>
    <row r="237" spans="1:9" ht="12.75">
      <c r="A237" s="141"/>
      <c r="B237" s="174"/>
      <c r="C237" s="116"/>
      <c r="D237" s="175"/>
      <c r="E237" s="125"/>
      <c r="F237" s="125"/>
      <c r="G237" s="170">
        <f>IF(A237&lt;&gt;"",G236+F237-E237,"")</f>
      </c>
      <c r="H237" s="171">
        <f>IF(D237="",-F237+E237,"")</f>
        <v>0</v>
      </c>
      <c r="I237" s="176">
        <f>IF(D237&lt;&gt;"",G237+SUM($H$6:H237),"")</f>
      </c>
    </row>
    <row r="238" spans="1:9" ht="12.75">
      <c r="A238" s="141"/>
      <c r="B238" s="174"/>
      <c r="C238" s="116"/>
      <c r="D238" s="175"/>
      <c r="E238" s="125"/>
      <c r="F238" s="125"/>
      <c r="G238" s="170">
        <f>IF(A238&lt;&gt;"",G237+F238-E238,"")</f>
      </c>
      <c r="H238" s="171">
        <f>IF(D238="",-F238+E238,"")</f>
        <v>0</v>
      </c>
      <c r="I238" s="176">
        <f>IF(D238&lt;&gt;"",G238+SUM($H$6:H238),"")</f>
      </c>
    </row>
    <row r="239" spans="1:9" ht="12.75">
      <c r="A239" s="141"/>
      <c r="B239" s="174"/>
      <c r="C239" s="116"/>
      <c r="D239" s="175"/>
      <c r="E239" s="125"/>
      <c r="F239" s="125"/>
      <c r="G239" s="170">
        <f>IF(A239&lt;&gt;"",G238+F239-E239,"")</f>
      </c>
      <c r="H239" s="171">
        <f>IF(D239="",-F239+E239,"")</f>
        <v>0</v>
      </c>
      <c r="I239" s="176">
        <f>IF(D239&lt;&gt;"",G239+SUM($H$6:H239),"")</f>
      </c>
    </row>
    <row r="240" spans="1:9" ht="12.75">
      <c r="A240" s="141"/>
      <c r="B240" s="174"/>
      <c r="C240" s="116"/>
      <c r="D240" s="175"/>
      <c r="E240" s="125"/>
      <c r="F240" s="125"/>
      <c r="G240" s="170">
        <f>IF(A240&lt;&gt;"",G239+F240-E240,"")</f>
      </c>
      <c r="H240" s="171">
        <f>IF(D240="",-F240+E240,"")</f>
        <v>0</v>
      </c>
      <c r="I240" s="176">
        <f>IF(D240&lt;&gt;"",G240+SUM($H$6:H240),"")</f>
      </c>
    </row>
    <row r="241" spans="1:9" ht="12.75">
      <c r="A241" s="141"/>
      <c r="B241" s="174"/>
      <c r="C241" s="116"/>
      <c r="D241" s="175"/>
      <c r="E241" s="125"/>
      <c r="F241" s="125"/>
      <c r="G241" s="170">
        <f>IF(A241&lt;&gt;"",G240+F241-E241,"")</f>
      </c>
      <c r="H241" s="171">
        <f>IF(D241="",-F241+E241,"")</f>
        <v>0</v>
      </c>
      <c r="I241" s="176">
        <f>IF(D241&lt;&gt;"",G241+SUM($H$6:H241),"")</f>
      </c>
    </row>
    <row r="242" spans="1:9" ht="12.75">
      <c r="A242" s="141"/>
      <c r="B242" s="174"/>
      <c r="C242" s="116"/>
      <c r="D242" s="175"/>
      <c r="E242" s="125"/>
      <c r="F242" s="125"/>
      <c r="G242" s="170">
        <f>IF(A242&lt;&gt;"",G241+F242-E242,"")</f>
      </c>
      <c r="H242" s="171">
        <f>IF(D242="",-F242+E242,"")</f>
        <v>0</v>
      </c>
      <c r="I242" s="176">
        <f>IF(D242&lt;&gt;"",G242+SUM($H$6:H242),"")</f>
      </c>
    </row>
    <row r="243" spans="1:9" ht="12.75">
      <c r="A243" s="141"/>
      <c r="B243" s="174"/>
      <c r="C243" s="116"/>
      <c r="D243" s="175"/>
      <c r="E243" s="125"/>
      <c r="F243" s="125"/>
      <c r="G243" s="170">
        <f>IF(A243&lt;&gt;"",G242+F243-E243,"")</f>
      </c>
      <c r="H243" s="171">
        <f>IF(D243="",-F243+E243,"")</f>
        <v>0</v>
      </c>
      <c r="I243" s="176">
        <f>IF(D243&lt;&gt;"",G243+SUM($H$6:H243),"")</f>
      </c>
    </row>
    <row r="244" spans="1:9" ht="12.75">
      <c r="A244" s="141"/>
      <c r="B244" s="174"/>
      <c r="C244" s="116"/>
      <c r="D244" s="175"/>
      <c r="E244" s="125"/>
      <c r="F244" s="125"/>
      <c r="G244" s="170">
        <f>IF(A244&lt;&gt;"",G243+F244-E244,"")</f>
      </c>
      <c r="H244" s="171">
        <f>IF(D244="",-F244+E244,"")</f>
        <v>0</v>
      </c>
      <c r="I244" s="176">
        <f>IF(D244&lt;&gt;"",G244+SUM($H$6:H244),"")</f>
      </c>
    </row>
    <row r="245" spans="1:9" ht="12.75">
      <c r="A245" s="141"/>
      <c r="B245" s="174"/>
      <c r="C245" s="116"/>
      <c r="D245" s="175"/>
      <c r="E245" s="125"/>
      <c r="F245" s="125"/>
      <c r="G245" s="170">
        <f>IF(A245&lt;&gt;"",G244+F245-E245,"")</f>
      </c>
      <c r="H245" s="171">
        <f>IF(D245="",-F245+E245,"")</f>
        <v>0</v>
      </c>
      <c r="I245" s="176">
        <f>IF(D245&lt;&gt;"",G245+SUM($H$6:H245),"")</f>
      </c>
    </row>
    <row r="246" spans="1:9" ht="12.75">
      <c r="A246" s="141"/>
      <c r="B246" s="174"/>
      <c r="C246" s="116"/>
      <c r="D246" s="175"/>
      <c r="E246" s="125"/>
      <c r="F246" s="125"/>
      <c r="G246" s="170">
        <f>IF(A246&lt;&gt;"",G245+F246-E246,"")</f>
      </c>
      <c r="H246" s="171">
        <f>IF(D246="",-F246+E246,"")</f>
        <v>0</v>
      </c>
      <c r="I246" s="176">
        <f>IF(D246&lt;&gt;"",G246+SUM($H$6:H246),"")</f>
      </c>
    </row>
    <row r="247" spans="1:9" ht="12.75">
      <c r="A247" s="141"/>
      <c r="B247" s="174"/>
      <c r="C247" s="116"/>
      <c r="D247" s="175"/>
      <c r="E247" s="125"/>
      <c r="F247" s="125"/>
      <c r="G247" s="170">
        <f>IF(A247&lt;&gt;"",G246+F247-E247,"")</f>
      </c>
      <c r="H247" s="171">
        <f>IF(D247="",-F247+E247,"")</f>
        <v>0</v>
      </c>
      <c r="I247" s="176">
        <f>IF(D247&lt;&gt;"",G247+SUM($H$6:H247),"")</f>
      </c>
    </row>
    <row r="248" spans="1:9" ht="12.75">
      <c r="A248" s="141"/>
      <c r="B248" s="174"/>
      <c r="C248" s="116"/>
      <c r="D248" s="175"/>
      <c r="E248" s="125"/>
      <c r="F248" s="125"/>
      <c r="G248" s="170">
        <f>IF(A248&lt;&gt;"",G247+F248-E248,"")</f>
      </c>
      <c r="H248" s="171">
        <f>IF(D248="",-F248+E248,"")</f>
        <v>0</v>
      </c>
      <c r="I248" s="176">
        <f>IF(D248&lt;&gt;"",G248+SUM($H$6:H248),"")</f>
      </c>
    </row>
    <row r="249" spans="1:9" ht="12.75">
      <c r="A249" s="141"/>
      <c r="B249" s="174"/>
      <c r="C249" s="116"/>
      <c r="D249" s="175"/>
      <c r="E249" s="125"/>
      <c r="F249" s="125"/>
      <c r="G249" s="170">
        <f>IF(A249&lt;&gt;"",G248+F249-E249,"")</f>
      </c>
      <c r="H249" s="171">
        <f>IF(D249="",-F249+E249,"")</f>
        <v>0</v>
      </c>
      <c r="I249" s="176">
        <f>IF(D249&lt;&gt;"",G249+SUM($H$6:H249),"")</f>
      </c>
    </row>
    <row r="250" spans="1:9" ht="12.75">
      <c r="A250" s="141"/>
      <c r="B250" s="174"/>
      <c r="C250" s="116"/>
      <c r="D250" s="175"/>
      <c r="E250" s="125"/>
      <c r="F250" s="125"/>
      <c r="G250" s="170">
        <f>IF(A250&lt;&gt;"",G249+F250-E250,"")</f>
      </c>
      <c r="H250" s="171">
        <f>IF(D250="",-F250+E250,"")</f>
        <v>0</v>
      </c>
      <c r="I250" s="176">
        <f>IF(D250&lt;&gt;"",G250+SUM($H$6:H250),"")</f>
      </c>
    </row>
    <row r="251" spans="1:9" ht="12.75">
      <c r="A251" s="141"/>
      <c r="B251" s="174"/>
      <c r="C251" s="116"/>
      <c r="D251" s="175"/>
      <c r="E251" s="125"/>
      <c r="F251" s="125"/>
      <c r="G251" s="170">
        <f>IF(A251&lt;&gt;"",G250+F251-E251,"")</f>
      </c>
      <c r="H251" s="171">
        <f>IF(D251="",-F251+E251,"")</f>
        <v>0</v>
      </c>
      <c r="I251" s="176">
        <f>IF(D251&lt;&gt;"",G251+SUM($H$6:H251),"")</f>
      </c>
    </row>
    <row r="252" spans="1:9" ht="12.75">
      <c r="A252" s="141"/>
      <c r="B252" s="174"/>
      <c r="C252" s="116"/>
      <c r="D252" s="175"/>
      <c r="E252" s="125"/>
      <c r="F252" s="125"/>
      <c r="G252" s="170">
        <f>IF(A252&lt;&gt;"",G251+F252-E252,"")</f>
      </c>
      <c r="H252" s="171">
        <f>IF(D252="",-F252+E252,"")</f>
        <v>0</v>
      </c>
      <c r="I252" s="176">
        <f>IF(D252&lt;&gt;"",G252+SUM($H$6:H252),"")</f>
      </c>
    </row>
    <row r="253" spans="1:9" ht="12.75">
      <c r="A253" s="141"/>
      <c r="B253" s="174"/>
      <c r="C253" s="116"/>
      <c r="D253" s="175"/>
      <c r="E253" s="125"/>
      <c r="F253" s="125"/>
      <c r="G253" s="170">
        <f>IF(A253&lt;&gt;"",G252+F253-E253,"")</f>
      </c>
      <c r="H253" s="171">
        <f>IF(D253="",-F253+E253,"")</f>
        <v>0</v>
      </c>
      <c r="I253" s="176">
        <f>IF(D253&lt;&gt;"",G253+SUM($H$6:H253),"")</f>
      </c>
    </row>
    <row r="254" spans="1:9" ht="12.75">
      <c r="A254" s="141"/>
      <c r="B254" s="174"/>
      <c r="C254" s="116"/>
      <c r="D254" s="175"/>
      <c r="E254" s="125"/>
      <c r="F254" s="125"/>
      <c r="G254" s="170">
        <f>IF(A254&lt;&gt;"",G253+F254-E254,"")</f>
      </c>
      <c r="H254" s="171">
        <f>IF(D254="",-F254+E254,"")</f>
        <v>0</v>
      </c>
      <c r="I254" s="176">
        <f>IF(D254&lt;&gt;"",G254+SUM($H$6:H254),"")</f>
      </c>
    </row>
    <row r="255" spans="1:9" ht="12.75">
      <c r="A255" s="141"/>
      <c r="B255" s="174"/>
      <c r="C255" s="116"/>
      <c r="D255" s="175"/>
      <c r="E255" s="125"/>
      <c r="F255" s="125"/>
      <c r="G255" s="170">
        <f>IF(A255&lt;&gt;"",G254+F255-E255,"")</f>
      </c>
      <c r="H255" s="171">
        <f>IF(D255="",-F255+E255,"")</f>
        <v>0</v>
      </c>
      <c r="I255" s="176">
        <f>IF(D255&lt;&gt;"",G255+SUM($H$6:H255),"")</f>
      </c>
    </row>
    <row r="256" spans="1:9" ht="12.75">
      <c r="A256" s="141"/>
      <c r="B256" s="174"/>
      <c r="C256" s="116"/>
      <c r="D256" s="175"/>
      <c r="E256" s="125"/>
      <c r="F256" s="125"/>
      <c r="G256" s="170">
        <f>IF(A256&lt;&gt;"",G255+F256-E256,"")</f>
      </c>
      <c r="H256" s="171">
        <f>IF(D256="",-F256+E256,"")</f>
        <v>0</v>
      </c>
      <c r="I256" s="176">
        <f>IF(D256&lt;&gt;"",G256+SUM($H$6:H256),"")</f>
      </c>
    </row>
    <row r="257" spans="1:9" ht="12.75">
      <c r="A257" s="141"/>
      <c r="B257" s="174"/>
      <c r="C257" s="116"/>
      <c r="D257" s="175"/>
      <c r="E257" s="125"/>
      <c r="F257" s="125"/>
      <c r="G257" s="170">
        <f>IF(A257&lt;&gt;"",G256+F257-E257,"")</f>
      </c>
      <c r="H257" s="171">
        <f>IF(D257="",-F257+E257,"")</f>
        <v>0</v>
      </c>
      <c r="I257" s="176">
        <f>IF(D257&lt;&gt;"",G257+SUM($H$6:H257),"")</f>
      </c>
    </row>
    <row r="258" spans="1:9" ht="12.75">
      <c r="A258" s="141"/>
      <c r="B258" s="174"/>
      <c r="C258" s="116"/>
      <c r="D258" s="175"/>
      <c r="E258" s="125"/>
      <c r="F258" s="125"/>
      <c r="G258" s="170">
        <f>IF(A258&lt;&gt;"",G257+F258-E258,"")</f>
      </c>
      <c r="H258" s="171">
        <f>IF(D258="",-F258+E258,"")</f>
        <v>0</v>
      </c>
      <c r="I258" s="176">
        <f>IF(D258&lt;&gt;"",G258+SUM($H$6:H258),"")</f>
      </c>
    </row>
    <row r="259" spans="1:9" ht="12.75">
      <c r="A259" s="141"/>
      <c r="B259" s="174"/>
      <c r="C259" s="116"/>
      <c r="D259" s="175"/>
      <c r="E259" s="125"/>
      <c r="F259" s="125"/>
      <c r="G259" s="170">
        <f>IF(A259&lt;&gt;"",G258+F259-E259,"")</f>
      </c>
      <c r="H259" s="171">
        <f>IF(D259="",-F259+E259,"")</f>
        <v>0</v>
      </c>
      <c r="I259" s="176">
        <f>IF(D259&lt;&gt;"",G259+SUM($H$6:H259),"")</f>
      </c>
    </row>
    <row r="260" spans="1:9" ht="12.75">
      <c r="A260" s="141"/>
      <c r="B260" s="174"/>
      <c r="C260" s="116"/>
      <c r="D260" s="175"/>
      <c r="E260" s="125"/>
      <c r="F260" s="125"/>
      <c r="G260" s="170">
        <f>IF(A260&lt;&gt;"",G259+F260-E260,"")</f>
      </c>
      <c r="H260" s="171">
        <f>IF(D260="",-F260+E260,"")</f>
        <v>0</v>
      </c>
      <c r="I260" s="176">
        <f>IF(D260&lt;&gt;"",G260+SUM($H$6:H260),"")</f>
      </c>
    </row>
    <row r="261" spans="1:9" ht="12.75">
      <c r="A261" s="141"/>
      <c r="B261" s="174"/>
      <c r="C261" s="116"/>
      <c r="D261" s="175"/>
      <c r="E261" s="125"/>
      <c r="F261" s="125"/>
      <c r="G261" s="170">
        <f>IF(A261&lt;&gt;"",G260+F261-E261,"")</f>
      </c>
      <c r="H261" s="171">
        <f>IF(D261="",-F261+E261,"")</f>
        <v>0</v>
      </c>
      <c r="I261" s="176">
        <f>IF(D261&lt;&gt;"",G261+SUM($H$6:H261),"")</f>
      </c>
    </row>
    <row r="262" spans="1:9" ht="12.75">
      <c r="A262" s="141"/>
      <c r="B262" s="174"/>
      <c r="C262" s="116"/>
      <c r="D262" s="175"/>
      <c r="E262" s="125"/>
      <c r="F262" s="125"/>
      <c r="G262" s="170">
        <f>IF(A262&lt;&gt;"",G261+F262-E262,"")</f>
      </c>
      <c r="H262" s="171">
        <f>IF(D262="",-F262+E262,"")</f>
        <v>0</v>
      </c>
      <c r="I262" s="176">
        <f>IF(D262&lt;&gt;"",G262+SUM($H$6:H262),"")</f>
      </c>
    </row>
    <row r="263" spans="1:9" ht="12.75">
      <c r="A263" s="141"/>
      <c r="B263" s="174"/>
      <c r="C263" s="116"/>
      <c r="D263" s="175"/>
      <c r="E263" s="125"/>
      <c r="F263" s="125"/>
      <c r="G263" s="170">
        <f>IF(A263&lt;&gt;"",G262+F263-E263,"")</f>
      </c>
      <c r="H263" s="171">
        <f>IF(D263="",-F263+E263,"")</f>
        <v>0</v>
      </c>
      <c r="I263" s="176">
        <f>IF(D263&lt;&gt;"",G263+SUM($H$6:H263),"")</f>
      </c>
    </row>
    <row r="264" spans="1:9" ht="12.75">
      <c r="A264" s="141"/>
      <c r="B264" s="174"/>
      <c r="C264" s="116"/>
      <c r="D264" s="175"/>
      <c r="E264" s="125"/>
      <c r="F264" s="125"/>
      <c r="G264" s="170">
        <f>IF(A264&lt;&gt;"",G263+F264-E264,"")</f>
      </c>
      <c r="H264" s="171">
        <f>IF(D264="",-F264+E264,"")</f>
        <v>0</v>
      </c>
      <c r="I264" s="176">
        <f>IF(D264&lt;&gt;"",G264+SUM($H$6:H264),"")</f>
      </c>
    </row>
    <row r="265" spans="1:9" ht="12.75">
      <c r="A265" s="141"/>
      <c r="B265" s="174"/>
      <c r="C265" s="116"/>
      <c r="D265" s="175"/>
      <c r="E265" s="125"/>
      <c r="F265" s="125"/>
      <c r="G265" s="170">
        <f>IF(A265&lt;&gt;"",G264+F265-E265,"")</f>
      </c>
      <c r="H265" s="171">
        <f>IF(D265="",-F265+E265,"")</f>
        <v>0</v>
      </c>
      <c r="I265" s="176">
        <f>IF(D265&lt;&gt;"",G265+SUM($H$6:H265),"")</f>
      </c>
    </row>
    <row r="266" spans="1:9" ht="12.75">
      <c r="A266" s="141"/>
      <c r="B266" s="174"/>
      <c r="C266" s="116"/>
      <c r="D266" s="175"/>
      <c r="E266" s="125"/>
      <c r="F266" s="125"/>
      <c r="G266" s="170">
        <f>IF(A266&lt;&gt;"",G265+F266-E266,"")</f>
      </c>
      <c r="H266" s="171">
        <f>IF(D266="",-F266+E266,"")</f>
        <v>0</v>
      </c>
      <c r="I266" s="176">
        <f>IF(D266&lt;&gt;"",G266+SUM($H$6:H266),"")</f>
      </c>
    </row>
    <row r="267" spans="1:9" ht="12.75">
      <c r="A267" s="141"/>
      <c r="B267" s="174"/>
      <c r="C267" s="116"/>
      <c r="D267" s="175"/>
      <c r="E267" s="125"/>
      <c r="F267" s="125"/>
      <c r="G267" s="170">
        <f>IF(A267&lt;&gt;"",G266+F267-E267,"")</f>
      </c>
      <c r="H267" s="171">
        <f>IF(D267="",-F267+E267,"")</f>
        <v>0</v>
      </c>
      <c r="I267" s="176">
        <f>IF(D267&lt;&gt;"",G267+SUM($H$6:H267),"")</f>
      </c>
    </row>
    <row r="268" spans="1:9" ht="12.75">
      <c r="A268" s="141"/>
      <c r="B268" s="174"/>
      <c r="C268" s="116"/>
      <c r="D268" s="175"/>
      <c r="E268" s="125"/>
      <c r="F268" s="125"/>
      <c r="G268" s="170">
        <f>IF(A268&lt;&gt;"",G267+F268-E268,"")</f>
      </c>
      <c r="H268" s="171">
        <f>IF(D268="",-F268+E268,"")</f>
        <v>0</v>
      </c>
      <c r="I268" s="176">
        <f>IF(D268&lt;&gt;"",G268+SUM($H$6:H268),"")</f>
      </c>
    </row>
    <row r="269" spans="1:9" ht="12.75">
      <c r="A269" s="141"/>
      <c r="B269" s="174"/>
      <c r="C269" s="116"/>
      <c r="D269" s="175"/>
      <c r="E269" s="125"/>
      <c r="F269" s="125"/>
      <c r="G269" s="170">
        <f>IF(A269&lt;&gt;"",G268+F269-E269,"")</f>
      </c>
      <c r="H269" s="171">
        <f>IF(D269="",-F269+E269,"")</f>
        <v>0</v>
      </c>
      <c r="I269" s="176">
        <f>IF(D269&lt;&gt;"",G269+SUM($H$6:H269),"")</f>
      </c>
    </row>
    <row r="270" spans="1:9" ht="12.75">
      <c r="A270" s="141"/>
      <c r="B270" s="174"/>
      <c r="C270" s="116"/>
      <c r="D270" s="175"/>
      <c r="E270" s="125"/>
      <c r="F270" s="125"/>
      <c r="G270" s="170">
        <f>IF(A270&lt;&gt;"",G269+F270-E270,"")</f>
      </c>
      <c r="H270" s="171">
        <f>IF(D270="",-F270+E270,"")</f>
        <v>0</v>
      </c>
      <c r="I270" s="176">
        <f>IF(D270&lt;&gt;"",G270+SUM($H$6:H270),"")</f>
      </c>
    </row>
    <row r="271" spans="1:9" ht="12.75">
      <c r="A271" s="141"/>
      <c r="B271" s="174"/>
      <c r="C271" s="116"/>
      <c r="D271" s="175"/>
      <c r="E271" s="125"/>
      <c r="F271" s="125"/>
      <c r="G271" s="170">
        <f>IF(A271&lt;&gt;"",G270+F271-E271,"")</f>
      </c>
      <c r="H271" s="171">
        <f>IF(D271="",-F271+E271,"")</f>
        <v>0</v>
      </c>
      <c r="I271" s="176">
        <f>IF(D271&lt;&gt;"",G271+SUM($H$6:H271),"")</f>
      </c>
    </row>
    <row r="272" spans="1:9" ht="12.75">
      <c r="A272" s="141"/>
      <c r="B272" s="174"/>
      <c r="C272" s="116"/>
      <c r="D272" s="175"/>
      <c r="E272" s="125"/>
      <c r="F272" s="125"/>
      <c r="G272" s="170">
        <f>IF(A272&lt;&gt;"",G271+F272-E272,"")</f>
      </c>
      <c r="H272" s="171">
        <f>IF(D272="",-F272+E272,"")</f>
        <v>0</v>
      </c>
      <c r="I272" s="176">
        <f>IF(D272&lt;&gt;"",G272+SUM($H$6:H272),"")</f>
      </c>
    </row>
    <row r="273" spans="1:9" ht="12.75">
      <c r="A273" s="141"/>
      <c r="B273" s="174"/>
      <c r="C273" s="116"/>
      <c r="D273" s="175"/>
      <c r="E273" s="125"/>
      <c r="F273" s="125"/>
      <c r="G273" s="170">
        <f>IF(A273&lt;&gt;"",G272+F273-E273,"")</f>
      </c>
      <c r="H273" s="171">
        <f>IF(D273="",-F273+E273,"")</f>
        <v>0</v>
      </c>
      <c r="I273" s="176">
        <f>IF(D273&lt;&gt;"",G273+SUM($H$6:H273),"")</f>
      </c>
    </row>
    <row r="274" spans="1:9" ht="12.75">
      <c r="A274" s="141"/>
      <c r="B274" s="174"/>
      <c r="C274" s="116"/>
      <c r="D274" s="175"/>
      <c r="E274" s="125"/>
      <c r="F274" s="125"/>
      <c r="G274" s="170">
        <f>IF(A274&lt;&gt;"",G273+F274-E274,"")</f>
      </c>
      <c r="H274" s="171">
        <f>IF(D274="",-F274+E274,"")</f>
        <v>0</v>
      </c>
      <c r="I274" s="176">
        <f>IF(D274&lt;&gt;"",G274+SUM($H$6:H274),"")</f>
      </c>
    </row>
    <row r="275" spans="1:9" ht="12.75">
      <c r="A275" s="141"/>
      <c r="B275" s="174"/>
      <c r="C275" s="116"/>
      <c r="D275" s="175"/>
      <c r="E275" s="125"/>
      <c r="F275" s="125"/>
      <c r="G275" s="170">
        <f>IF(A275&lt;&gt;"",G274+F275-E275,"")</f>
      </c>
      <c r="H275" s="171">
        <f>IF(D275="",-F275+E275,"")</f>
        <v>0</v>
      </c>
      <c r="I275" s="176">
        <f>IF(D275&lt;&gt;"",G275+SUM($H$6:H275),"")</f>
      </c>
    </row>
    <row r="276" spans="1:9" ht="12.75">
      <c r="A276" s="141"/>
      <c r="B276" s="174"/>
      <c r="C276" s="116"/>
      <c r="D276" s="175"/>
      <c r="E276" s="125"/>
      <c r="F276" s="125"/>
      <c r="G276" s="170">
        <f>IF(A276&lt;&gt;"",G275+F276-E276,"")</f>
      </c>
      <c r="H276" s="171">
        <f>IF(D276="",-F276+E276,"")</f>
        <v>0</v>
      </c>
      <c r="I276" s="176">
        <f>IF(D276&lt;&gt;"",G276+SUM($H$6:H276),"")</f>
      </c>
    </row>
    <row r="277" spans="1:9" ht="12.75">
      <c r="A277" s="141"/>
      <c r="B277" s="174"/>
      <c r="C277" s="116"/>
      <c r="D277" s="175"/>
      <c r="E277" s="125"/>
      <c r="F277" s="125"/>
      <c r="G277" s="170">
        <f>IF(A277&lt;&gt;"",G276+F277-E277,"")</f>
      </c>
      <c r="H277" s="171">
        <f>IF(D277="",-F277+E277,"")</f>
        <v>0</v>
      </c>
      <c r="I277" s="176">
        <f>IF(D277&lt;&gt;"",G277+SUM($H$6:H277),"")</f>
      </c>
    </row>
    <row r="278" spans="1:9" ht="12.75">
      <c r="A278" s="141"/>
      <c r="B278" s="174"/>
      <c r="C278" s="116"/>
      <c r="D278" s="175"/>
      <c r="E278" s="125"/>
      <c r="F278" s="125"/>
      <c r="G278" s="170">
        <f>IF(A278&lt;&gt;"",G277+F278-E278,"")</f>
      </c>
      <c r="H278" s="171">
        <f>IF(D278="",-F278+E278,"")</f>
        <v>0</v>
      </c>
      <c r="I278" s="176">
        <f>IF(D278&lt;&gt;"",G278+SUM($H$6:H278),"")</f>
      </c>
    </row>
    <row r="279" spans="1:9" ht="12.75">
      <c r="A279" s="141"/>
      <c r="B279" s="174"/>
      <c r="C279" s="116"/>
      <c r="D279" s="175"/>
      <c r="E279" s="125"/>
      <c r="F279" s="125"/>
      <c r="G279" s="170">
        <f>IF(A279&lt;&gt;"",G278+F279-E279,"")</f>
      </c>
      <c r="H279" s="171">
        <f>IF(D279="",-F279+E279,"")</f>
        <v>0</v>
      </c>
      <c r="I279" s="176">
        <f>IF(D279&lt;&gt;"",G279+SUM($H$6:H279),"")</f>
      </c>
    </row>
    <row r="280" spans="1:9" ht="12.75">
      <c r="A280" s="141"/>
      <c r="B280" s="174"/>
      <c r="C280" s="116"/>
      <c r="D280" s="175"/>
      <c r="E280" s="125"/>
      <c r="F280" s="125"/>
      <c r="G280" s="170">
        <f>IF(A280&lt;&gt;"",G279+F280-E280,"")</f>
      </c>
      <c r="H280" s="171">
        <f>IF(D280="",-F280+E280,"")</f>
        <v>0</v>
      </c>
      <c r="I280" s="176">
        <f>IF(D280&lt;&gt;"",G280+SUM($H$6:H280),"")</f>
      </c>
    </row>
    <row r="281" spans="1:9" ht="12.75">
      <c r="A281" s="141"/>
      <c r="B281" s="174"/>
      <c r="C281" s="116"/>
      <c r="D281" s="175"/>
      <c r="E281" s="125"/>
      <c r="F281" s="125"/>
      <c r="G281" s="170">
        <f>IF(A281&lt;&gt;"",G280+F281-E281,"")</f>
      </c>
      <c r="H281" s="171">
        <f>IF(D281="",-F281+E281,"")</f>
        <v>0</v>
      </c>
      <c r="I281" s="176">
        <f>IF(D281&lt;&gt;"",G281+SUM($H$6:H281),"")</f>
      </c>
    </row>
    <row r="282" spans="1:9" ht="12.75">
      <c r="A282" s="141"/>
      <c r="B282" s="174"/>
      <c r="C282" s="116"/>
      <c r="D282" s="175"/>
      <c r="E282" s="125"/>
      <c r="F282" s="125"/>
      <c r="G282" s="170">
        <f>IF(A282&lt;&gt;"",G281+F282-E282,"")</f>
      </c>
      <c r="H282" s="171">
        <f>IF(D282="",-F282+E282,"")</f>
        <v>0</v>
      </c>
      <c r="I282" s="176">
        <f>IF(D282&lt;&gt;"",G282+SUM($H$6:H282),"")</f>
      </c>
    </row>
    <row r="283" spans="1:9" ht="12.75">
      <c r="A283" s="141"/>
      <c r="B283" s="174"/>
      <c r="C283" s="116"/>
      <c r="D283" s="175"/>
      <c r="E283" s="125"/>
      <c r="F283" s="125"/>
      <c r="G283" s="170">
        <f>IF(A283&lt;&gt;"",G282+F283-E283,"")</f>
      </c>
      <c r="H283" s="171">
        <f>IF(D283="",-F283+E283,"")</f>
        <v>0</v>
      </c>
      <c r="I283" s="176">
        <f>IF(D283&lt;&gt;"",G283+SUM($H$6:H283),"")</f>
      </c>
    </row>
    <row r="284" spans="1:9" ht="12.75">
      <c r="A284" s="141"/>
      <c r="B284" s="174"/>
      <c r="C284" s="116"/>
      <c r="D284" s="175"/>
      <c r="E284" s="125"/>
      <c r="F284" s="125"/>
      <c r="G284" s="170">
        <f>IF(A284&lt;&gt;"",G283+F284-E284,"")</f>
      </c>
      <c r="H284" s="171">
        <f>IF(D284="",-F284+E284,"")</f>
        <v>0</v>
      </c>
      <c r="I284" s="176">
        <f>IF(D284&lt;&gt;"",G284+SUM($H$6:H284),"")</f>
      </c>
    </row>
    <row r="285" spans="1:9" ht="12.75">
      <c r="A285" s="141"/>
      <c r="B285" s="174"/>
      <c r="C285" s="116"/>
      <c r="D285" s="175"/>
      <c r="E285" s="125"/>
      <c r="F285" s="125"/>
      <c r="G285" s="170">
        <f>IF(A285&lt;&gt;"",G284+F285-E285,"")</f>
      </c>
      <c r="H285" s="171">
        <f>IF(D285="",-F285+E285,"")</f>
        <v>0</v>
      </c>
      <c r="I285" s="176">
        <f>IF(D285&lt;&gt;"",G285+SUM($H$6:H285),"")</f>
      </c>
    </row>
    <row r="286" spans="1:9" ht="12.75">
      <c r="A286" s="141"/>
      <c r="B286" s="174"/>
      <c r="C286" s="116"/>
      <c r="D286" s="175"/>
      <c r="E286" s="125"/>
      <c r="F286" s="125"/>
      <c r="G286" s="170">
        <f>IF(A286&lt;&gt;"",G285+F286-E286,"")</f>
      </c>
      <c r="H286" s="171">
        <f>IF(D286="",-F286+E286,"")</f>
        <v>0</v>
      </c>
      <c r="I286" s="176">
        <f>IF(D286&lt;&gt;"",G286+SUM($H$6:H286),"")</f>
      </c>
    </row>
    <row r="287" spans="1:9" ht="12.75">
      <c r="A287" s="141"/>
      <c r="B287" s="174"/>
      <c r="C287" s="116"/>
      <c r="D287" s="175"/>
      <c r="E287" s="125"/>
      <c r="F287" s="125"/>
      <c r="G287" s="170">
        <f>IF(A287&lt;&gt;"",G286+F287-E287,"")</f>
      </c>
      <c r="H287" s="171">
        <f>IF(D287="",-F287+E287,"")</f>
        <v>0</v>
      </c>
      <c r="I287" s="176">
        <f>IF(D287&lt;&gt;"",G287+SUM($H$6:H287),"")</f>
      </c>
    </row>
    <row r="288" spans="1:9" ht="12.75">
      <c r="A288" s="141"/>
      <c r="B288" s="174"/>
      <c r="C288" s="116"/>
      <c r="D288" s="175"/>
      <c r="E288" s="125"/>
      <c r="F288" s="125"/>
      <c r="G288" s="170">
        <f>IF(A288&lt;&gt;"",G287+F288-E288,"")</f>
      </c>
      <c r="H288" s="171">
        <f>IF(D288="",-F288+E288,"")</f>
        <v>0</v>
      </c>
      <c r="I288" s="176">
        <f>IF(D288&lt;&gt;"",G288+SUM($H$6:H288),"")</f>
      </c>
    </row>
    <row r="289" spans="1:9" ht="12.75">
      <c r="A289" s="141"/>
      <c r="B289" s="138"/>
      <c r="C289" s="116"/>
      <c r="D289" s="175"/>
      <c r="E289" s="125"/>
      <c r="F289" s="125"/>
      <c r="G289" s="170">
        <f>IF(A289&lt;&gt;"",G288+F289-E289,"")</f>
      </c>
      <c r="H289" s="171">
        <f>IF(D289="",-F289+E289,"")</f>
        <v>0</v>
      </c>
      <c r="I289" s="176">
        <f>IF(D289&lt;&gt;"",G289+SUM($H$6:H289),"")</f>
      </c>
    </row>
    <row r="290" spans="1:9" ht="12.75">
      <c r="A290" s="141"/>
      <c r="B290" s="174"/>
      <c r="C290" s="116"/>
      <c r="D290" s="175"/>
      <c r="E290" s="125"/>
      <c r="F290" s="125"/>
      <c r="G290" s="170">
        <f>IF(A290&lt;&gt;"",G289+F290-E290,"")</f>
      </c>
      <c r="H290" s="171">
        <f>IF(D290="",-F290+E290,"")</f>
        <v>0</v>
      </c>
      <c r="I290" s="176">
        <f>IF(D290&lt;&gt;"",G290+SUM($H$6:H290),"")</f>
      </c>
    </row>
    <row r="291" spans="1:9" ht="12.75">
      <c r="A291" s="141"/>
      <c r="B291" s="174"/>
      <c r="C291" s="139"/>
      <c r="D291" s="175"/>
      <c r="E291" s="125"/>
      <c r="F291" s="125"/>
      <c r="G291" s="170">
        <f>IF(A291&lt;&gt;"",G290+F291-E291,"")</f>
      </c>
      <c r="H291" s="171">
        <f>IF(D291="",-F291+E291,"")</f>
        <v>0</v>
      </c>
      <c r="I291" s="176">
        <f>IF(D291&lt;&gt;"",G291+SUM($H$6:H291),"")</f>
      </c>
    </row>
    <row r="292" spans="1:9" ht="12.75">
      <c r="A292" s="141"/>
      <c r="B292" s="174"/>
      <c r="C292" s="116"/>
      <c r="D292" s="175"/>
      <c r="E292" s="125"/>
      <c r="F292" s="125"/>
      <c r="G292" s="170">
        <f>IF(A292&lt;&gt;"",G291+F292-E292,"")</f>
      </c>
      <c r="H292" s="171">
        <f>IF(D292="",-F292+E292,"")</f>
        <v>0</v>
      </c>
      <c r="I292" s="176">
        <f>IF(D292&lt;&gt;"",G292+SUM($H$6:H292),"")</f>
      </c>
    </row>
    <row r="293" spans="1:9" ht="12.75">
      <c r="A293" s="141"/>
      <c r="B293" s="174"/>
      <c r="C293" s="116"/>
      <c r="D293" s="175"/>
      <c r="E293" s="125"/>
      <c r="F293" s="125"/>
      <c r="G293" s="170">
        <f>IF(A293&lt;&gt;"",G292+F293-E293,"")</f>
      </c>
      <c r="H293" s="171">
        <f>IF(D293="",-F293+E293,"")</f>
        <v>0</v>
      </c>
      <c r="I293" s="176">
        <f>IF(D293&lt;&gt;"",G293+SUM($H$6:H293),"")</f>
      </c>
    </row>
    <row r="294" spans="1:9" ht="12.75">
      <c r="A294" s="141"/>
      <c r="B294" s="174"/>
      <c r="C294" s="116"/>
      <c r="D294" s="175"/>
      <c r="E294" s="125"/>
      <c r="F294" s="125"/>
      <c r="G294" s="170">
        <f>IF(A294&lt;&gt;"",G293+F294-E294,"")</f>
      </c>
      <c r="H294" s="171">
        <f>IF(D294="",-F294+E294,"")</f>
        <v>0</v>
      </c>
      <c r="I294" s="176">
        <f>IF(D294&lt;&gt;"",G294+SUM($H$6:H294),"")</f>
      </c>
    </row>
    <row r="295" spans="1:9" ht="12.75">
      <c r="A295" s="141"/>
      <c r="B295" s="174"/>
      <c r="C295" s="116"/>
      <c r="D295" s="175"/>
      <c r="E295" s="125"/>
      <c r="F295" s="125"/>
      <c r="G295" s="170">
        <f>IF(A295&lt;&gt;"",G294+F295-E295,"")</f>
      </c>
      <c r="H295" s="171">
        <f>IF(D295="",-F295+E295,"")</f>
        <v>0</v>
      </c>
      <c r="I295" s="176">
        <f>IF(D295&lt;&gt;"",G295+SUM($H$6:H295),"")</f>
      </c>
    </row>
    <row r="296" spans="1:9" ht="12.75">
      <c r="A296" s="141"/>
      <c r="B296" s="174"/>
      <c r="C296" s="116"/>
      <c r="D296" s="175"/>
      <c r="E296" s="125"/>
      <c r="F296" s="125"/>
      <c r="G296" s="170">
        <f>IF(A296&lt;&gt;"",G295+F296-E296,"")</f>
      </c>
      <c r="H296" s="171">
        <f>IF(D296="",-F296+E296,"")</f>
        <v>0</v>
      </c>
      <c r="I296" s="176">
        <f>IF(D296&lt;&gt;"",G296+SUM($H$6:H296),"")</f>
      </c>
    </row>
    <row r="297" spans="1:9" ht="12.75">
      <c r="A297" s="141"/>
      <c r="B297" s="174"/>
      <c r="C297" s="116"/>
      <c r="D297" s="175"/>
      <c r="E297" s="125"/>
      <c r="F297" s="125"/>
      <c r="G297" s="170">
        <f>IF(A297&lt;&gt;"",G296+F297-E297,"")</f>
      </c>
      <c r="H297" s="171">
        <f>IF(D297="",-F297+E297,"")</f>
        <v>0</v>
      </c>
      <c r="I297" s="176">
        <f>IF(D297&lt;&gt;"",G297+SUM($H$6:H297),"")</f>
      </c>
    </row>
    <row r="298" spans="1:9" ht="12.75">
      <c r="A298" s="141"/>
      <c r="B298" s="174"/>
      <c r="C298" s="116"/>
      <c r="D298" s="175"/>
      <c r="E298" s="125"/>
      <c r="F298" s="125"/>
      <c r="G298" s="170">
        <f>IF(A298&lt;&gt;"",G297+F298-E298,"")</f>
      </c>
      <c r="H298" s="171">
        <f>IF(D298="",-F298+E298,"")</f>
        <v>0</v>
      </c>
      <c r="I298" s="176">
        <f>IF(D298&lt;&gt;"",G298+SUM($H$6:H298),"")</f>
      </c>
    </row>
    <row r="299" spans="1:9" ht="12.75">
      <c r="A299" s="141"/>
      <c r="B299" s="174"/>
      <c r="C299" s="116"/>
      <c r="D299" s="175"/>
      <c r="E299" s="125"/>
      <c r="F299" s="125"/>
      <c r="G299" s="170">
        <f>IF(A299&lt;&gt;"",G298+F299-E299,"")</f>
      </c>
      <c r="H299" s="171">
        <f>IF(D299="",-F299+E299,"")</f>
        <v>0</v>
      </c>
      <c r="I299" s="176">
        <f>IF(D299&lt;&gt;"",G299+SUM($H$6:H299),"")</f>
      </c>
    </row>
    <row r="300" spans="1:9" ht="12.75">
      <c r="A300" s="141"/>
      <c r="B300" s="174"/>
      <c r="C300" s="116"/>
      <c r="D300" s="175"/>
      <c r="E300" s="125"/>
      <c r="F300" s="125"/>
      <c r="G300" s="170">
        <f>IF(A300&lt;&gt;"",G299+F300-E300,"")</f>
      </c>
      <c r="H300" s="171">
        <f>IF(D300="",-F300+E300,"")</f>
        <v>0</v>
      </c>
      <c r="I300" s="176">
        <f>IF(D300&lt;&gt;"",G300+SUM($H$6:H300),"")</f>
      </c>
    </row>
    <row r="301" spans="1:9" ht="12.75">
      <c r="A301" s="141"/>
      <c r="B301" s="174"/>
      <c r="C301" s="116"/>
      <c r="D301" s="175"/>
      <c r="E301" s="125"/>
      <c r="F301" s="125"/>
      <c r="G301" s="170">
        <f>IF(A301&lt;&gt;"",G300+F301-E301,"")</f>
      </c>
      <c r="H301" s="171">
        <f>IF(D301="",-F301+E301,"")</f>
        <v>0</v>
      </c>
      <c r="I301" s="176">
        <f>IF(D301&lt;&gt;"",G301+SUM($H$6:H301),"")</f>
      </c>
    </row>
    <row r="302" spans="1:9" ht="12.75">
      <c r="A302" s="141"/>
      <c r="B302" s="174"/>
      <c r="C302" s="116"/>
      <c r="D302" s="175"/>
      <c r="E302" s="125"/>
      <c r="F302" s="125"/>
      <c r="G302" s="170">
        <f>IF(A302&lt;&gt;"",G301+F302-E302,"")</f>
      </c>
      <c r="H302" s="171">
        <f>IF(D302="",-F302+E302,"")</f>
        <v>0</v>
      </c>
      <c r="I302" s="176">
        <f>IF(D302&lt;&gt;"",G302+SUM($H$6:H302),"")</f>
      </c>
    </row>
    <row r="303" spans="1:9" ht="12.75">
      <c r="A303" s="141"/>
      <c r="B303" s="174"/>
      <c r="C303" s="116"/>
      <c r="D303" s="175"/>
      <c r="E303" s="125"/>
      <c r="F303" s="125"/>
      <c r="G303" s="170">
        <f>IF(A303&lt;&gt;"",G302+F303-E303,"")</f>
      </c>
      <c r="H303" s="171">
        <f>IF(D303="",-F303+E303,"")</f>
        <v>0</v>
      </c>
      <c r="I303" s="176">
        <f>IF(D303&lt;&gt;"",G303+SUM($H$6:H303),"")</f>
      </c>
    </row>
    <row r="304" spans="1:9" ht="12.75">
      <c r="A304" s="141"/>
      <c r="B304" s="174"/>
      <c r="C304" s="116"/>
      <c r="D304" s="175"/>
      <c r="E304" s="125"/>
      <c r="F304" s="125"/>
      <c r="G304" s="170">
        <f>IF(A304&lt;&gt;"",G303+F304-E304,"")</f>
      </c>
      <c r="H304" s="171">
        <f>IF(D304="",-F304+E304,"")</f>
        <v>0</v>
      </c>
      <c r="I304" s="176">
        <f>IF(D304&lt;&gt;"",G304+SUM($H$6:H304),"")</f>
      </c>
    </row>
    <row r="305" spans="1:9" ht="12.75">
      <c r="A305" s="141"/>
      <c r="B305" s="174"/>
      <c r="C305" s="116"/>
      <c r="D305" s="175"/>
      <c r="E305" s="125"/>
      <c r="F305" s="125"/>
      <c r="G305" s="170">
        <f>IF(A305&lt;&gt;"",G304+F305-E305,"")</f>
      </c>
      <c r="H305" s="171">
        <f>IF(D305="",-F305+E305,"")</f>
        <v>0</v>
      </c>
      <c r="I305" s="176">
        <f>IF(D305&lt;&gt;"",G305+SUM($H$6:H305),"")</f>
      </c>
    </row>
    <row r="306" spans="1:9" ht="12.75">
      <c r="A306" s="141"/>
      <c r="B306" s="174"/>
      <c r="C306" s="116"/>
      <c r="D306" s="175"/>
      <c r="E306" s="125"/>
      <c r="F306" s="125"/>
      <c r="G306" s="170">
        <f>IF(A306&lt;&gt;"",G305+F306-E306,"")</f>
      </c>
      <c r="H306" s="171">
        <f>IF(D306="",-F306+E306,"")</f>
        <v>0</v>
      </c>
      <c r="I306" s="176">
        <f>IF(D306&lt;&gt;"",G306+SUM($H$6:H306),"")</f>
      </c>
    </row>
    <row r="307" spans="1:9" ht="12.75">
      <c r="A307" s="141"/>
      <c r="B307" s="174"/>
      <c r="C307" s="116"/>
      <c r="D307" s="175"/>
      <c r="E307" s="125"/>
      <c r="F307" s="125"/>
      <c r="G307" s="170">
        <f>IF(A307&lt;&gt;"",G306+F307-E307,"")</f>
      </c>
      <c r="H307" s="171">
        <f>IF(D307="",-F307+E307,"")</f>
        <v>0</v>
      </c>
      <c r="I307" s="176">
        <f>IF(D307&lt;&gt;"",G307+SUM($H$6:H307),"")</f>
      </c>
    </row>
    <row r="308" spans="1:9" ht="12.75">
      <c r="A308" s="141"/>
      <c r="B308" s="174"/>
      <c r="C308" s="116"/>
      <c r="D308" s="175"/>
      <c r="E308" s="125"/>
      <c r="F308" s="125"/>
      <c r="G308" s="170">
        <f>IF(A308&lt;&gt;"",G307+F308-E308,"")</f>
      </c>
      <c r="H308" s="171">
        <f>IF(D308="",-F308+E308,"")</f>
        <v>0</v>
      </c>
      <c r="I308" s="176">
        <f>IF(D308&lt;&gt;"",G308+SUM($H$6:H308),"")</f>
      </c>
    </row>
    <row r="309" spans="1:9" ht="12.75">
      <c r="A309" s="141"/>
      <c r="B309" s="174"/>
      <c r="C309" s="116"/>
      <c r="D309" s="175"/>
      <c r="E309" s="125"/>
      <c r="F309" s="125"/>
      <c r="G309" s="170">
        <f>IF(A309&lt;&gt;"",G308+F309-E309,"")</f>
      </c>
      <c r="H309" s="171">
        <f>IF(D309="",-F309+E309,"")</f>
        <v>0</v>
      </c>
      <c r="I309" s="176">
        <f>IF(D309&lt;&gt;"",G309+SUM($H$6:H309),"")</f>
      </c>
    </row>
    <row r="310" spans="1:9" ht="12.75">
      <c r="A310" s="141"/>
      <c r="B310" s="174"/>
      <c r="C310" s="116"/>
      <c r="D310" s="175"/>
      <c r="E310" s="125"/>
      <c r="F310" s="125"/>
      <c r="G310" s="170">
        <f>IF(A310&lt;&gt;"",G309+F310-E310,"")</f>
      </c>
      <c r="H310" s="171">
        <f>IF(D310="",-F310+E310,"")</f>
        <v>0</v>
      </c>
      <c r="I310" s="176">
        <f>IF(D310&lt;&gt;"",G310+SUM($H$6:H310),"")</f>
      </c>
    </row>
    <row r="311" spans="1:9" ht="12.75">
      <c r="A311" s="141"/>
      <c r="B311" s="174"/>
      <c r="C311" s="116"/>
      <c r="D311" s="175"/>
      <c r="E311" s="125"/>
      <c r="F311" s="125"/>
      <c r="G311" s="170">
        <f>IF(A311&lt;&gt;"",G310+F311-E311,"")</f>
      </c>
      <c r="H311" s="171">
        <f>IF(D311="",-F311+E311,"")</f>
        <v>0</v>
      </c>
      <c r="I311" s="176">
        <f>IF(D311&lt;&gt;"",G311+SUM($H$6:H311),"")</f>
      </c>
    </row>
    <row r="312" spans="1:9" ht="12.75">
      <c r="A312" s="141"/>
      <c r="B312" s="174"/>
      <c r="C312" s="116"/>
      <c r="D312" s="175"/>
      <c r="E312" s="125"/>
      <c r="F312" s="125"/>
      <c r="G312" s="170">
        <f>IF(A312&lt;&gt;"",G311+F312-E312,"")</f>
      </c>
      <c r="H312" s="171">
        <f>IF(D312="",-F312+E312,"")</f>
        <v>0</v>
      </c>
      <c r="I312" s="176">
        <f>IF(D312&lt;&gt;"",G312+SUM($H$6:H312),"")</f>
      </c>
    </row>
    <row r="313" spans="1:9" ht="12.75">
      <c r="A313" s="141"/>
      <c r="B313" s="174"/>
      <c r="C313" s="116"/>
      <c r="D313" s="175"/>
      <c r="E313" s="125"/>
      <c r="F313" s="125"/>
      <c r="G313" s="170">
        <f>IF(A313&lt;&gt;"",G312+F313-E313,"")</f>
      </c>
      <c r="H313" s="171">
        <f>IF(D313="",-F313+E313,"")</f>
        <v>0</v>
      </c>
      <c r="I313" s="176">
        <f>IF(D313&lt;&gt;"",G313+SUM($H$6:H313),"")</f>
      </c>
    </row>
    <row r="314" spans="1:9" ht="12.75">
      <c r="A314" s="141"/>
      <c r="B314" s="174"/>
      <c r="C314" s="116"/>
      <c r="D314" s="175"/>
      <c r="E314" s="125"/>
      <c r="F314" s="125"/>
      <c r="G314" s="170">
        <f>IF(A314&lt;&gt;"",G313+F314-E314,"")</f>
      </c>
      <c r="H314" s="171">
        <f>IF(D314="",-F314+E314,"")</f>
        <v>0</v>
      </c>
      <c r="I314" s="176">
        <f>IF(D314&lt;&gt;"",G314+SUM($H$6:H314),"")</f>
      </c>
    </row>
    <row r="315" spans="1:9" ht="12.75">
      <c r="A315" s="141"/>
      <c r="B315" s="174"/>
      <c r="C315" s="116"/>
      <c r="D315" s="175"/>
      <c r="E315" s="125"/>
      <c r="F315" s="125"/>
      <c r="G315" s="170">
        <f>IF(A315&lt;&gt;"",G314+F315-E315,"")</f>
      </c>
      <c r="H315" s="171">
        <f>IF(D315="",-F315+E315,"")</f>
        <v>0</v>
      </c>
      <c r="I315" s="176">
        <f>IF(D315&lt;&gt;"",G315+SUM($H$6:H315),"")</f>
      </c>
    </row>
    <row r="316" spans="1:9" ht="12.75">
      <c r="A316" s="141"/>
      <c r="B316" s="174"/>
      <c r="C316" s="116"/>
      <c r="D316" s="175"/>
      <c r="E316" s="125"/>
      <c r="F316" s="125"/>
      <c r="G316" s="170">
        <f>IF(A316&lt;&gt;"",G315+F316-E316,"")</f>
      </c>
      <c r="H316" s="171">
        <f>IF(D316="",-F316+E316,"")</f>
        <v>0</v>
      </c>
      <c r="I316" s="176">
        <f>IF(D316&lt;&gt;"",G316+SUM($H$6:H316),"")</f>
      </c>
    </row>
    <row r="317" spans="1:9" ht="12.75">
      <c r="A317" s="141"/>
      <c r="B317" s="174"/>
      <c r="C317" s="116"/>
      <c r="D317" s="175"/>
      <c r="E317" s="125"/>
      <c r="F317" s="125"/>
      <c r="G317" s="170">
        <f>IF(A317&lt;&gt;"",G316+F317-E317,"")</f>
      </c>
      <c r="H317" s="171">
        <f>IF(D317="",-F317+E317,"")</f>
        <v>0</v>
      </c>
      <c r="I317" s="176">
        <f>IF(D317&lt;&gt;"",G317+SUM($H$6:H317),"")</f>
      </c>
    </row>
    <row r="318" spans="1:9" ht="12.75">
      <c r="A318" s="141"/>
      <c r="B318" s="174"/>
      <c r="C318" s="116"/>
      <c r="D318" s="175"/>
      <c r="E318" s="125"/>
      <c r="F318" s="125"/>
      <c r="G318" s="170">
        <f>IF(A318&lt;&gt;"",G317+F318-E318,"")</f>
      </c>
      <c r="H318" s="171">
        <f>IF(D318="",-F318+E318,"")</f>
        <v>0</v>
      </c>
      <c r="I318" s="176">
        <f>IF(D318&lt;&gt;"",G318+SUM($H$6:H318),"")</f>
      </c>
    </row>
    <row r="319" spans="1:9" ht="12.75">
      <c r="A319" s="141"/>
      <c r="B319" s="174"/>
      <c r="C319" s="116"/>
      <c r="D319" s="175"/>
      <c r="E319" s="125"/>
      <c r="F319" s="125"/>
      <c r="G319" s="170">
        <f>IF(A319&lt;&gt;"",G318+F319-E319,"")</f>
      </c>
      <c r="H319" s="171">
        <f>IF(D319="",-F319+E319,"")</f>
        <v>0</v>
      </c>
      <c r="I319" s="176">
        <f>IF(D319&lt;&gt;"",G319+SUM($H$6:H319),"")</f>
      </c>
    </row>
    <row r="320" spans="1:9" ht="12.75">
      <c r="A320" s="141"/>
      <c r="B320" s="174"/>
      <c r="C320" s="116"/>
      <c r="D320" s="175"/>
      <c r="E320" s="125"/>
      <c r="F320" s="125"/>
      <c r="G320" s="170">
        <f>IF(A320&lt;&gt;"",G319+F320-E320,"")</f>
      </c>
      <c r="H320" s="171">
        <f>IF(D320="",-F320+E320,"")</f>
        <v>0</v>
      </c>
      <c r="I320" s="176">
        <f>IF(D320&lt;&gt;"",G320+SUM($H$6:H320),"")</f>
      </c>
    </row>
    <row r="321" spans="1:9" ht="12.75">
      <c r="A321" s="141"/>
      <c r="B321" s="174"/>
      <c r="C321" s="116"/>
      <c r="D321" s="175"/>
      <c r="E321" s="125"/>
      <c r="F321" s="125"/>
      <c r="G321" s="170">
        <f>IF(A321&lt;&gt;"",G320+F321-E321,"")</f>
      </c>
      <c r="H321" s="171">
        <f>IF(D321="",-F321+E321,"")</f>
        <v>0</v>
      </c>
      <c r="I321" s="176">
        <f>IF(D321&lt;&gt;"",G321+SUM($H$6:H321),"")</f>
      </c>
    </row>
    <row r="322" spans="1:9" ht="12.75">
      <c r="A322" s="141"/>
      <c r="B322" s="174"/>
      <c r="C322" s="116"/>
      <c r="D322" s="175"/>
      <c r="E322" s="125"/>
      <c r="F322" s="125"/>
      <c r="G322" s="170">
        <f>IF(A322&lt;&gt;"",G321+F322-E322,"")</f>
      </c>
      <c r="H322" s="171">
        <f>IF(D322="",-F322+E322,"")</f>
        <v>0</v>
      </c>
      <c r="I322" s="176">
        <f>IF(D322&lt;&gt;"",G322+SUM($H$6:H322),"")</f>
      </c>
    </row>
    <row r="323" spans="1:9" ht="12.75">
      <c r="A323" s="141"/>
      <c r="B323" s="174"/>
      <c r="C323" s="116"/>
      <c r="D323" s="175"/>
      <c r="E323" s="125"/>
      <c r="F323" s="125"/>
      <c r="G323" s="170">
        <f>IF(A323&lt;&gt;"",G322+F323-E323,"")</f>
      </c>
      <c r="H323" s="171">
        <f>IF(D323="",-F323+E323,"")</f>
        <v>0</v>
      </c>
      <c r="I323" s="176">
        <f>IF(D323&lt;&gt;"",G323+SUM($H$6:H323),"")</f>
      </c>
    </row>
    <row r="324" spans="1:9" ht="12.75">
      <c r="A324" s="141"/>
      <c r="B324" s="174"/>
      <c r="C324" s="116"/>
      <c r="D324" s="175"/>
      <c r="E324" s="125"/>
      <c r="F324" s="125"/>
      <c r="G324" s="170">
        <f>IF(A324&lt;&gt;"",G323+F324-E324,"")</f>
      </c>
      <c r="H324" s="171">
        <f>IF(D324="",-F324+E324,"")</f>
        <v>0</v>
      </c>
      <c r="I324" s="176">
        <f>IF(D324&lt;&gt;"",G324+SUM($H$6:H324),"")</f>
      </c>
    </row>
    <row r="325" spans="1:9" ht="12.75">
      <c r="A325" s="141"/>
      <c r="B325" s="174"/>
      <c r="C325" s="116"/>
      <c r="D325" s="175"/>
      <c r="E325" s="125"/>
      <c r="F325" s="125"/>
      <c r="G325" s="170">
        <f>IF(A325&lt;&gt;"",G324+F325-E325,"")</f>
      </c>
      <c r="H325" s="171">
        <f>IF(D325="",-F325+E325,"")</f>
        <v>0</v>
      </c>
      <c r="I325" s="176">
        <f>IF(D325&lt;&gt;"",G325+SUM($H$6:H325),"")</f>
      </c>
    </row>
    <row r="326" spans="1:9" ht="12.75">
      <c r="A326" s="141"/>
      <c r="B326" s="174"/>
      <c r="C326" s="116"/>
      <c r="D326" s="175"/>
      <c r="E326" s="125"/>
      <c r="F326" s="125"/>
      <c r="G326" s="170">
        <f>IF(A326&lt;&gt;"",G325+F326-E326,"")</f>
      </c>
      <c r="H326" s="171">
        <f>IF(D326="",-F326+E326,"")</f>
        <v>0</v>
      </c>
      <c r="I326" s="176">
        <f>IF(D326&lt;&gt;"",G326+SUM($H$6:H326),"")</f>
      </c>
    </row>
    <row r="327" spans="1:9" ht="12.75">
      <c r="A327" s="141"/>
      <c r="B327" s="174"/>
      <c r="C327" s="116"/>
      <c r="D327" s="175"/>
      <c r="E327" s="125"/>
      <c r="F327" s="125"/>
      <c r="G327" s="170">
        <f>IF(A327&lt;&gt;"",G326+F327-E327,"")</f>
      </c>
      <c r="H327" s="171">
        <f>IF(D327="",-F327+E327,"")</f>
        <v>0</v>
      </c>
      <c r="I327" s="176">
        <f>IF(D327&lt;&gt;"",G327+SUM($H$6:H327),"")</f>
      </c>
    </row>
    <row r="328" spans="1:9" ht="12.75">
      <c r="A328" s="141"/>
      <c r="B328" s="174"/>
      <c r="C328" s="116"/>
      <c r="D328" s="175"/>
      <c r="E328" s="125"/>
      <c r="F328" s="125"/>
      <c r="G328" s="170">
        <f>IF(A328&lt;&gt;"",G327+F328-E328,"")</f>
      </c>
      <c r="H328" s="171">
        <f>IF(D328="",-F328+E328,"")</f>
        <v>0</v>
      </c>
      <c r="I328" s="176">
        <f>IF(D328&lt;&gt;"",G328+SUM($H$6:H328),"")</f>
      </c>
    </row>
    <row r="329" spans="1:9" ht="12.75">
      <c r="A329" s="141"/>
      <c r="B329" s="174"/>
      <c r="C329" s="116"/>
      <c r="D329" s="175"/>
      <c r="E329" s="125"/>
      <c r="F329" s="125"/>
      <c r="G329" s="170">
        <f>IF(A329&lt;&gt;"",G328+F329-E329,"")</f>
      </c>
      <c r="H329" s="171">
        <f>IF(D329="",-F329+E329,"")</f>
        <v>0</v>
      </c>
      <c r="I329" s="176">
        <f>IF(D329&lt;&gt;"",G329+SUM($H$6:H329),"")</f>
      </c>
    </row>
    <row r="330" spans="1:9" ht="12.75">
      <c r="A330" s="141"/>
      <c r="B330" s="174"/>
      <c r="C330" s="116"/>
      <c r="D330" s="175"/>
      <c r="E330" s="125"/>
      <c r="F330" s="125"/>
      <c r="G330" s="170">
        <f>IF(A330&lt;&gt;"",G329+F330-E330,"")</f>
      </c>
      <c r="H330" s="171">
        <f>IF(D330="",-F330+E330,"")</f>
        <v>0</v>
      </c>
      <c r="I330" s="176">
        <f>IF(D330&lt;&gt;"",G330+SUM($H$6:H330),"")</f>
      </c>
    </row>
    <row r="331" spans="1:9" ht="12.75">
      <c r="A331" s="141"/>
      <c r="B331" s="174"/>
      <c r="C331" s="116"/>
      <c r="D331" s="175"/>
      <c r="E331" s="125"/>
      <c r="F331" s="125"/>
      <c r="G331" s="170">
        <f>IF(A331&lt;&gt;"",G330+F331-E331,"")</f>
      </c>
      <c r="H331" s="171">
        <f>IF(D331="",-F331+E331,"")</f>
        <v>0</v>
      </c>
      <c r="I331" s="176">
        <f>IF(D331&lt;&gt;"",G331+SUM($H$6:H331),"")</f>
      </c>
    </row>
    <row r="332" spans="1:9" ht="12.75">
      <c r="A332" s="141"/>
      <c r="B332" s="174"/>
      <c r="C332" s="116"/>
      <c r="D332" s="175"/>
      <c r="E332" s="125"/>
      <c r="F332" s="125"/>
      <c r="G332" s="170">
        <f>IF(A332&lt;&gt;"",G331+F332-E332,"")</f>
      </c>
      <c r="H332" s="171">
        <f>IF(D332="",-F332+E332,"")</f>
        <v>0</v>
      </c>
      <c r="I332" s="176">
        <f>IF(D332&lt;&gt;"",G332+SUM($H$6:H332),"")</f>
      </c>
    </row>
    <row r="333" spans="1:9" ht="12.75">
      <c r="A333" s="141"/>
      <c r="B333" s="174"/>
      <c r="C333" s="116"/>
      <c r="D333" s="175"/>
      <c r="E333" s="125"/>
      <c r="F333" s="125"/>
      <c r="G333" s="170">
        <f>IF(A333&lt;&gt;"",G332+F333-E333,"")</f>
      </c>
      <c r="H333" s="171">
        <f>IF(D333="",-F333+E333,"")</f>
        <v>0</v>
      </c>
      <c r="I333" s="176">
        <f>IF(D333&lt;&gt;"",G333+SUM($H$6:H333),"")</f>
      </c>
    </row>
    <row r="334" spans="1:9" ht="12.75">
      <c r="A334" s="141"/>
      <c r="B334" s="174"/>
      <c r="C334" s="116"/>
      <c r="D334" s="175"/>
      <c r="E334" s="125"/>
      <c r="F334" s="125"/>
      <c r="G334" s="170">
        <f>IF(A334&lt;&gt;"",G333+F334-E334,"")</f>
      </c>
      <c r="H334" s="171">
        <f>IF(D334="",-F334+E334,"")</f>
        <v>0</v>
      </c>
      <c r="I334" s="176">
        <f>IF(D334&lt;&gt;"",G334+SUM($H$6:H334),"")</f>
      </c>
    </row>
    <row r="335" spans="1:9" ht="12.75">
      <c r="A335" s="141"/>
      <c r="B335" s="174"/>
      <c r="C335" s="116"/>
      <c r="D335" s="175"/>
      <c r="E335" s="125"/>
      <c r="F335" s="125"/>
      <c r="G335" s="170">
        <f>IF(A335&lt;&gt;"",G334+F335-E335,"")</f>
      </c>
      <c r="H335" s="171">
        <f>IF(D335="",-F335+E335,"")</f>
        <v>0</v>
      </c>
      <c r="I335" s="176">
        <f>IF(D335&lt;&gt;"",G335+SUM($H$6:H335),"")</f>
      </c>
    </row>
    <row r="336" spans="1:9" ht="12.75">
      <c r="A336" s="141"/>
      <c r="B336" s="174"/>
      <c r="C336" s="116"/>
      <c r="D336" s="175"/>
      <c r="E336" s="125"/>
      <c r="F336" s="125"/>
      <c r="G336" s="170">
        <f>IF(A336&lt;&gt;"",G335+F336-E336,"")</f>
      </c>
      <c r="H336" s="171">
        <f>IF(D336="",-F336+E336,"")</f>
        <v>0</v>
      </c>
      <c r="I336" s="176">
        <f>IF(D336&lt;&gt;"",G336+SUM($H$6:H336),"")</f>
      </c>
    </row>
    <row r="337" spans="1:9" ht="12.75">
      <c r="A337" s="141"/>
      <c r="B337" s="174"/>
      <c r="C337" s="116"/>
      <c r="D337" s="175"/>
      <c r="E337" s="125"/>
      <c r="F337" s="125"/>
      <c r="G337" s="170">
        <f>IF(A337&lt;&gt;"",G336+F337-E337,"")</f>
      </c>
      <c r="H337" s="171">
        <f>IF(D337="",-F337+E337,"")</f>
        <v>0</v>
      </c>
      <c r="I337" s="176">
        <f>IF(D337&lt;&gt;"",G337+SUM($H$6:H337),"")</f>
      </c>
    </row>
    <row r="338" spans="1:9" ht="12.75">
      <c r="A338" s="141"/>
      <c r="B338" s="174"/>
      <c r="C338" s="116"/>
      <c r="D338" s="175"/>
      <c r="E338" s="125"/>
      <c r="F338" s="125"/>
      <c r="G338" s="170">
        <f>IF(A338&lt;&gt;"",G337+F338-E338,"")</f>
      </c>
      <c r="H338" s="171">
        <f>IF(D338="",-F338+E338,"")</f>
        <v>0</v>
      </c>
      <c r="I338" s="176">
        <f>IF(D338&lt;&gt;"",G338+SUM($H$6:H338),"")</f>
      </c>
    </row>
    <row r="339" spans="1:9" ht="12.75">
      <c r="A339" s="141"/>
      <c r="B339" s="174"/>
      <c r="C339" s="116"/>
      <c r="D339" s="175"/>
      <c r="E339" s="125"/>
      <c r="F339" s="125"/>
      <c r="G339" s="170">
        <f>IF(A339&lt;&gt;"",G338+F339-E339,"")</f>
      </c>
      <c r="H339" s="171">
        <f>IF(D339="",-F339+E339,"")</f>
        <v>0</v>
      </c>
      <c r="I339" s="176">
        <f>IF(D339&lt;&gt;"",G339+SUM($H$6:H339),"")</f>
      </c>
    </row>
    <row r="340" spans="1:9" ht="12.75">
      <c r="A340" s="141"/>
      <c r="B340" s="174"/>
      <c r="C340" s="116"/>
      <c r="D340" s="175"/>
      <c r="E340" s="125"/>
      <c r="F340" s="125"/>
      <c r="G340" s="170">
        <f>IF(A340&lt;&gt;"",G339+F340-E340,"")</f>
      </c>
      <c r="H340" s="171">
        <f>IF(D340="",-F340+E340,"")</f>
        <v>0</v>
      </c>
      <c r="I340" s="176">
        <f>IF(D340&lt;&gt;"",G340+SUM($H$6:H340),"")</f>
      </c>
    </row>
    <row r="341" spans="1:9" ht="12.75">
      <c r="A341" s="141"/>
      <c r="B341" s="174"/>
      <c r="C341" s="116"/>
      <c r="D341" s="175"/>
      <c r="E341" s="125"/>
      <c r="F341" s="125"/>
      <c r="G341" s="170">
        <f>IF(A341&lt;&gt;"",G340+F341-E341,"")</f>
      </c>
      <c r="H341" s="171">
        <f>IF(D341="",-F341+E341,"")</f>
        <v>0</v>
      </c>
      <c r="I341" s="176">
        <f>IF(D341&lt;&gt;"",G341+SUM($H$6:H341),"")</f>
      </c>
    </row>
    <row r="342" spans="1:9" ht="12.75">
      <c r="A342" s="141"/>
      <c r="B342" s="174"/>
      <c r="C342" s="116"/>
      <c r="D342" s="175"/>
      <c r="E342" s="125"/>
      <c r="F342" s="125"/>
      <c r="G342" s="170">
        <f>IF(A342&lt;&gt;"",G341+F342-E342,"")</f>
      </c>
      <c r="H342" s="171">
        <f>IF(D342="",-F342+E342,"")</f>
        <v>0</v>
      </c>
      <c r="I342" s="176">
        <f>IF(D342&lt;&gt;"",G342+SUM($H$6:H342),"")</f>
      </c>
    </row>
    <row r="343" spans="1:9" ht="12.75">
      <c r="A343" s="141"/>
      <c r="B343" s="174"/>
      <c r="C343" s="116"/>
      <c r="D343" s="175"/>
      <c r="E343" s="125"/>
      <c r="F343" s="125"/>
      <c r="G343" s="170">
        <f>IF(A343&lt;&gt;"",G342+F343-E343,"")</f>
      </c>
      <c r="H343" s="171">
        <f>IF(D343="",-F343+E343,"")</f>
        <v>0</v>
      </c>
      <c r="I343" s="176">
        <f>IF(D343&lt;&gt;"",G343+SUM($H$6:H343),"")</f>
      </c>
    </row>
    <row r="344" spans="1:9" ht="12.75">
      <c r="A344" s="141"/>
      <c r="B344" s="174"/>
      <c r="C344" s="116"/>
      <c r="D344" s="175"/>
      <c r="E344" s="125"/>
      <c r="F344" s="125"/>
      <c r="G344" s="170">
        <f>IF(A344&lt;&gt;"",G343+F344-E344,"")</f>
      </c>
      <c r="H344" s="171">
        <f>IF(D344="",-F344+E344,"")</f>
        <v>0</v>
      </c>
      <c r="I344" s="176">
        <f>IF(D344&lt;&gt;"",G344+SUM($H$6:H344),"")</f>
      </c>
    </row>
    <row r="345" spans="1:9" ht="12.75">
      <c r="A345" s="141"/>
      <c r="B345" s="174"/>
      <c r="C345" s="116"/>
      <c r="D345" s="175"/>
      <c r="E345" s="125"/>
      <c r="F345" s="125"/>
      <c r="G345" s="170">
        <f>IF(A345&lt;&gt;"",G344+F345-E345,"")</f>
      </c>
      <c r="H345" s="171">
        <f>IF(D345="",-F345+E345,"")</f>
        <v>0</v>
      </c>
      <c r="I345" s="176">
        <f>IF(D345&lt;&gt;"",G345+SUM($H$6:H345),"")</f>
      </c>
    </row>
    <row r="346" spans="1:9" ht="12.75">
      <c r="A346" s="141"/>
      <c r="B346" s="174"/>
      <c r="C346" s="116"/>
      <c r="D346" s="175"/>
      <c r="E346" s="125"/>
      <c r="F346" s="125"/>
      <c r="G346" s="170">
        <f>IF(A346&lt;&gt;"",G345+F346-E346,"")</f>
      </c>
      <c r="H346" s="171">
        <f>IF(D346="",-F346+E346,"")</f>
        <v>0</v>
      </c>
      <c r="I346" s="176">
        <f>IF(D346&lt;&gt;"",G346+SUM($H$6:H346),"")</f>
      </c>
    </row>
    <row r="347" spans="1:9" ht="12.75">
      <c r="A347" s="141"/>
      <c r="B347" s="174"/>
      <c r="C347" s="116"/>
      <c r="D347" s="175"/>
      <c r="E347" s="125"/>
      <c r="F347" s="125"/>
      <c r="G347" s="170">
        <f>IF(A347&lt;&gt;"",G346+F347-E347,"")</f>
      </c>
      <c r="H347" s="171">
        <f>IF(D347="",-F347+E347,"")</f>
        <v>0</v>
      </c>
      <c r="I347" s="176">
        <f>IF(D347&lt;&gt;"",G347+SUM($H$6:H347),"")</f>
      </c>
    </row>
    <row r="348" spans="1:9" ht="12.75">
      <c r="A348" s="141"/>
      <c r="B348" s="174"/>
      <c r="C348" s="116"/>
      <c r="D348" s="175"/>
      <c r="E348" s="125"/>
      <c r="F348" s="125"/>
      <c r="G348" s="170">
        <f>IF(A348&lt;&gt;"",G347+F348-E348,"")</f>
      </c>
      <c r="H348" s="171">
        <f>IF(D348="",-F348+E348,"")</f>
        <v>0</v>
      </c>
      <c r="I348" s="176">
        <f>IF(D348&lt;&gt;"",G348+SUM($H$6:H348),"")</f>
      </c>
    </row>
    <row r="349" spans="1:9" ht="12.75">
      <c r="A349" s="141"/>
      <c r="B349" s="174"/>
      <c r="C349" s="116"/>
      <c r="D349" s="175"/>
      <c r="E349" s="125"/>
      <c r="F349" s="125"/>
      <c r="G349" s="170">
        <f>IF(A349&lt;&gt;"",G348+F349-E349,"")</f>
      </c>
      <c r="H349" s="171">
        <f>IF(D349="",-F349+E349,"")</f>
        <v>0</v>
      </c>
      <c r="I349" s="176">
        <f>IF(D349&lt;&gt;"",G349+SUM($H$6:H349),"")</f>
      </c>
    </row>
    <row r="350" spans="1:9" ht="12.75">
      <c r="A350" s="141"/>
      <c r="B350" s="174"/>
      <c r="C350" s="116"/>
      <c r="D350" s="175"/>
      <c r="E350" s="125"/>
      <c r="F350" s="125"/>
      <c r="G350" s="170">
        <f>IF(A350&lt;&gt;"",G349+F350-E350,"")</f>
      </c>
      <c r="H350" s="171">
        <f>IF(D350="",-F350+E350,"")</f>
        <v>0</v>
      </c>
      <c r="I350" s="176">
        <f>IF(D350&lt;&gt;"",G350+SUM($H$6:H350),"")</f>
      </c>
    </row>
    <row r="351" spans="1:9" ht="12.75">
      <c r="A351" s="141"/>
      <c r="B351" s="174"/>
      <c r="C351" s="116"/>
      <c r="D351" s="175"/>
      <c r="E351" s="125"/>
      <c r="F351" s="125"/>
      <c r="G351" s="170">
        <f>IF(A351&lt;&gt;"",G350+F351-E351,"")</f>
      </c>
      <c r="H351" s="171">
        <f>IF(D351="",-F351+E351,"")</f>
        <v>0</v>
      </c>
      <c r="I351" s="176">
        <f>IF(D351&lt;&gt;"",G351+SUM($H$6:H351),"")</f>
      </c>
    </row>
    <row r="352" spans="1:9" ht="12.75">
      <c r="A352" s="141"/>
      <c r="B352" s="174"/>
      <c r="C352" s="116"/>
      <c r="D352" s="175"/>
      <c r="E352" s="125"/>
      <c r="F352" s="125"/>
      <c r="G352" s="170">
        <f>IF(A352&lt;&gt;"",G351+F352-E352,"")</f>
      </c>
      <c r="H352" s="171">
        <f>IF(D352="",-F352+E352,"")</f>
        <v>0</v>
      </c>
      <c r="I352" s="176">
        <f>IF(D352&lt;&gt;"",G352+SUM($H$6:H352),"")</f>
      </c>
    </row>
    <row r="353" spans="1:9" ht="12.75">
      <c r="A353" s="141"/>
      <c r="B353" s="174"/>
      <c r="C353" s="116"/>
      <c r="D353" s="175"/>
      <c r="E353" s="125"/>
      <c r="F353" s="125"/>
      <c r="G353" s="170">
        <f>IF(A353&lt;&gt;"",G352+F353-E353,"")</f>
      </c>
      <c r="H353" s="171">
        <f>IF(D353="",-F353+E353,"")</f>
        <v>0</v>
      </c>
      <c r="I353" s="176">
        <f>IF(D353&lt;&gt;"",G353+SUM($H$6:H353),"")</f>
      </c>
    </row>
    <row r="354" spans="1:9" ht="12.75">
      <c r="A354" s="141"/>
      <c r="B354" s="174"/>
      <c r="C354" s="116"/>
      <c r="D354" s="175"/>
      <c r="E354" s="125"/>
      <c r="F354" s="125"/>
      <c r="G354" s="170">
        <f>IF(A354&lt;&gt;"",G353+F354-E354,"")</f>
      </c>
      <c r="H354" s="171">
        <f>IF(D354="",-F354+E354,"")</f>
        <v>0</v>
      </c>
      <c r="I354" s="176">
        <f>IF(D354&lt;&gt;"",G354+SUM($H$6:H354),"")</f>
      </c>
    </row>
    <row r="355" spans="1:9" ht="12.75">
      <c r="A355" s="141"/>
      <c r="B355" s="174"/>
      <c r="C355" s="116"/>
      <c r="D355" s="175"/>
      <c r="E355" s="125"/>
      <c r="F355" s="125"/>
      <c r="G355" s="170">
        <f>IF(A355&lt;&gt;"",G354+F355-E355,"")</f>
      </c>
      <c r="H355" s="171">
        <f>IF(D355="",-F355+E355,"")</f>
        <v>0</v>
      </c>
      <c r="I355" s="176">
        <f>IF(D355&lt;&gt;"",G355+SUM($H$6:H355),"")</f>
      </c>
    </row>
    <row r="356" spans="1:9" ht="12.75">
      <c r="A356" s="141"/>
      <c r="B356" s="174"/>
      <c r="C356" s="116"/>
      <c r="D356" s="175"/>
      <c r="E356" s="125"/>
      <c r="F356" s="125"/>
      <c r="G356" s="170">
        <f>IF(A356&lt;&gt;"",G355+F356-E356,"")</f>
      </c>
      <c r="H356" s="171">
        <f>IF(D356="",-F356+E356,"")</f>
        <v>0</v>
      </c>
      <c r="I356" s="176">
        <f>IF(D356&lt;&gt;"",G356+SUM($H$6:H356),"")</f>
      </c>
    </row>
    <row r="357" spans="1:9" ht="12.75">
      <c r="A357" s="141"/>
      <c r="B357" s="174"/>
      <c r="C357" s="116"/>
      <c r="D357" s="175"/>
      <c r="E357" s="125"/>
      <c r="F357" s="125"/>
      <c r="G357" s="170">
        <f>IF(A357&lt;&gt;"",G356+F357-E357,"")</f>
      </c>
      <c r="H357" s="171">
        <f>IF(D357="",-F357+E357,"")</f>
        <v>0</v>
      </c>
      <c r="I357" s="176">
        <f>IF(D357&lt;&gt;"",G357+SUM($H$6:H357),"")</f>
      </c>
    </row>
    <row r="358" spans="1:9" ht="12.75">
      <c r="A358" s="141"/>
      <c r="B358" s="174"/>
      <c r="C358" s="116"/>
      <c r="D358" s="175"/>
      <c r="E358" s="125"/>
      <c r="F358" s="125"/>
      <c r="G358" s="170">
        <f>IF(A358&lt;&gt;"",G357+F358-E358,"")</f>
      </c>
      <c r="H358" s="171">
        <f>IF(D358="",-F358+E358,"")</f>
        <v>0</v>
      </c>
      <c r="I358" s="176">
        <f>IF(D358&lt;&gt;"",G358+SUM($H$6:H358),"")</f>
      </c>
    </row>
    <row r="359" spans="1:9" ht="12.75">
      <c r="A359" s="141"/>
      <c r="B359" s="174"/>
      <c r="C359" s="116"/>
      <c r="D359" s="175"/>
      <c r="E359" s="125"/>
      <c r="F359" s="125"/>
      <c r="G359" s="170">
        <f>IF(A359&lt;&gt;"",G358+F359-E359,"")</f>
      </c>
      <c r="H359" s="171">
        <f>IF(D359="",-F359+E359,"")</f>
        <v>0</v>
      </c>
      <c r="I359" s="176">
        <f>IF(D359&lt;&gt;"",G359+SUM($H$6:H359),"")</f>
      </c>
    </row>
    <row r="360" spans="1:9" ht="12.75">
      <c r="A360" s="141"/>
      <c r="B360" s="174"/>
      <c r="C360" s="116"/>
      <c r="D360" s="175"/>
      <c r="E360" s="125"/>
      <c r="F360" s="125"/>
      <c r="G360" s="170">
        <f>IF(A360&lt;&gt;"",G359+F360-E360,"")</f>
      </c>
      <c r="H360" s="171">
        <f>IF(D360="",-F360+E360,"")</f>
        <v>0</v>
      </c>
      <c r="I360" s="176">
        <f>IF(D360&lt;&gt;"",G360+SUM($H$6:H360),"")</f>
      </c>
    </row>
    <row r="361" spans="1:9" ht="12.75">
      <c r="A361" s="141"/>
      <c r="B361" s="174"/>
      <c r="C361" s="116"/>
      <c r="D361" s="175"/>
      <c r="E361" s="125"/>
      <c r="F361" s="125"/>
      <c r="G361" s="170">
        <f>IF(A361&lt;&gt;"",G360+F361-E361,"")</f>
      </c>
      <c r="H361" s="171">
        <f>IF(D361="",-F361+E361,"")</f>
        <v>0</v>
      </c>
      <c r="I361" s="176">
        <f>IF(D361&lt;&gt;"",G361+SUM($H$6:H361),"")</f>
      </c>
    </row>
    <row r="362" spans="1:9" ht="12.75">
      <c r="A362" s="141"/>
      <c r="B362" s="174"/>
      <c r="C362" s="116"/>
      <c r="D362" s="175"/>
      <c r="E362" s="125"/>
      <c r="F362" s="125"/>
      <c r="G362" s="170">
        <f>IF(A362&lt;&gt;"",G361+F362-E362,"")</f>
      </c>
      <c r="H362" s="171">
        <f>IF(D362="",-F362+E362,"")</f>
        <v>0</v>
      </c>
      <c r="I362" s="176">
        <f>IF(D362&lt;&gt;"",G362+SUM($H$6:H362),"")</f>
      </c>
    </row>
    <row r="363" spans="1:9" ht="12.75">
      <c r="A363" s="141"/>
      <c r="B363" s="138"/>
      <c r="C363" s="116"/>
      <c r="D363" s="175"/>
      <c r="E363" s="125"/>
      <c r="F363" s="125"/>
      <c r="G363" s="170">
        <f>IF(A363&lt;&gt;"",G362+F363-E363,"")</f>
      </c>
      <c r="H363" s="171">
        <f>IF(D363="",-F363+E363,"")</f>
        <v>0</v>
      </c>
      <c r="I363" s="176">
        <f>IF(D363&lt;&gt;"",G363+SUM($H$6:H363),"")</f>
      </c>
    </row>
    <row r="364" spans="1:9" ht="12.75">
      <c r="A364" s="141"/>
      <c r="B364" s="174"/>
      <c r="C364" s="196"/>
      <c r="D364" s="175"/>
      <c r="E364" s="125"/>
      <c r="F364" s="125"/>
      <c r="G364" s="170">
        <f>IF(A364&lt;&gt;"",G363+F364-E364,"")</f>
      </c>
      <c r="H364" s="171">
        <f>IF(D364="",-F364+E364,"")</f>
        <v>0</v>
      </c>
      <c r="I364" s="176">
        <f>IF(D364&lt;&gt;"",G364+SUM($H$6:H364),"")</f>
      </c>
    </row>
    <row r="365" spans="1:9" ht="12.75">
      <c r="A365" s="141"/>
      <c r="B365" s="174"/>
      <c r="C365" s="139"/>
      <c r="D365" s="175"/>
      <c r="E365" s="125"/>
      <c r="F365" s="125"/>
      <c r="G365" s="170">
        <f>IF(A365&lt;&gt;"",G364+F365-E365,"")</f>
      </c>
      <c r="H365" s="171">
        <f>IF(D365="",-F365+E365,"")</f>
        <v>0</v>
      </c>
      <c r="I365" s="176">
        <f>IF(D365&lt;&gt;"",G365+SUM($H$6:H365),"")</f>
      </c>
    </row>
    <row r="366" spans="1:9" ht="12.75">
      <c r="A366" s="141"/>
      <c r="B366" s="124"/>
      <c r="C366" s="116"/>
      <c r="D366" s="175"/>
      <c r="E366" s="125"/>
      <c r="F366" s="125"/>
      <c r="G366" s="170">
        <f>IF(A366&lt;&gt;"",G365+F366-E366,"")</f>
      </c>
      <c r="H366" s="171">
        <f>IF(D366="",-F366+E366,"")</f>
        <v>0</v>
      </c>
      <c r="I366" s="176">
        <f>IF(D366&lt;&gt;"",G366+SUM($H$6:H366),"")</f>
      </c>
    </row>
    <row r="367" spans="1:9" ht="12.75">
      <c r="A367" s="141"/>
      <c r="B367" s="174"/>
      <c r="C367" s="116"/>
      <c r="D367" s="175"/>
      <c r="E367" s="125"/>
      <c r="F367" s="125"/>
      <c r="G367" s="170">
        <f>IF(A367&lt;&gt;"",G366+F367-E367,"")</f>
      </c>
      <c r="H367" s="171">
        <f>IF(D367="",-F367+E367,"")</f>
        <v>0</v>
      </c>
      <c r="I367" s="176">
        <f>IF(D367&lt;&gt;"",G367+SUM($H$6:H367),"")</f>
      </c>
    </row>
    <row r="368" spans="1:9" ht="12.75">
      <c r="A368" s="141"/>
      <c r="B368" s="124"/>
      <c r="C368" s="177"/>
      <c r="D368" s="175"/>
      <c r="E368" s="125"/>
      <c r="F368" s="125"/>
      <c r="G368" s="170">
        <f>IF(A368&lt;&gt;"",G367+F368-E368,"")</f>
      </c>
      <c r="H368" s="171">
        <f>IF(D368="",-F368+E368,"")</f>
        <v>0</v>
      </c>
      <c r="I368" s="176">
        <f>IF(D368&lt;&gt;"",G368+SUM($H$6:H368),"")</f>
      </c>
    </row>
    <row r="369" spans="1:9" ht="12.75">
      <c r="A369" s="141"/>
      <c r="B369" s="174"/>
      <c r="C369" s="116"/>
      <c r="D369" s="175"/>
      <c r="E369" s="125"/>
      <c r="F369" s="125"/>
      <c r="G369" s="170">
        <f>IF(A369&lt;&gt;"",G368+F369-E369,"")</f>
      </c>
      <c r="H369" s="171">
        <f>IF(D369="",-F369+E369,"")</f>
        <v>0</v>
      </c>
      <c r="I369" s="176">
        <f>IF(D369&lt;&gt;"",G369+SUM($H$6:H369),"")</f>
      </c>
    </row>
    <row r="370" spans="1:9" ht="12.75">
      <c r="A370" s="141"/>
      <c r="B370" s="174"/>
      <c r="C370" s="116"/>
      <c r="D370" s="175"/>
      <c r="E370" s="125"/>
      <c r="F370" s="125"/>
      <c r="G370" s="170">
        <f>IF(A370&lt;&gt;"",G369+F370-E370,"")</f>
      </c>
      <c r="H370" s="171">
        <f>IF(D370="",-F370+E370,"")</f>
        <v>0</v>
      </c>
      <c r="I370" s="176">
        <f>IF(D370&lt;&gt;"",G370+SUM($H$6:H370),"")</f>
      </c>
    </row>
    <row r="371" spans="1:10" ht="12.75">
      <c r="A371" s="141"/>
      <c r="B371" s="174"/>
      <c r="C371" s="116"/>
      <c r="D371" s="175"/>
      <c r="E371" s="125"/>
      <c r="F371" s="125"/>
      <c r="G371" s="170">
        <f>IF(A371&lt;&gt;"",G370+F371-E371,"")</f>
      </c>
      <c r="H371" s="171">
        <f>IF(D371="",-F371+E371,"")</f>
        <v>0</v>
      </c>
      <c r="I371" s="176">
        <f>IF(D371&lt;&gt;"",G371+SUM($H$6:H371),"")</f>
      </c>
      <c r="J371" s="123"/>
    </row>
    <row r="372" spans="1:9" ht="12.75">
      <c r="A372" s="141"/>
      <c r="B372" s="138"/>
      <c r="C372" s="116"/>
      <c r="D372" s="175"/>
      <c r="E372" s="125"/>
      <c r="F372" s="125"/>
      <c r="G372" s="170">
        <f>IF(A372&lt;&gt;"",G371+F372-E372,"")</f>
      </c>
      <c r="H372" s="171">
        <f>IF(D372="",-F372+E372,"")</f>
        <v>0</v>
      </c>
      <c r="I372" s="176">
        <f>IF(D372&lt;&gt;"",G372+SUM($H$6:H372),"")</f>
      </c>
    </row>
    <row r="373" spans="1:9" ht="12.75">
      <c r="A373" s="141"/>
      <c r="B373" s="174"/>
      <c r="C373" s="116"/>
      <c r="D373" s="175"/>
      <c r="E373" s="125"/>
      <c r="F373" s="125"/>
      <c r="G373" s="170">
        <f>IF(A373&lt;&gt;"",G372+F373-E373,"")</f>
      </c>
      <c r="H373" s="171">
        <f>IF(D373="",-F373+E373,"")</f>
        <v>0</v>
      </c>
      <c r="I373" s="176">
        <f>IF(D373&lt;&gt;"",G373+SUM($H$6:H373),"")</f>
      </c>
    </row>
    <row r="374" spans="1:9" ht="12.75">
      <c r="A374" s="141"/>
      <c r="B374" s="138"/>
      <c r="C374" s="116"/>
      <c r="D374" s="175"/>
      <c r="E374" s="125"/>
      <c r="F374" s="125"/>
      <c r="G374" s="170">
        <f>IF(A374&lt;&gt;"",G373+F374-E374,"")</f>
      </c>
      <c r="H374" s="171">
        <f>IF(D374="",-F374+E374,"")</f>
        <v>0</v>
      </c>
      <c r="I374" s="176">
        <f>IF(D374&lt;&gt;"",G374+SUM($H$6:H374),"")</f>
      </c>
    </row>
    <row r="375" spans="1:9" ht="12.75">
      <c r="A375" s="141"/>
      <c r="B375" s="174"/>
      <c r="C375" s="116"/>
      <c r="D375" s="175"/>
      <c r="E375" s="125"/>
      <c r="F375" s="125"/>
      <c r="G375" s="170">
        <f>IF(A375&lt;&gt;"",G374+F375-E375,"")</f>
      </c>
      <c r="H375" s="171">
        <f>IF(D375="",-F375+E375,"")</f>
        <v>0</v>
      </c>
      <c r="I375" s="176">
        <f>IF(D375&lt;&gt;"",G375+SUM($H$6:H375),"")</f>
      </c>
    </row>
    <row r="376" spans="1:9" ht="12.75">
      <c r="A376" s="141"/>
      <c r="B376" s="174"/>
      <c r="C376" s="116"/>
      <c r="D376" s="175"/>
      <c r="E376" s="125"/>
      <c r="F376" s="125"/>
      <c r="G376" s="170">
        <f>IF(A376&lt;&gt;"",G375+F376-E376,"")</f>
      </c>
      <c r="H376" s="171">
        <f>IF(D376="",-F376+E376,"")</f>
        <v>0</v>
      </c>
      <c r="I376" s="176">
        <f>IF(D376&lt;&gt;"",G376+SUM($H$6:H376),"")</f>
      </c>
    </row>
    <row r="377" spans="1:9" ht="12.75">
      <c r="A377" s="141"/>
      <c r="B377" s="138"/>
      <c r="C377" s="116"/>
      <c r="D377" s="175"/>
      <c r="E377" s="125"/>
      <c r="F377" s="125"/>
      <c r="G377" s="170">
        <f>IF(A377&lt;&gt;"",G376+F377-E377,"")</f>
      </c>
      <c r="H377" s="171">
        <f>IF(D377="",-F377+E377,"")</f>
        <v>0</v>
      </c>
      <c r="I377" s="176">
        <f>IF(D377&lt;&gt;"",G377+SUM($H$6:H377),"")</f>
      </c>
    </row>
    <row r="378" spans="1:11" ht="12.75">
      <c r="A378" s="141"/>
      <c r="B378" s="174"/>
      <c r="C378" s="116"/>
      <c r="D378" s="175"/>
      <c r="E378" s="125"/>
      <c r="F378" s="125"/>
      <c r="G378" s="170">
        <f>IF(A378&lt;&gt;"",G377+F378-E378,"")</f>
      </c>
      <c r="H378" s="171">
        <f>IF(D378="",-F378+E378,"")</f>
        <v>0</v>
      </c>
      <c r="I378" s="176">
        <f>IF(D378&lt;&gt;"",G378+SUM($H$6:H378),"")</f>
      </c>
      <c r="K378" s="197"/>
    </row>
    <row r="379" spans="1:10" ht="12.75">
      <c r="A379" s="141"/>
      <c r="B379" s="174"/>
      <c r="C379" s="116"/>
      <c r="D379" s="175"/>
      <c r="E379" s="125"/>
      <c r="F379" s="125"/>
      <c r="G379" s="170">
        <f>IF(A379&lt;&gt;"",G378+F379-E379,"")</f>
      </c>
      <c r="H379" s="171">
        <f>IF(D379="",-F379+E379,"")</f>
        <v>0</v>
      </c>
      <c r="I379" s="176">
        <f>IF(D379&lt;&gt;"",G379+SUM($H$6:H379),"")</f>
      </c>
      <c r="J379" s="198"/>
    </row>
    <row r="380" spans="1:9" ht="12.75">
      <c r="A380" s="141"/>
      <c r="B380" s="138"/>
      <c r="C380" s="116"/>
      <c r="D380" s="175"/>
      <c r="E380" s="125"/>
      <c r="F380" s="125"/>
      <c r="G380" s="170">
        <f>IF(A380&lt;&gt;"",G379+F380-E380,"")</f>
      </c>
      <c r="H380" s="171">
        <f>IF(D380="",-F380+E380,"")</f>
        <v>0</v>
      </c>
      <c r="I380" s="176">
        <f>IF(D380&lt;&gt;"",G380+SUM($H$6:H380),"")</f>
      </c>
    </row>
    <row r="381" spans="1:10" ht="12.75">
      <c r="A381" s="141"/>
      <c r="B381" s="174"/>
      <c r="C381" s="116"/>
      <c r="D381" s="175"/>
      <c r="E381" s="125"/>
      <c r="F381" s="125"/>
      <c r="G381" s="170">
        <f>IF(A381&lt;&gt;"",G380+F381-E381,"")</f>
      </c>
      <c r="H381" s="171">
        <f>IF(D381="",-F381+E381,"")</f>
        <v>0</v>
      </c>
      <c r="I381" s="176">
        <f>IF(D381&lt;&gt;"",G381+SUM($H$6:H381),"")</f>
      </c>
      <c r="J381" s="198"/>
    </row>
    <row r="382" spans="1:9" ht="12.75">
      <c r="A382" s="141"/>
      <c r="B382" s="174"/>
      <c r="C382" s="116"/>
      <c r="D382" s="175"/>
      <c r="E382" s="125"/>
      <c r="F382" s="125"/>
      <c r="G382" s="170">
        <f>IF(A382&lt;&gt;"",G381+F382-E382,"")</f>
      </c>
      <c r="H382" s="171">
        <f>IF(D382="",-F382+E382,"")</f>
        <v>0</v>
      </c>
      <c r="I382" s="176">
        <f>IF(D382&lt;&gt;"",G382+SUM($H$6:H382),"")</f>
      </c>
    </row>
    <row r="383" spans="1:9" ht="12.75">
      <c r="A383" s="141"/>
      <c r="B383" s="174"/>
      <c r="C383" s="116"/>
      <c r="D383" s="175"/>
      <c r="E383" s="125"/>
      <c r="F383" s="125"/>
      <c r="G383" s="170">
        <f>IF(A383&lt;&gt;"",G382+F383-E383,"")</f>
      </c>
      <c r="H383" s="171">
        <f>IF(D383="",-F383+E383,"")</f>
        <v>0</v>
      </c>
      <c r="I383" s="176">
        <f>IF(D383&lt;&gt;"",G383+SUM($H$6:H383),"")</f>
      </c>
    </row>
    <row r="384" spans="1:9" ht="12.75">
      <c r="A384" s="141"/>
      <c r="B384" s="138"/>
      <c r="C384" s="116"/>
      <c r="D384" s="175"/>
      <c r="E384" s="125"/>
      <c r="F384" s="125"/>
      <c r="G384" s="170">
        <f>IF(A384&lt;&gt;"",G383+F384-E384,"")</f>
      </c>
      <c r="H384" s="171">
        <f>IF(D384="",-F384+E384,"")</f>
        <v>0</v>
      </c>
      <c r="I384" s="176">
        <f>IF(D384&lt;&gt;"",G384+SUM($H$6:H384),"")</f>
      </c>
    </row>
    <row r="385" spans="1:9" ht="12.75">
      <c r="A385" s="141"/>
      <c r="B385" s="174"/>
      <c r="C385" s="116"/>
      <c r="D385" s="175"/>
      <c r="E385" s="125"/>
      <c r="F385" s="125"/>
      <c r="G385" s="170">
        <f>IF(A385&lt;&gt;"",G384+F385-E385,"")</f>
      </c>
      <c r="H385" s="171">
        <f>IF(D385="",-F385+E385,"")</f>
        <v>0</v>
      </c>
      <c r="I385" s="176">
        <f>IF(D385&lt;&gt;"",G385+SUM($H$6:H385),"")</f>
      </c>
    </row>
    <row r="386" spans="1:9" ht="12.75">
      <c r="A386" s="141"/>
      <c r="B386" s="174"/>
      <c r="C386" s="116"/>
      <c r="D386" s="175"/>
      <c r="E386" s="125"/>
      <c r="F386" s="125"/>
      <c r="G386" s="170">
        <f>IF(A386&lt;&gt;"",G385+F386-E386,"")</f>
      </c>
      <c r="H386" s="171">
        <f>IF(D386="",-F386+E386,"")</f>
        <v>0</v>
      </c>
      <c r="I386" s="176">
        <f>IF(D386&lt;&gt;"",G386+SUM($H$6:H386),"")</f>
      </c>
    </row>
    <row r="387" spans="1:9" ht="12.75">
      <c r="A387" s="141"/>
      <c r="B387" s="138"/>
      <c r="C387" s="116"/>
      <c r="D387" s="175"/>
      <c r="E387" s="125"/>
      <c r="F387" s="125"/>
      <c r="G387" s="170">
        <f>IF(A387&lt;&gt;"",G386+F387-E387,"")</f>
      </c>
      <c r="H387" s="171">
        <f>IF(D387="",-F387+E387,"")</f>
        <v>0</v>
      </c>
      <c r="I387" s="176">
        <f>IF(D387&lt;&gt;"",G387+SUM($H$6:H387),"")</f>
      </c>
    </row>
    <row r="388" spans="1:9" ht="12.75">
      <c r="A388" s="141"/>
      <c r="B388" s="174"/>
      <c r="C388" s="196"/>
      <c r="D388" s="175"/>
      <c r="E388" s="125"/>
      <c r="F388" s="125"/>
      <c r="G388" s="170">
        <f>IF(A388&lt;&gt;"",G387+F388-E388,"")</f>
      </c>
      <c r="H388" s="171">
        <f>IF(D388="",-F388+E388,"")</f>
        <v>0</v>
      </c>
      <c r="I388" s="176">
        <f>IF(D388&lt;&gt;"",G388+SUM($H$6:H388),"")</f>
      </c>
    </row>
    <row r="389" spans="1:9" ht="12.75">
      <c r="A389" s="141"/>
      <c r="B389" s="138"/>
      <c r="C389" s="116"/>
      <c r="D389" s="175"/>
      <c r="E389" s="125"/>
      <c r="F389" s="125"/>
      <c r="G389" s="170">
        <f>IF(A389&lt;&gt;"",G388+F389-E389,"")</f>
      </c>
      <c r="H389" s="171">
        <f>IF(D389="",-F389+E389,"")</f>
        <v>0</v>
      </c>
      <c r="I389" s="176">
        <f>IF(D389&lt;&gt;"",G389+SUM($H$6:H389),"")</f>
      </c>
    </row>
    <row r="390" spans="1:9" ht="12.75">
      <c r="A390" s="141"/>
      <c r="B390" s="174"/>
      <c r="C390" s="116"/>
      <c r="D390" s="175"/>
      <c r="E390" s="125"/>
      <c r="F390" s="125"/>
      <c r="G390" s="170">
        <f>IF(A390&lt;&gt;"",G389+F390-E390,"")</f>
      </c>
      <c r="H390" s="171">
        <f>IF(D390="",-F390+E390,"")</f>
        <v>0</v>
      </c>
      <c r="I390" s="176">
        <f>IF(D390&lt;&gt;"",G390+SUM($H$6:H390),"")</f>
      </c>
    </row>
    <row r="391" spans="1:9" ht="12.75">
      <c r="A391" s="141"/>
      <c r="B391" s="174"/>
      <c r="C391" s="116"/>
      <c r="D391" s="175"/>
      <c r="E391" s="125"/>
      <c r="F391" s="125"/>
      <c r="G391" s="170">
        <f>IF(A391&lt;&gt;"",G390+F391-E391,"")</f>
      </c>
      <c r="H391" s="171">
        <f>IF(D391="",-F391+E391,"")</f>
        <v>0</v>
      </c>
      <c r="I391" s="176">
        <f>IF(D391&lt;&gt;"",G391+SUM($H$6:H391),"")</f>
      </c>
    </row>
    <row r="392" spans="1:9" ht="12.75">
      <c r="A392" s="141"/>
      <c r="B392" s="138"/>
      <c r="C392" s="116"/>
      <c r="D392" s="175"/>
      <c r="E392" s="125"/>
      <c r="F392" s="125"/>
      <c r="G392" s="170">
        <f>IF(A392&lt;&gt;"",G391+F392-E392,"")</f>
      </c>
      <c r="H392" s="171">
        <f>IF(D392="",-F392+E392,"")</f>
        <v>0</v>
      </c>
      <c r="I392" s="176">
        <f>IF(D392&lt;&gt;"",G392+SUM($H$6:H392),"")</f>
      </c>
    </row>
    <row r="393" spans="1:9" ht="12.75">
      <c r="A393" s="141"/>
      <c r="B393" s="174"/>
      <c r="C393" s="139"/>
      <c r="D393" s="175"/>
      <c r="E393" s="125"/>
      <c r="F393" s="125"/>
      <c r="G393" s="170">
        <f>IF(A393&lt;&gt;"",G392+F393-E393,"")</f>
      </c>
      <c r="H393" s="171">
        <f>IF(D393="",-F393+E393,"")</f>
        <v>0</v>
      </c>
      <c r="I393" s="176">
        <f>IF(D393&lt;&gt;"",G393+SUM($H$6:H393),"")</f>
      </c>
    </row>
    <row r="394" spans="1:9" ht="12.75">
      <c r="A394" s="141"/>
      <c r="B394" s="124"/>
      <c r="C394" s="196"/>
      <c r="D394" s="175"/>
      <c r="E394" s="125"/>
      <c r="F394" s="125"/>
      <c r="G394" s="170">
        <f>IF(A394&lt;&gt;"",G393+F394-E394,"")</f>
      </c>
      <c r="H394" s="171">
        <f>IF(D394="",-F394+E394,"")</f>
        <v>0</v>
      </c>
      <c r="I394" s="176">
        <f>IF(D394&lt;&gt;"",G394+SUM($H$6:H394),"")</f>
      </c>
    </row>
    <row r="395" spans="1:9" ht="12.75">
      <c r="A395" s="141"/>
      <c r="B395" s="138"/>
      <c r="C395" s="116"/>
      <c r="D395" s="175"/>
      <c r="E395" s="125"/>
      <c r="F395" s="125"/>
      <c r="G395" s="170">
        <f>IF(A395&lt;&gt;"",G394+F395-E395,"")</f>
      </c>
      <c r="H395" s="171">
        <f>IF(D395="",-F395+E395,"")</f>
        <v>0</v>
      </c>
      <c r="I395" s="176">
        <f>IF(D395&lt;&gt;"",G395+SUM($H$6:H395),"")</f>
      </c>
    </row>
    <row r="396" spans="1:9" ht="12.75">
      <c r="A396" s="141"/>
      <c r="B396" s="174"/>
      <c r="C396" s="139"/>
      <c r="D396" s="175"/>
      <c r="E396" s="125"/>
      <c r="F396" s="125"/>
      <c r="G396" s="170">
        <f>IF(A396&lt;&gt;"",G395+F396-E396,"")</f>
      </c>
      <c r="H396" s="171">
        <f>IF(D396="",-F396+E396,"")</f>
        <v>0</v>
      </c>
      <c r="I396" s="176">
        <f>IF(D396&lt;&gt;"",G396+SUM($H$6:H396),"")</f>
      </c>
    </row>
    <row r="397" spans="1:9" ht="12.75">
      <c r="A397" s="141"/>
      <c r="B397" s="138"/>
      <c r="C397" s="116"/>
      <c r="D397" s="175"/>
      <c r="E397" s="125"/>
      <c r="F397" s="125"/>
      <c r="G397" s="170">
        <f>IF(A397&lt;&gt;"",G396+F397-E397,"")</f>
      </c>
      <c r="H397" s="171">
        <f>IF(D397="",-F397+E397,"")</f>
        <v>0</v>
      </c>
      <c r="I397" s="176">
        <f>IF(D397&lt;&gt;"",G397+SUM($H$6:H397),"")</f>
      </c>
    </row>
    <row r="398" spans="1:9" ht="12.75">
      <c r="A398" s="141"/>
      <c r="B398" s="174"/>
      <c r="C398" s="116"/>
      <c r="D398" s="175"/>
      <c r="E398" s="125"/>
      <c r="F398" s="125"/>
      <c r="G398" s="170">
        <f>IF(A398&lt;&gt;"",G397+F398-E398,"")</f>
      </c>
      <c r="H398" s="171">
        <f>IF(D398="",-F398+E398,"")</f>
        <v>0</v>
      </c>
      <c r="I398" s="176">
        <f>IF(D398&lt;&gt;"",G398+SUM($H$6:H398),"")</f>
      </c>
    </row>
    <row r="399" spans="1:9" ht="12.75">
      <c r="A399" s="141"/>
      <c r="B399" s="124"/>
      <c r="C399" s="116"/>
      <c r="D399" s="175"/>
      <c r="E399" s="125"/>
      <c r="F399" s="125"/>
      <c r="G399" s="170">
        <f>IF(A399&lt;&gt;"",G398+F399-E399,"")</f>
      </c>
      <c r="H399" s="171">
        <f>IF(D399="",-F399+E399,"")</f>
        <v>0</v>
      </c>
      <c r="I399" s="176">
        <f>IF(D399&lt;&gt;"",G399+SUM($H$6:H399),"")</f>
      </c>
    </row>
    <row r="400" spans="1:9" ht="12.75">
      <c r="A400" s="141"/>
      <c r="B400" s="138"/>
      <c r="C400" s="139"/>
      <c r="D400" s="175"/>
      <c r="E400" s="125"/>
      <c r="F400" s="125"/>
      <c r="G400" s="170">
        <f>IF(A400&lt;&gt;"",G399+F400-E400,"")</f>
      </c>
      <c r="H400" s="171">
        <f>IF(D400="",-F400+E400,"")</f>
        <v>0</v>
      </c>
      <c r="I400" s="176">
        <f>IF(D400&lt;&gt;"",G400+SUM($H$6:H400),"")</f>
      </c>
    </row>
    <row r="401" spans="1:10" ht="12.75">
      <c r="A401" s="141"/>
      <c r="B401" s="138"/>
      <c r="C401" s="116"/>
      <c r="D401" s="175"/>
      <c r="E401" s="125"/>
      <c r="F401" s="125"/>
      <c r="G401" s="170">
        <f>IF(A401&lt;&gt;"",G400+F401-E401,"")</f>
      </c>
      <c r="H401" s="171">
        <f>IF(D401="",-F401+E401,"")</f>
        <v>0</v>
      </c>
      <c r="I401" s="176">
        <f>IF(D401&lt;&gt;"",G401+SUM($H$6:H401),"")</f>
      </c>
      <c r="J401" s="199"/>
    </row>
    <row r="402" spans="1:9" ht="12.75">
      <c r="A402" s="141"/>
      <c r="B402" s="174"/>
      <c r="C402" s="116"/>
      <c r="D402" s="175"/>
      <c r="E402" s="125"/>
      <c r="F402" s="125"/>
      <c r="G402" s="170">
        <f>IF(A402&lt;&gt;"",G401+F402-E402,"")</f>
      </c>
      <c r="H402" s="171">
        <f>IF(D402="",-F402+E402,"")</f>
        <v>0</v>
      </c>
      <c r="I402" s="176">
        <f>IF(D402&lt;&gt;"",G402+SUM($H$6:H402),"")</f>
      </c>
    </row>
    <row r="403" spans="1:9" ht="12.75">
      <c r="A403" s="141"/>
      <c r="B403" s="174"/>
      <c r="C403" s="139"/>
      <c r="D403" s="175"/>
      <c r="E403" s="125"/>
      <c r="F403" s="125"/>
      <c r="G403" s="170">
        <f>IF(A403&lt;&gt;"",G402+F403-E403,"")</f>
      </c>
      <c r="H403" s="171">
        <f>IF(D403="",-F403+E403,"")</f>
        <v>0</v>
      </c>
      <c r="I403" s="176">
        <f>IF(D403&lt;&gt;"",G403+SUM($H$6:H403),"")</f>
      </c>
    </row>
    <row r="404" spans="1:9" ht="12.75">
      <c r="A404" s="141"/>
      <c r="B404" s="174"/>
      <c r="C404" s="116"/>
      <c r="D404" s="175"/>
      <c r="E404" s="125"/>
      <c r="F404" s="125"/>
      <c r="G404" s="170">
        <f>IF(A404&lt;&gt;"",G403+F404-E404,"")</f>
      </c>
      <c r="H404" s="171">
        <f>IF(D404="",-F404+E404,"")</f>
        <v>0</v>
      </c>
      <c r="I404" s="176">
        <f>IF(D404&lt;&gt;"",G404+SUM($H$6:H404),"")</f>
      </c>
    </row>
    <row r="405" spans="1:9" ht="12.75">
      <c r="A405" s="141"/>
      <c r="B405" s="174"/>
      <c r="C405" s="116"/>
      <c r="D405" s="175"/>
      <c r="E405" s="125"/>
      <c r="F405" s="125"/>
      <c r="G405" s="170">
        <f>IF(A405&lt;&gt;"",G404+F405-E405,"")</f>
      </c>
      <c r="H405" s="171">
        <f>IF(D405="",-F405+E405,"")</f>
        <v>0</v>
      </c>
      <c r="I405" s="176">
        <f>IF(D405&lt;&gt;"",G405+SUM($H$6:H405),"")</f>
      </c>
    </row>
    <row r="406" spans="1:10" ht="12.75">
      <c r="A406" s="141"/>
      <c r="B406" s="174"/>
      <c r="C406" s="116"/>
      <c r="D406" s="175"/>
      <c r="E406" s="125"/>
      <c r="F406" s="125"/>
      <c r="G406" s="170">
        <f>IF(A406&lt;&gt;"",G405+F406-E406,"")</f>
      </c>
      <c r="H406" s="171">
        <f>IF(D406="",-F406+E406,"")</f>
        <v>0</v>
      </c>
      <c r="I406" s="176">
        <f>IF(D406&lt;&gt;"",G406+SUM($H$6:H406),"")</f>
      </c>
      <c r="J406" s="200"/>
    </row>
    <row r="407" spans="1:9" ht="12.75">
      <c r="A407" s="141"/>
      <c r="B407" s="174"/>
      <c r="C407" s="116"/>
      <c r="D407" s="175"/>
      <c r="E407" s="125"/>
      <c r="F407" s="125"/>
      <c r="G407" s="170">
        <f>IF(A407&lt;&gt;"",G406+F407-E407,"")</f>
      </c>
      <c r="H407" s="171">
        <f>IF(D407="",-F407+E407,"")</f>
        <v>0</v>
      </c>
      <c r="I407" s="176">
        <f>IF(D407&lt;&gt;"",G407+SUM($H$6:H407),"")</f>
      </c>
    </row>
    <row r="408" spans="1:9" ht="12.75">
      <c r="A408" s="141"/>
      <c r="B408" s="174"/>
      <c r="C408" s="116"/>
      <c r="D408" s="175"/>
      <c r="E408" s="125"/>
      <c r="F408" s="125"/>
      <c r="G408" s="170">
        <f>IF(A408&lt;&gt;"",G407+F408-E408,"")</f>
      </c>
      <c r="H408" s="171">
        <f>IF(D408="",-F408+E408,"")</f>
        <v>0</v>
      </c>
      <c r="I408" s="176">
        <f>IF(D408&lt;&gt;"",G408+SUM($H$6:H408),"")</f>
      </c>
    </row>
    <row r="409" spans="1:9" ht="12.75">
      <c r="A409" s="141"/>
      <c r="B409" s="174"/>
      <c r="C409" s="116"/>
      <c r="D409" s="175"/>
      <c r="E409" s="125"/>
      <c r="F409" s="125"/>
      <c r="G409" s="170">
        <f>IF(A409&lt;&gt;"",G408+F409-E409,"")</f>
      </c>
      <c r="H409" s="171">
        <f>IF(D409="",-F409+E409,"")</f>
        <v>0</v>
      </c>
      <c r="I409" s="176">
        <f>IF(D409&lt;&gt;"",G409+SUM($H$6:H409),"")</f>
      </c>
    </row>
    <row r="410" spans="1:9" ht="12.75">
      <c r="A410" s="141"/>
      <c r="B410" s="174"/>
      <c r="C410" s="116"/>
      <c r="D410" s="175"/>
      <c r="E410" s="125"/>
      <c r="F410" s="125"/>
      <c r="G410" s="170">
        <f>IF(A410&lt;&gt;"",G409+F410-E410,"")</f>
      </c>
      <c r="H410" s="171">
        <f>IF(D410="",-F410+E410,"")</f>
        <v>0</v>
      </c>
      <c r="I410" s="176">
        <f>IF(D410&lt;&gt;"",G410+SUM($H$6:H410),"")</f>
      </c>
    </row>
    <row r="411" spans="1:9" ht="12.75">
      <c r="A411" s="141"/>
      <c r="B411" s="174"/>
      <c r="C411" s="116"/>
      <c r="D411" s="175"/>
      <c r="E411" s="125"/>
      <c r="F411" s="125"/>
      <c r="G411" s="170">
        <f>IF(A411&lt;&gt;"",G410+F411-E411,"")</f>
      </c>
      <c r="H411" s="171">
        <f>IF(D411="",-F411+E411,"")</f>
        <v>0</v>
      </c>
      <c r="I411" s="176">
        <f>IF(D411&lt;&gt;"",G411+SUM($H$6:H411),"")</f>
      </c>
    </row>
    <row r="412" spans="1:9" ht="12.75">
      <c r="A412" s="141"/>
      <c r="B412" s="174"/>
      <c r="C412" s="116"/>
      <c r="D412" s="175"/>
      <c r="E412" s="125"/>
      <c r="F412" s="125"/>
      <c r="G412" s="170">
        <f>IF(A412&lt;&gt;"",G411+F412-E412,"")</f>
      </c>
      <c r="H412" s="171">
        <f>IF(D412="",-F412+E412,"")</f>
        <v>0</v>
      </c>
      <c r="I412" s="176">
        <f>IF(D412&lt;&gt;"",G412+SUM($H$6:H412),"")</f>
      </c>
    </row>
    <row r="413" spans="1:9" ht="12.75">
      <c r="A413" s="141"/>
      <c r="B413" s="174"/>
      <c r="C413" s="116"/>
      <c r="D413" s="175"/>
      <c r="E413" s="125"/>
      <c r="F413" s="125"/>
      <c r="G413" s="170">
        <f>IF(A413&lt;&gt;"",G412+F413-E413,"")</f>
      </c>
      <c r="H413" s="171">
        <f>IF(D413="",-F413+E413,"")</f>
        <v>0</v>
      </c>
      <c r="I413" s="176">
        <f>IF(D413&lt;&gt;"",G413+SUM($H$6:H413),"")</f>
      </c>
    </row>
    <row r="414" spans="1:9" ht="12.75">
      <c r="A414" s="141"/>
      <c r="B414" s="174"/>
      <c r="C414" s="116"/>
      <c r="D414" s="175"/>
      <c r="E414" s="125"/>
      <c r="F414" s="125"/>
      <c r="G414" s="170">
        <f>IF(A414&lt;&gt;"",G413+F414-E414,"")</f>
      </c>
      <c r="H414" s="171">
        <f>IF(D414="",-F414+E414,"")</f>
        <v>0</v>
      </c>
      <c r="I414" s="176">
        <f>IF(D414&lt;&gt;"",G414+SUM($H$6:H414),"")</f>
      </c>
    </row>
    <row r="415" spans="1:9" ht="12.75">
      <c r="A415" s="141"/>
      <c r="B415" s="174"/>
      <c r="C415" s="116"/>
      <c r="D415" s="175"/>
      <c r="E415" s="125"/>
      <c r="F415" s="125"/>
      <c r="G415" s="170">
        <f>IF(A415&lt;&gt;"",G414+F415-E415,"")</f>
      </c>
      <c r="H415" s="171">
        <f>IF(D415="",-F415+E415,"")</f>
        <v>0</v>
      </c>
      <c r="I415" s="176">
        <f>IF(D415&lt;&gt;"",G415+SUM($H$6:H415),"")</f>
      </c>
    </row>
    <row r="416" spans="1:9" ht="12.75">
      <c r="A416" s="141"/>
      <c r="B416" s="174"/>
      <c r="C416" s="116"/>
      <c r="D416" s="175"/>
      <c r="E416" s="125"/>
      <c r="F416" s="125"/>
      <c r="G416" s="170">
        <f>IF(A416&lt;&gt;"",G415+F416-E416,"")</f>
      </c>
      <c r="H416" s="171">
        <f>IF(D416="",-F416+E416,"")</f>
        <v>0</v>
      </c>
      <c r="I416" s="176">
        <f>IF(D416&lt;&gt;"",G416+SUM($H$6:H416),"")</f>
      </c>
    </row>
    <row r="417" spans="1:9" ht="12.75">
      <c r="A417" s="141"/>
      <c r="B417" s="174"/>
      <c r="C417" s="116"/>
      <c r="D417" s="175"/>
      <c r="E417" s="125"/>
      <c r="F417" s="125"/>
      <c r="G417" s="170">
        <f>IF(A417&lt;&gt;"",G416+F417-E417,"")</f>
      </c>
      <c r="H417" s="171">
        <f>IF(D417="",-F417+E417,"")</f>
        <v>0</v>
      </c>
      <c r="I417" s="176">
        <f>IF(D417&lt;&gt;"",G417+SUM($H$6:H417),"")</f>
      </c>
    </row>
    <row r="418" spans="1:9" ht="12.75">
      <c r="A418" s="141"/>
      <c r="B418" s="174"/>
      <c r="C418" s="116"/>
      <c r="D418" s="175"/>
      <c r="E418" s="125"/>
      <c r="F418" s="125"/>
      <c r="G418" s="170">
        <f>IF(A418&lt;&gt;"",G417+F418-E418,"")</f>
      </c>
      <c r="H418" s="171">
        <f>IF(D418="",-F418+E418,"")</f>
        <v>0</v>
      </c>
      <c r="I418" s="176">
        <f>IF(D418&lt;&gt;"",G418+SUM($H$6:H418),"")</f>
      </c>
    </row>
    <row r="419" spans="1:9" ht="12.75">
      <c r="A419" s="141"/>
      <c r="B419" s="174"/>
      <c r="C419" s="116"/>
      <c r="D419" s="175"/>
      <c r="E419" s="125"/>
      <c r="F419" s="125"/>
      <c r="G419" s="170">
        <f>IF(A419&lt;&gt;"",G418+F419-E419,"")</f>
      </c>
      <c r="H419" s="171">
        <f>IF(D419="",-F419+E419,"")</f>
        <v>0</v>
      </c>
      <c r="I419" s="176">
        <f>IF(D419&lt;&gt;"",G419+SUM($H$6:H419),"")</f>
      </c>
    </row>
    <row r="420" spans="1:9" ht="12.75">
      <c r="A420" s="141"/>
      <c r="B420" s="174"/>
      <c r="C420" s="116"/>
      <c r="D420" s="175"/>
      <c r="E420" s="125"/>
      <c r="F420" s="125"/>
      <c r="G420" s="170">
        <f>IF(A420&lt;&gt;"",G419+F420-E420,"")</f>
      </c>
      <c r="H420" s="171">
        <f>IF(D420="",-F420+E420,"")</f>
        <v>0</v>
      </c>
      <c r="I420" s="176">
        <f>IF(D420&lt;&gt;"",G420+SUM($H$6:H420),"")</f>
      </c>
    </row>
    <row r="421" spans="1:9" ht="12.75">
      <c r="A421" s="141"/>
      <c r="B421" s="174"/>
      <c r="C421" s="116"/>
      <c r="D421" s="175"/>
      <c r="E421" s="125"/>
      <c r="F421" s="125"/>
      <c r="G421" s="170">
        <f>IF(A421&lt;&gt;"",G420+F421-E421,"")</f>
      </c>
      <c r="H421" s="171">
        <f>IF(D421="",-F421+E421,"")</f>
        <v>0</v>
      </c>
      <c r="I421" s="176">
        <f>IF(D421&lt;&gt;"",G421+SUM($H$6:H421),"")</f>
      </c>
    </row>
    <row r="422" spans="1:9" ht="12.75">
      <c r="A422" s="141"/>
      <c r="B422" s="174"/>
      <c r="C422" s="116"/>
      <c r="D422" s="175"/>
      <c r="E422" s="125"/>
      <c r="F422" s="125"/>
      <c r="G422" s="170">
        <f>IF(A422&lt;&gt;"",G421+F422-E422,"")</f>
      </c>
      <c r="H422" s="171">
        <f>IF(D422="",-F422+E422,"")</f>
        <v>0</v>
      </c>
      <c r="I422" s="176">
        <f>IF(D422&lt;&gt;"",G422+SUM($H$6:H422),"")</f>
      </c>
    </row>
    <row r="423" spans="1:9" ht="12.75">
      <c r="A423" s="141"/>
      <c r="B423" s="174"/>
      <c r="C423" s="116"/>
      <c r="D423" s="175"/>
      <c r="E423" s="125"/>
      <c r="F423" s="125"/>
      <c r="G423" s="170">
        <f>IF(A423&lt;&gt;"",G422+F423-E423,"")</f>
      </c>
      <c r="H423" s="171">
        <f>IF(D423="",-F423+E423,"")</f>
        <v>0</v>
      </c>
      <c r="I423" s="176">
        <f>IF(D423&lt;&gt;"",G423+SUM($H$6:H423),"")</f>
      </c>
    </row>
    <row r="424" spans="1:9" ht="12.75">
      <c r="A424" s="141"/>
      <c r="B424" s="174"/>
      <c r="C424" s="116"/>
      <c r="D424" s="175"/>
      <c r="E424" s="125"/>
      <c r="F424" s="125"/>
      <c r="G424" s="170">
        <f>IF(A424&lt;&gt;"",G423+F424-E424,"")</f>
      </c>
      <c r="H424" s="171">
        <f>IF(D424="",-F424+E424,"")</f>
        <v>0</v>
      </c>
      <c r="I424" s="176">
        <f>IF(D424&lt;&gt;"",G424+SUM($H$6:H424),"")</f>
      </c>
    </row>
    <row r="425" spans="1:9" ht="12.75">
      <c r="A425" s="141"/>
      <c r="B425" s="174"/>
      <c r="C425" s="116"/>
      <c r="D425" s="175"/>
      <c r="E425" s="125"/>
      <c r="F425" s="125"/>
      <c r="G425" s="170">
        <f>IF(A425&lt;&gt;"",G424+F425-E425,"")</f>
      </c>
      <c r="H425" s="171">
        <f>IF(D425="",-F425+E425,"")</f>
        <v>0</v>
      </c>
      <c r="I425" s="176">
        <f>IF(D425&lt;&gt;"",G425+SUM($H$6:H425),"")</f>
      </c>
    </row>
    <row r="426" spans="1:9" ht="12.75">
      <c r="A426" s="141"/>
      <c r="B426" s="174"/>
      <c r="C426" s="116"/>
      <c r="D426" s="175"/>
      <c r="E426" s="125"/>
      <c r="F426" s="125"/>
      <c r="G426" s="170">
        <f>IF(A426&lt;&gt;"",G425+F426-E426,"")</f>
      </c>
      <c r="H426" s="171">
        <f>IF(D426="",-F426+E426,"")</f>
        <v>0</v>
      </c>
      <c r="I426" s="176">
        <f>IF(D426&lt;&gt;"",G426+SUM($H$6:H426),"")</f>
      </c>
    </row>
    <row r="427" spans="1:9" ht="12.75">
      <c r="A427" s="141"/>
      <c r="B427" s="174"/>
      <c r="C427" s="116"/>
      <c r="D427" s="175"/>
      <c r="E427" s="125"/>
      <c r="F427" s="125"/>
      <c r="G427" s="170">
        <f>IF(A427&lt;&gt;"",G426+F427-E427,"")</f>
      </c>
      <c r="H427" s="171">
        <f>IF(D427="",-F427+E427,"")</f>
        <v>0</v>
      </c>
      <c r="I427" s="176">
        <f>IF(D427&lt;&gt;"",G427+SUM($H$6:H427),"")</f>
      </c>
    </row>
    <row r="428" spans="1:9" ht="12.75">
      <c r="A428" s="141"/>
      <c r="B428" s="174"/>
      <c r="C428" s="116"/>
      <c r="D428" s="175"/>
      <c r="E428" s="125"/>
      <c r="F428" s="125"/>
      <c r="G428" s="170">
        <f>IF(A428&lt;&gt;"",G427+F428-E428,"")</f>
      </c>
      <c r="H428" s="171">
        <f>IF(D428="",-F428+E428,"")</f>
        <v>0</v>
      </c>
      <c r="I428" s="176">
        <f>IF(D428&lt;&gt;"",G428+SUM($H$6:H428),"")</f>
      </c>
    </row>
    <row r="429" spans="1:9" ht="12.75">
      <c r="A429" s="141"/>
      <c r="B429" s="174"/>
      <c r="C429" s="116"/>
      <c r="D429" s="175"/>
      <c r="E429" s="125"/>
      <c r="F429" s="125"/>
      <c r="G429" s="170">
        <f>IF(A429&lt;&gt;"",G428+F429-E429,"")</f>
      </c>
      <c r="H429" s="171">
        <f>IF(D429="",-F429+E429,"")</f>
        <v>0</v>
      </c>
      <c r="I429" s="176">
        <f>IF(D429&lt;&gt;"",G429+SUM($H$6:H429),"")</f>
      </c>
    </row>
    <row r="430" spans="1:9" ht="12.75">
      <c r="A430" s="141"/>
      <c r="B430" s="174"/>
      <c r="C430" s="116"/>
      <c r="D430" s="175"/>
      <c r="E430" s="125"/>
      <c r="F430" s="125"/>
      <c r="G430" s="170">
        <f>IF(A430&lt;&gt;"",G429+F430-E430,"")</f>
      </c>
      <c r="H430" s="171">
        <f>IF(D430="",-F430+E430,"")</f>
        <v>0</v>
      </c>
      <c r="I430" s="176">
        <f>IF(D430&lt;&gt;"",G430+SUM($H$6:H430),"")</f>
      </c>
    </row>
    <row r="431" spans="1:9" ht="12.75">
      <c r="A431" s="141"/>
      <c r="B431" s="174"/>
      <c r="C431" s="116"/>
      <c r="D431" s="175"/>
      <c r="E431" s="125"/>
      <c r="F431" s="125"/>
      <c r="G431" s="170">
        <f>IF(A431&lt;&gt;"",G430+F431-E431,"")</f>
      </c>
      <c r="H431" s="171">
        <f>IF(D431="",-F431+E431,"")</f>
        <v>0</v>
      </c>
      <c r="I431" s="176">
        <f>IF(D431&lt;&gt;"",G431+SUM($H$6:H431),"")</f>
      </c>
    </row>
    <row r="432" spans="1:9" ht="12.75">
      <c r="A432" s="141"/>
      <c r="B432" s="174"/>
      <c r="C432" s="116"/>
      <c r="D432" s="175"/>
      <c r="E432" s="125"/>
      <c r="F432" s="125"/>
      <c r="G432" s="170">
        <f>IF(A432&lt;&gt;"",G431+F432-E432,"")</f>
      </c>
      <c r="H432" s="171">
        <f>IF(D432="",-F432+E432,"")</f>
        <v>0</v>
      </c>
      <c r="I432" s="176">
        <f>IF(D432&lt;&gt;"",G432+SUM($H$6:H432),"")</f>
      </c>
    </row>
    <row r="433" spans="1:9" ht="12.75">
      <c r="A433" s="141"/>
      <c r="B433" s="174"/>
      <c r="C433" s="116"/>
      <c r="D433" s="175"/>
      <c r="E433" s="125"/>
      <c r="F433" s="125"/>
      <c r="G433" s="170">
        <f>IF(A433&lt;&gt;"",G432+F433-E433,"")</f>
      </c>
      <c r="H433" s="171">
        <f>IF(D433="",-F433+E433,"")</f>
        <v>0</v>
      </c>
      <c r="I433" s="176">
        <f>IF(D433&lt;&gt;"",G433+SUM($H$6:H433),"")</f>
      </c>
    </row>
    <row r="434" spans="1:9" ht="12.75">
      <c r="A434" s="141"/>
      <c r="B434" s="174"/>
      <c r="C434" s="116"/>
      <c r="D434" s="175"/>
      <c r="E434" s="125"/>
      <c r="F434" s="125"/>
      <c r="G434" s="170">
        <f>IF(A434&lt;&gt;"",G433+F434-E434,"")</f>
      </c>
      <c r="H434" s="171">
        <f>IF(D434="",-F434+E434,"")</f>
        <v>0</v>
      </c>
      <c r="I434" s="176">
        <f>IF(D434&lt;&gt;"",G434+SUM($H$6:H434),"")</f>
      </c>
    </row>
    <row r="435" spans="1:9" ht="12.75">
      <c r="A435" s="141"/>
      <c r="B435" s="174"/>
      <c r="C435" s="116"/>
      <c r="D435" s="175"/>
      <c r="E435" s="125"/>
      <c r="F435" s="125"/>
      <c r="G435" s="170">
        <f>IF(A435&lt;&gt;"",G434+F435-E435,"")</f>
      </c>
      <c r="H435" s="171">
        <f>IF(D435="",-F435+E435,"")</f>
        <v>0</v>
      </c>
      <c r="I435" s="176">
        <f>IF(D435&lt;&gt;"",G435+SUM($H$6:H435),"")</f>
      </c>
    </row>
    <row r="436" spans="1:9" ht="12.75">
      <c r="A436" s="141"/>
      <c r="B436" s="174"/>
      <c r="C436" s="116"/>
      <c r="D436" s="175"/>
      <c r="E436" s="125"/>
      <c r="F436" s="125"/>
      <c r="G436" s="170">
        <f>IF(A436&lt;&gt;"",G435+F436-E436,"")</f>
      </c>
      <c r="H436" s="171">
        <f>IF(D436="",-F436+E436,"")</f>
        <v>0</v>
      </c>
      <c r="I436" s="176">
        <f>IF(D436&lt;&gt;"",G436+SUM($H$6:H436),"")</f>
      </c>
    </row>
    <row r="437" spans="1:9" ht="12.75">
      <c r="A437" s="141"/>
      <c r="B437" s="174"/>
      <c r="C437" s="116"/>
      <c r="D437" s="175"/>
      <c r="E437" s="125"/>
      <c r="F437" s="125"/>
      <c r="G437" s="170">
        <f>IF(A437&lt;&gt;"",G436+F437-E437,"")</f>
      </c>
      <c r="H437" s="171">
        <f>IF(D437="",-F437+E437,"")</f>
        <v>0</v>
      </c>
      <c r="I437" s="176">
        <f>IF(D437&lt;&gt;"",G437+SUM($H$6:H437),"")</f>
      </c>
    </row>
    <row r="438" spans="1:9" ht="12.75">
      <c r="A438" s="141"/>
      <c r="B438" s="174"/>
      <c r="C438" s="116"/>
      <c r="D438" s="175"/>
      <c r="E438" s="125"/>
      <c r="F438" s="125"/>
      <c r="G438" s="170">
        <f>IF(A438&lt;&gt;"",G437+F438-E438,"")</f>
      </c>
      <c r="H438" s="171">
        <f>IF(D438="",-F438+E438,"")</f>
        <v>0</v>
      </c>
      <c r="I438" s="176">
        <f>IF(D438&lt;&gt;"",G438+SUM($H$6:H438),"")</f>
      </c>
    </row>
    <row r="439" spans="1:9" ht="12.75">
      <c r="A439" s="141"/>
      <c r="B439" s="174"/>
      <c r="C439" s="116"/>
      <c r="D439" s="175"/>
      <c r="E439" s="125"/>
      <c r="F439" s="125"/>
      <c r="G439" s="170">
        <f>IF(A439&lt;&gt;"",G438+F439-E439,"")</f>
      </c>
      <c r="H439" s="171">
        <f>IF(D439="",-F439+E439,"")</f>
        <v>0</v>
      </c>
      <c r="I439" s="176">
        <f>IF(D439&lt;&gt;"",G439+SUM($H$6:H439),"")</f>
      </c>
    </row>
    <row r="440" spans="1:9" ht="12.75">
      <c r="A440" s="141"/>
      <c r="B440" s="174"/>
      <c r="C440" s="116"/>
      <c r="D440" s="175"/>
      <c r="E440" s="125"/>
      <c r="F440" s="125"/>
      <c r="G440" s="170">
        <f>IF(A440&lt;&gt;"",G439+F440-E440,"")</f>
      </c>
      <c r="H440" s="171">
        <f>IF(D440="",-F440+E440,"")</f>
        <v>0</v>
      </c>
      <c r="I440" s="176">
        <f>IF(D440&lt;&gt;"",G440+SUM($H$6:H440),"")</f>
      </c>
    </row>
    <row r="441" spans="1:9" ht="12.75">
      <c r="A441" s="141"/>
      <c r="B441" s="174"/>
      <c r="C441" s="116"/>
      <c r="D441" s="175"/>
      <c r="E441" s="125"/>
      <c r="F441" s="125"/>
      <c r="G441" s="170">
        <f>IF(A441&lt;&gt;"",G440+F441-E441,"")</f>
      </c>
      <c r="H441" s="171">
        <f>IF(D441="",-F441+E441,"")</f>
        <v>0</v>
      </c>
      <c r="I441" s="176">
        <f>IF(D441&lt;&gt;"",G441+SUM($H$6:H441),"")</f>
      </c>
    </row>
    <row r="442" spans="1:9" ht="12.75">
      <c r="A442" s="141"/>
      <c r="B442" s="174"/>
      <c r="C442" s="116"/>
      <c r="D442" s="175"/>
      <c r="E442" s="125"/>
      <c r="F442" s="125"/>
      <c r="G442" s="170">
        <f>IF(A442&lt;&gt;"",G441+F442-E442,"")</f>
      </c>
      <c r="H442" s="171">
        <f>IF(D442="",-F442+E442,"")</f>
        <v>0</v>
      </c>
      <c r="I442" s="176">
        <f>IF(D442&lt;&gt;"",G442+SUM($H$6:H442),"")</f>
      </c>
    </row>
    <row r="443" spans="1:9" ht="12.75">
      <c r="A443" s="141"/>
      <c r="B443" s="174"/>
      <c r="C443" s="116"/>
      <c r="D443" s="175"/>
      <c r="E443" s="125"/>
      <c r="F443" s="125"/>
      <c r="G443" s="170">
        <f>IF(A443&lt;&gt;"",G442+F443-E443,"")</f>
      </c>
      <c r="H443" s="171">
        <f>IF(D443="",-F443+E443,"")</f>
        <v>0</v>
      </c>
      <c r="I443" s="176">
        <f>IF(D443&lt;&gt;"",G443+SUM($H$6:H443),"")</f>
      </c>
    </row>
    <row r="444" spans="1:9" ht="12.75">
      <c r="A444" s="141"/>
      <c r="B444" s="174"/>
      <c r="C444" s="116"/>
      <c r="D444" s="175"/>
      <c r="E444" s="125"/>
      <c r="F444" s="125"/>
      <c r="G444" s="170">
        <f>IF(A444&lt;&gt;"",G443+F444-E444,"")</f>
      </c>
      <c r="H444" s="171">
        <f>IF(D444="",-F444+E444,"")</f>
        <v>0</v>
      </c>
      <c r="I444" s="176">
        <f>IF(D444&lt;&gt;"",G444+SUM($H$6:H444),"")</f>
      </c>
    </row>
    <row r="445" spans="1:9" ht="12.75">
      <c r="A445" s="141"/>
      <c r="B445" s="174"/>
      <c r="C445" s="116"/>
      <c r="D445" s="175"/>
      <c r="E445" s="125"/>
      <c r="F445" s="125"/>
      <c r="G445" s="170">
        <f>IF(A445&lt;&gt;"",G444+F445-E445,"")</f>
      </c>
      <c r="H445" s="171">
        <f>IF(D445="",-F445+E445,"")</f>
        <v>0</v>
      </c>
      <c r="I445" s="176">
        <f>IF(D445&lt;&gt;"",G445+SUM($H$6:H445),"")</f>
      </c>
    </row>
    <row r="446" spans="1:9" ht="12.75">
      <c r="A446" s="141"/>
      <c r="B446" s="174"/>
      <c r="C446" s="116"/>
      <c r="D446" s="175"/>
      <c r="E446" s="125"/>
      <c r="F446" s="125"/>
      <c r="G446" s="170">
        <f>IF(A446&lt;&gt;"",G445+F446-E446,"")</f>
      </c>
      <c r="H446" s="171">
        <f>IF(D446="",-F446+E446,"")</f>
        <v>0</v>
      </c>
      <c r="I446" s="176">
        <f>IF(D446&lt;&gt;"",G446+SUM($H$6:H446),"")</f>
      </c>
    </row>
    <row r="447" spans="1:9" ht="12.75">
      <c r="A447" s="141"/>
      <c r="B447" s="174"/>
      <c r="C447" s="116"/>
      <c r="D447" s="175"/>
      <c r="E447" s="125"/>
      <c r="F447" s="125"/>
      <c r="G447" s="170">
        <f>IF(A447&lt;&gt;"",G446+F447-E447,"")</f>
      </c>
      <c r="H447" s="171">
        <f>IF(D447="",-F447+E447,"")</f>
        <v>0</v>
      </c>
      <c r="I447" s="176">
        <f>IF(D447&lt;&gt;"",G447+SUM($H$6:H447),"")</f>
      </c>
    </row>
    <row r="448" spans="1:9" ht="12.75">
      <c r="A448" s="141"/>
      <c r="B448" s="174"/>
      <c r="C448" s="116"/>
      <c r="D448" s="175"/>
      <c r="E448" s="125"/>
      <c r="F448" s="125"/>
      <c r="G448" s="170">
        <f>IF(A448&lt;&gt;"",G447+F448-E448,"")</f>
      </c>
      <c r="H448" s="171">
        <f>IF(D448="",-F448+E448,"")</f>
        <v>0</v>
      </c>
      <c r="I448" s="176">
        <f>IF(D448&lt;&gt;"",G448+SUM($H$6:H448),"")</f>
      </c>
    </row>
    <row r="449" spans="1:9" ht="12.75">
      <c r="A449" s="141"/>
      <c r="B449" s="174"/>
      <c r="C449" s="116"/>
      <c r="D449" s="175"/>
      <c r="E449" s="125"/>
      <c r="F449" s="125"/>
      <c r="G449" s="170">
        <f>IF(A449&lt;&gt;"",G448+F449-E449,"")</f>
      </c>
      <c r="H449" s="171">
        <f>IF(D449="",-F449+E449,"")</f>
        <v>0</v>
      </c>
      <c r="I449" s="176">
        <f>IF(D449&lt;&gt;"",G449+SUM($H$6:H449),"")</f>
      </c>
    </row>
    <row r="450" spans="1:9" ht="12.75">
      <c r="A450" s="141"/>
      <c r="B450" s="174"/>
      <c r="C450" s="116"/>
      <c r="D450" s="175"/>
      <c r="E450" s="125"/>
      <c r="F450" s="125"/>
      <c r="G450" s="170">
        <f>IF(A450&lt;&gt;"",G449+F450-E450,"")</f>
      </c>
      <c r="H450" s="171">
        <f>IF(D450="",-F450+E450,"")</f>
        <v>0</v>
      </c>
      <c r="I450" s="176">
        <f>IF(D450&lt;&gt;"",G450+SUM($H$6:H450),"")</f>
      </c>
    </row>
    <row r="451" spans="1:9" ht="12.75">
      <c r="A451" s="141"/>
      <c r="B451" s="174"/>
      <c r="C451" s="116"/>
      <c r="D451" s="175"/>
      <c r="E451" s="125"/>
      <c r="F451" s="125"/>
      <c r="G451" s="170">
        <f>IF(A451&lt;&gt;"",G450+F451-E451,"")</f>
      </c>
      <c r="H451" s="171">
        <f>IF(D451="",-F451+E451,"")</f>
        <v>0</v>
      </c>
      <c r="I451" s="176">
        <f>IF(D451&lt;&gt;"",G451+SUM($H$6:H451),"")</f>
      </c>
    </row>
    <row r="452" spans="1:9" ht="12.75">
      <c r="A452" s="141"/>
      <c r="B452" s="174"/>
      <c r="C452" s="116"/>
      <c r="D452" s="175"/>
      <c r="E452" s="125"/>
      <c r="F452" s="125"/>
      <c r="G452" s="170">
        <f>IF(A452&lt;&gt;"",G451+F452-E452,"")</f>
      </c>
      <c r="H452" s="171">
        <f>IF(D452="",-F452+E452,"")</f>
        <v>0</v>
      </c>
      <c r="I452" s="176">
        <f>IF(D452&lt;&gt;"",G452+SUM($H$6:H452),"")</f>
      </c>
    </row>
    <row r="453" spans="1:9" ht="12.75">
      <c r="A453" s="141"/>
      <c r="B453" s="174"/>
      <c r="C453" s="116"/>
      <c r="D453" s="175"/>
      <c r="E453" s="125"/>
      <c r="F453" s="125"/>
      <c r="G453" s="170">
        <f>IF(A453&lt;&gt;"",G452+F453-E453,"")</f>
      </c>
      <c r="H453" s="171">
        <f>IF(D453="",-F453+E453,"")</f>
        <v>0</v>
      </c>
      <c r="I453" s="176">
        <f>IF(D453&lt;&gt;"",G453+SUM($H$6:H453),"")</f>
      </c>
    </row>
    <row r="454" spans="1:9" ht="12.75">
      <c r="A454" s="141"/>
      <c r="B454" s="174"/>
      <c r="C454" s="116"/>
      <c r="D454" s="175"/>
      <c r="E454" s="125"/>
      <c r="F454" s="125"/>
      <c r="G454" s="170">
        <f>IF(A454&lt;&gt;"",G453+F454-E454,"")</f>
      </c>
      <c r="H454" s="171">
        <f>IF(D454="",-F454+E454,"")</f>
        <v>0</v>
      </c>
      <c r="I454" s="176">
        <f>IF(D454&lt;&gt;"",G454+SUM($H$6:H454),"")</f>
      </c>
    </row>
    <row r="455" spans="1:9" ht="12.75">
      <c r="A455" s="141"/>
      <c r="B455" s="174"/>
      <c r="C455" s="116"/>
      <c r="D455" s="175"/>
      <c r="E455" s="125"/>
      <c r="F455" s="125"/>
      <c r="G455" s="170">
        <f>IF(A455&lt;&gt;"",G454+F455-E455,"")</f>
      </c>
      <c r="H455" s="171">
        <f>IF(D455="",-F455+E455,"")</f>
        <v>0</v>
      </c>
      <c r="I455" s="176">
        <f>IF(D455&lt;&gt;"",G455+SUM($H$6:H455),"")</f>
      </c>
    </row>
    <row r="456" spans="1:9" ht="12.75">
      <c r="A456" s="141"/>
      <c r="B456" s="174"/>
      <c r="C456" s="116"/>
      <c r="D456" s="175"/>
      <c r="E456" s="125"/>
      <c r="F456" s="125"/>
      <c r="G456" s="170">
        <f>IF(A456&lt;&gt;"",G455+F456-E456,"")</f>
      </c>
      <c r="H456" s="171">
        <f>IF(D456="",-F456+E456,"")</f>
        <v>0</v>
      </c>
      <c r="I456" s="176">
        <f>IF(D456&lt;&gt;"",G456+SUM($H$6:H456),"")</f>
      </c>
    </row>
    <row r="457" spans="1:9" ht="12.75">
      <c r="A457" s="141"/>
      <c r="B457" s="174"/>
      <c r="C457" s="116"/>
      <c r="D457" s="175"/>
      <c r="E457" s="125"/>
      <c r="F457" s="125"/>
      <c r="G457" s="170">
        <f>IF(A457&lt;&gt;"",G456+F457-E457,"")</f>
      </c>
      <c r="H457" s="171">
        <f>IF(D457="",-F457+E457,"")</f>
        <v>0</v>
      </c>
      <c r="I457" s="176">
        <f>IF(D457&lt;&gt;"",G457+SUM($H$6:H457),"")</f>
      </c>
    </row>
    <row r="458" spans="1:9" ht="12.75">
      <c r="A458" s="141"/>
      <c r="B458" s="174"/>
      <c r="C458" s="116"/>
      <c r="D458" s="175"/>
      <c r="E458" s="125"/>
      <c r="F458" s="125"/>
      <c r="G458" s="170">
        <f>IF(A458&lt;&gt;"",G457+F458-E458,"")</f>
      </c>
      <c r="H458" s="171">
        <f>IF(D458="",-F458+E458,"")</f>
        <v>0</v>
      </c>
      <c r="I458" s="176">
        <f>IF(D458&lt;&gt;"",G458+SUM($H$6:H458),"")</f>
      </c>
    </row>
    <row r="459" spans="1:9" ht="12.75">
      <c r="A459" s="141"/>
      <c r="B459" s="174"/>
      <c r="C459" s="116"/>
      <c r="D459" s="175"/>
      <c r="E459" s="125"/>
      <c r="F459" s="125"/>
      <c r="G459" s="170">
        <f>IF(A459&lt;&gt;"",G458+F459-E459,"")</f>
      </c>
      <c r="H459" s="171">
        <f>IF(D459="",-F459+E459,"")</f>
        <v>0</v>
      </c>
      <c r="I459" s="176">
        <f>IF(D459&lt;&gt;"",G459+SUM($H$6:H459),"")</f>
      </c>
    </row>
    <row r="460" spans="1:9" ht="12.75">
      <c r="A460" s="141"/>
      <c r="B460" s="174"/>
      <c r="C460" s="116"/>
      <c r="D460" s="175"/>
      <c r="E460" s="125"/>
      <c r="F460" s="125"/>
      <c r="G460" s="170">
        <f>IF(A460&lt;&gt;"",G459+F460-E460,"")</f>
      </c>
      <c r="H460" s="171">
        <f>IF(D460="",-F460+E460,"")</f>
        <v>0</v>
      </c>
      <c r="I460" s="176">
        <f>IF(D460&lt;&gt;"",G460+SUM($H$6:H460),"")</f>
      </c>
    </row>
    <row r="461" spans="1:9" ht="12.75">
      <c r="A461" s="141"/>
      <c r="B461" s="174"/>
      <c r="C461" s="116"/>
      <c r="D461" s="175"/>
      <c r="E461" s="125"/>
      <c r="F461" s="125"/>
      <c r="G461" s="170">
        <f>IF(A461&lt;&gt;"",G460+F461-E461,"")</f>
      </c>
      <c r="H461" s="171">
        <f>IF(D461="",-F461+E461,"")</f>
        <v>0</v>
      </c>
      <c r="I461" s="176">
        <f>IF(D461&lt;&gt;"",G461+SUM($H$6:H461),"")</f>
      </c>
    </row>
    <row r="462" spans="1:9" ht="12.75">
      <c r="A462" s="141"/>
      <c r="B462" s="174"/>
      <c r="C462" s="116"/>
      <c r="D462" s="175"/>
      <c r="E462" s="125"/>
      <c r="F462" s="125"/>
      <c r="G462" s="170">
        <f>IF(A462&lt;&gt;"",G461+F462-E462,"")</f>
      </c>
      <c r="H462" s="171">
        <f>IF(D462="",-F462+E462,"")</f>
        <v>0</v>
      </c>
      <c r="I462" s="176">
        <f>IF(D462&lt;&gt;"",G462+SUM($H$6:H462),"")</f>
      </c>
    </row>
    <row r="463" spans="1:9" ht="12.75">
      <c r="A463" s="141"/>
      <c r="B463" s="174"/>
      <c r="C463" s="116"/>
      <c r="D463" s="175"/>
      <c r="E463" s="125"/>
      <c r="F463" s="125"/>
      <c r="G463" s="170">
        <f>IF(A463&lt;&gt;"",G462+F463-E463,"")</f>
      </c>
      <c r="H463" s="171">
        <f>IF(D463="",-F463+E463,"")</f>
        <v>0</v>
      </c>
      <c r="I463" s="176">
        <f>IF(D463&lt;&gt;"",G463+SUM($H$6:H463),"")</f>
      </c>
    </row>
    <row r="464" spans="1:9" ht="12.75">
      <c r="A464" s="141"/>
      <c r="B464" s="174"/>
      <c r="C464" s="116"/>
      <c r="D464" s="175"/>
      <c r="E464" s="125"/>
      <c r="F464" s="125"/>
      <c r="G464" s="170">
        <f>IF(A464&lt;&gt;"",G463+F464-E464,"")</f>
      </c>
      <c r="H464" s="171">
        <f>IF(D464="",-F464+E464,"")</f>
        <v>0</v>
      </c>
      <c r="I464" s="176">
        <f>IF(D464&lt;&gt;"",G464+SUM($H$6:H464),"")</f>
      </c>
    </row>
    <row r="465" spans="1:9" ht="12.75">
      <c r="A465" s="141"/>
      <c r="B465" s="174"/>
      <c r="C465" s="116"/>
      <c r="D465" s="175"/>
      <c r="E465" s="125"/>
      <c r="F465" s="125"/>
      <c r="G465" s="170">
        <f>IF(A465&lt;&gt;"",G464+F465-E465,"")</f>
      </c>
      <c r="H465" s="171">
        <f>IF(D465="",-F465+E465,"")</f>
        <v>0</v>
      </c>
      <c r="I465" s="176">
        <f>IF(D465&lt;&gt;"",G465+SUM($H$6:H465),"")</f>
      </c>
    </row>
    <row r="466" spans="1:9" ht="12.75">
      <c r="A466" s="141"/>
      <c r="B466" s="174"/>
      <c r="C466" s="116"/>
      <c r="D466" s="175"/>
      <c r="E466" s="125"/>
      <c r="F466" s="125"/>
      <c r="G466" s="170">
        <f>IF(A466&lt;&gt;"",G465+F466-E466,"")</f>
      </c>
      <c r="H466" s="171">
        <f>IF(D466="",-F466+E466,"")</f>
        <v>0</v>
      </c>
      <c r="I466" s="176">
        <f>IF(D466&lt;&gt;"",G466+SUM($H$6:H466),"")</f>
      </c>
    </row>
    <row r="467" spans="1:9" ht="12.75">
      <c r="A467" s="141"/>
      <c r="B467" s="174"/>
      <c r="C467" s="116"/>
      <c r="D467" s="175"/>
      <c r="E467" s="125"/>
      <c r="F467" s="125"/>
      <c r="G467" s="170">
        <f>IF(A467&lt;&gt;"",G466+F467-E467,"")</f>
      </c>
      <c r="H467" s="171">
        <f>IF(D467="",-F467+E467,"")</f>
        <v>0</v>
      </c>
      <c r="I467" s="176">
        <f>IF(D467&lt;&gt;"",G467+SUM($H$6:H467),"")</f>
      </c>
    </row>
    <row r="468" spans="1:9" ht="12.75">
      <c r="A468" s="141"/>
      <c r="B468" s="174"/>
      <c r="C468" s="116"/>
      <c r="D468" s="175"/>
      <c r="E468" s="125"/>
      <c r="F468" s="125"/>
      <c r="G468" s="170">
        <f>IF(A468&lt;&gt;"",G467+F468-E468,"")</f>
      </c>
      <c r="H468" s="171">
        <f>IF(D468="",-F468+E468,"")</f>
        <v>0</v>
      </c>
      <c r="I468" s="176">
        <f>IF(D468&lt;&gt;"",G468+SUM($H$6:H468),"")</f>
      </c>
    </row>
    <row r="469" spans="1:9" ht="12.75">
      <c r="A469" s="141"/>
      <c r="B469" s="174"/>
      <c r="C469" s="116"/>
      <c r="D469" s="175"/>
      <c r="E469" s="125"/>
      <c r="F469" s="125"/>
      <c r="G469" s="170">
        <f>IF(A469&lt;&gt;"",G468+F469-E469,"")</f>
      </c>
      <c r="H469" s="171">
        <f>IF(D469="",-F469+E469,"")</f>
        <v>0</v>
      </c>
      <c r="I469" s="176">
        <f>IF(D469&lt;&gt;"",G469+SUM($H$6:H469),"")</f>
      </c>
    </row>
    <row r="470" spans="1:9" ht="12.75">
      <c r="A470" s="141"/>
      <c r="B470" s="174"/>
      <c r="C470" s="116"/>
      <c r="D470" s="175"/>
      <c r="E470" s="125"/>
      <c r="F470" s="125"/>
      <c r="G470" s="170">
        <f>IF(A470&lt;&gt;"",G469+F470-E470,"")</f>
      </c>
      <c r="H470" s="171">
        <f>IF(D470="",-F470+E470,"")</f>
        <v>0</v>
      </c>
      <c r="I470" s="176">
        <f>IF(D470&lt;&gt;"",G470+SUM($H$6:H470),"")</f>
      </c>
    </row>
    <row r="471" spans="1:9" ht="12.75">
      <c r="A471" s="141"/>
      <c r="B471" s="174"/>
      <c r="C471" s="116"/>
      <c r="D471" s="175"/>
      <c r="E471" s="125"/>
      <c r="F471" s="125"/>
      <c r="G471" s="170">
        <f>IF(A471&lt;&gt;"",G470+F471-E471,"")</f>
      </c>
      <c r="H471" s="171">
        <f>IF(D471="",-F471+E471,"")</f>
        <v>0</v>
      </c>
      <c r="I471" s="176">
        <f>IF(D471&lt;&gt;"",G471+SUM($H$6:H471),"")</f>
      </c>
    </row>
    <row r="472" spans="1:9" ht="12.75">
      <c r="A472" s="141"/>
      <c r="B472" s="174"/>
      <c r="C472" s="116"/>
      <c r="D472" s="175"/>
      <c r="E472" s="125"/>
      <c r="F472" s="125"/>
      <c r="G472" s="170">
        <f>IF(A472&lt;&gt;"",G471+F472-E472,"")</f>
      </c>
      <c r="H472" s="171">
        <f>IF(D472="",-F472+E472,"")</f>
        <v>0</v>
      </c>
      <c r="I472" s="176">
        <f>IF(D472&lt;&gt;"",G472+SUM($H$6:H472),"")</f>
      </c>
    </row>
    <row r="473" spans="1:9" ht="12.75">
      <c r="A473" s="141"/>
      <c r="B473" s="174"/>
      <c r="C473" s="116"/>
      <c r="D473" s="175"/>
      <c r="E473" s="125"/>
      <c r="F473" s="125"/>
      <c r="G473" s="170">
        <f>IF(A473&lt;&gt;"",G472+F473-E473,"")</f>
      </c>
      <c r="H473" s="171">
        <f>IF(D473="",-F473+E473,"")</f>
        <v>0</v>
      </c>
      <c r="I473" s="176">
        <f>IF(D473&lt;&gt;"",G473+SUM($H$6:H473),"")</f>
      </c>
    </row>
    <row r="474" spans="1:9" ht="12.75">
      <c r="A474" s="141"/>
      <c r="B474" s="174"/>
      <c r="C474" s="116"/>
      <c r="D474" s="175"/>
      <c r="E474" s="125"/>
      <c r="F474" s="125"/>
      <c r="G474" s="170">
        <f>IF(A474&lt;&gt;"",G473+F474-E474,"")</f>
      </c>
      <c r="H474" s="171">
        <f>IF(D474="",-F474+E474,"")</f>
        <v>0</v>
      </c>
      <c r="I474" s="176">
        <f>IF(D474&lt;&gt;"",G474+SUM($H$6:H474),"")</f>
      </c>
    </row>
    <row r="475" spans="1:9" ht="12.75">
      <c r="A475" s="141"/>
      <c r="B475" s="174"/>
      <c r="C475" s="116"/>
      <c r="D475" s="175"/>
      <c r="E475" s="125"/>
      <c r="F475" s="125"/>
      <c r="G475" s="170">
        <f>IF(A475&lt;&gt;"",G474+F475-E475,"")</f>
      </c>
      <c r="H475" s="171">
        <f>IF(D475="",-F475+E475,"")</f>
        <v>0</v>
      </c>
      <c r="I475" s="176">
        <f>IF(D475&lt;&gt;"",G475+SUM($H$6:H475),"")</f>
      </c>
    </row>
    <row r="476" spans="1:9" ht="12.75">
      <c r="A476" s="141"/>
      <c r="B476" s="174"/>
      <c r="C476" s="116"/>
      <c r="D476" s="175"/>
      <c r="E476" s="125"/>
      <c r="F476" s="125"/>
      <c r="G476" s="170">
        <f>IF(A476&lt;&gt;"",G475+F476-E476,"")</f>
      </c>
      <c r="H476" s="171">
        <f>IF(D476="",-F476+E476,"")</f>
        <v>0</v>
      </c>
      <c r="I476" s="176">
        <f>IF(D476&lt;&gt;"",G476+SUM($H$6:H476),"")</f>
      </c>
    </row>
    <row r="477" spans="1:9" ht="12.75">
      <c r="A477" s="141"/>
      <c r="B477" s="174"/>
      <c r="C477" s="116"/>
      <c r="D477" s="175"/>
      <c r="E477" s="125"/>
      <c r="F477" s="125"/>
      <c r="G477" s="170">
        <f>IF(A477&lt;&gt;"",G476+F477-E477,"")</f>
      </c>
      <c r="H477" s="171">
        <f>IF(D477="",-F477+E477,"")</f>
        <v>0</v>
      </c>
      <c r="I477" s="176">
        <f>IF(D477&lt;&gt;"",G477+SUM($H$6:H477),"")</f>
      </c>
    </row>
    <row r="478" spans="1:9" ht="12.75">
      <c r="A478" s="141"/>
      <c r="B478" s="174"/>
      <c r="C478" s="116"/>
      <c r="D478" s="175"/>
      <c r="E478" s="125"/>
      <c r="F478" s="125"/>
      <c r="G478" s="170">
        <f>IF(A478&lt;&gt;"",G477+F478-E478,"")</f>
      </c>
      <c r="H478" s="171">
        <f>IF(D478="",-F478+E478,"")</f>
        <v>0</v>
      </c>
      <c r="I478" s="176">
        <f>IF(D478&lt;&gt;"",G478+SUM($H$6:H478),"")</f>
      </c>
    </row>
    <row r="479" spans="1:9" ht="12.75">
      <c r="A479" s="141"/>
      <c r="B479" s="174"/>
      <c r="C479" s="116"/>
      <c r="D479" s="175"/>
      <c r="E479" s="125"/>
      <c r="F479" s="125"/>
      <c r="G479" s="170">
        <f>IF(A479&lt;&gt;"",G478+F479-E479,"")</f>
      </c>
      <c r="H479" s="171">
        <f>IF(D479="",-F479+E479,"")</f>
        <v>0</v>
      </c>
      <c r="I479" s="176">
        <f>IF(D479&lt;&gt;"",G479+SUM($H$6:H479),"")</f>
      </c>
    </row>
    <row r="480" spans="1:9" ht="12.75">
      <c r="A480" s="141"/>
      <c r="B480" s="174"/>
      <c r="C480" s="116"/>
      <c r="D480" s="175"/>
      <c r="E480" s="125"/>
      <c r="F480" s="125"/>
      <c r="G480" s="170">
        <f>IF(A480&lt;&gt;"",G479+F480-E480,"")</f>
      </c>
      <c r="H480" s="171">
        <f>IF(D480="",-F480+E480,"")</f>
        <v>0</v>
      </c>
      <c r="I480" s="176">
        <f>IF(D480&lt;&gt;"",G480+SUM($H$6:H480),"")</f>
      </c>
    </row>
    <row r="481" spans="1:9" ht="12.75">
      <c r="A481" s="141"/>
      <c r="B481" s="174"/>
      <c r="C481" s="116"/>
      <c r="D481" s="175"/>
      <c r="E481" s="125"/>
      <c r="F481" s="125"/>
      <c r="G481" s="170">
        <f>IF(A481&lt;&gt;"",G480+F481-E481,"")</f>
      </c>
      <c r="H481" s="171">
        <f>IF(D481="",-F481+E481,"")</f>
        <v>0</v>
      </c>
      <c r="I481" s="176">
        <f>IF(D481&lt;&gt;"",G481+SUM($H$6:H481),"")</f>
      </c>
    </row>
    <row r="482" spans="1:9" ht="12.75">
      <c r="A482" s="141"/>
      <c r="B482" s="174"/>
      <c r="C482" s="116"/>
      <c r="D482" s="175"/>
      <c r="E482" s="125"/>
      <c r="F482" s="125"/>
      <c r="G482" s="170">
        <f>IF(A482&lt;&gt;"",G481+F482-E482,"")</f>
      </c>
      <c r="H482" s="171">
        <f>IF(D482="",-F482+E482,"")</f>
        <v>0</v>
      </c>
      <c r="I482" s="176">
        <f>IF(D482&lt;&gt;"",G482+SUM($H$6:H482),"")</f>
      </c>
    </row>
    <row r="483" spans="1:9" ht="12.75">
      <c r="A483" s="141"/>
      <c r="B483" s="174"/>
      <c r="C483" s="116"/>
      <c r="D483" s="175"/>
      <c r="E483" s="125"/>
      <c r="F483" s="125"/>
      <c r="G483" s="170">
        <f>IF(A483&lt;&gt;"",G482+F483-E483,"")</f>
      </c>
      <c r="H483" s="171">
        <f>IF(D483="",-F483+E483,"")</f>
        <v>0</v>
      </c>
      <c r="I483" s="176">
        <f>IF(D483&lt;&gt;"",G483+SUM($H$6:H483),"")</f>
      </c>
    </row>
    <row r="484" spans="1:9" ht="12.75">
      <c r="A484" s="141"/>
      <c r="B484" s="174"/>
      <c r="C484" s="116"/>
      <c r="D484" s="175"/>
      <c r="E484" s="125"/>
      <c r="F484" s="125"/>
      <c r="G484" s="170">
        <f>IF(A484&lt;&gt;"",G483+F484-E484,"")</f>
      </c>
      <c r="H484" s="171">
        <f>IF(D484="",-F484+E484,"")</f>
        <v>0</v>
      </c>
      <c r="I484" s="176">
        <f>IF(D484&lt;&gt;"",G484+SUM($H$6:H484),"")</f>
      </c>
    </row>
    <row r="485" spans="1:9" ht="12.75">
      <c r="A485" s="141"/>
      <c r="B485" s="174"/>
      <c r="C485" s="116"/>
      <c r="D485" s="175"/>
      <c r="E485" s="125"/>
      <c r="F485" s="125"/>
      <c r="G485" s="170">
        <f>IF(A485&lt;&gt;"",G484+F485-E485,"")</f>
      </c>
      <c r="H485" s="171">
        <f>IF(D485="",-F485+E485,"")</f>
        <v>0</v>
      </c>
      <c r="I485" s="176">
        <f>IF(D485&lt;&gt;"",G485+SUM($H$6:H485),"")</f>
      </c>
    </row>
    <row r="486" spans="1:9" ht="12.75">
      <c r="A486" s="141"/>
      <c r="B486" s="174"/>
      <c r="C486" s="116"/>
      <c r="D486" s="175"/>
      <c r="E486" s="125"/>
      <c r="F486" s="125"/>
      <c r="G486" s="170">
        <f>IF(A486&lt;&gt;"",G485+F486-E486,"")</f>
      </c>
      <c r="H486" s="171">
        <f>IF(D486="",-F486+E486,"")</f>
        <v>0</v>
      </c>
      <c r="I486" s="176">
        <f>IF(D486&lt;&gt;"",G486+SUM($H$6:H486),"")</f>
      </c>
    </row>
    <row r="487" spans="1:9" ht="12.75">
      <c r="A487" s="141"/>
      <c r="B487" s="174"/>
      <c r="C487" s="116"/>
      <c r="D487" s="175"/>
      <c r="E487" s="125"/>
      <c r="F487" s="125"/>
      <c r="G487" s="170">
        <f>IF(A487&lt;&gt;"",G486+F487-E487,"")</f>
      </c>
      <c r="H487" s="171">
        <f>IF(D487="",-F487+E487,"")</f>
        <v>0</v>
      </c>
      <c r="I487" s="176">
        <f>IF(D487&lt;&gt;"",G487+SUM($H$6:H487),"")</f>
      </c>
    </row>
    <row r="488" spans="1:9" ht="12.75">
      <c r="A488" s="141"/>
      <c r="B488" s="174"/>
      <c r="C488" s="116"/>
      <c r="D488" s="175"/>
      <c r="E488" s="125"/>
      <c r="F488" s="125"/>
      <c r="G488" s="170">
        <f>IF(A488&lt;&gt;"",G487+F488-E488,"")</f>
      </c>
      <c r="H488" s="171">
        <f>IF(D488="",-F488+E488,"")</f>
        <v>0</v>
      </c>
      <c r="I488" s="176">
        <f>IF(D488&lt;&gt;"",G488+SUM($H$6:H488),"")</f>
      </c>
    </row>
    <row r="489" spans="1:9" ht="12.75">
      <c r="A489" s="141"/>
      <c r="B489" s="174"/>
      <c r="C489" s="116"/>
      <c r="D489" s="175"/>
      <c r="E489" s="125"/>
      <c r="F489" s="125"/>
      <c r="G489" s="170">
        <f>IF(A489&lt;&gt;"",G488+F489-E489,"")</f>
      </c>
      <c r="H489" s="171">
        <f>IF(D489="",-F489+E489,"")</f>
        <v>0</v>
      </c>
      <c r="I489" s="176">
        <f>IF(D489&lt;&gt;"",G489+SUM($H$6:H489),"")</f>
      </c>
    </row>
    <row r="490" spans="1:9" ht="12.75">
      <c r="A490" s="141"/>
      <c r="B490" s="174"/>
      <c r="C490" s="116"/>
      <c r="D490" s="175"/>
      <c r="E490" s="125"/>
      <c r="F490" s="125"/>
      <c r="G490" s="170">
        <f>IF(A490&lt;&gt;"",G489+F490-E490,"")</f>
      </c>
      <c r="H490" s="171">
        <f>IF(D490="",-F490+E490,"")</f>
        <v>0</v>
      </c>
      <c r="I490" s="176">
        <f>IF(D490&lt;&gt;"",G490+SUM($H$6:H490),"")</f>
      </c>
    </row>
    <row r="491" spans="1:9" ht="12.75">
      <c r="A491" s="141"/>
      <c r="B491" s="174"/>
      <c r="C491" s="116"/>
      <c r="D491" s="175"/>
      <c r="E491" s="125"/>
      <c r="F491" s="125"/>
      <c r="G491" s="170">
        <f>IF(A491&lt;&gt;"",G490+F491-E491,"")</f>
      </c>
      <c r="H491" s="171">
        <f>IF(D491="",-F491+E491,"")</f>
        <v>0</v>
      </c>
      <c r="I491" s="176">
        <f>IF(D491&lt;&gt;"",G491+SUM($H$6:H491),"")</f>
      </c>
    </row>
    <row r="492" spans="1:9" ht="12.75">
      <c r="A492" s="141"/>
      <c r="B492" s="174"/>
      <c r="C492" s="116"/>
      <c r="D492" s="175"/>
      <c r="E492" s="125"/>
      <c r="F492" s="125"/>
      <c r="G492" s="170">
        <f>IF(A492&lt;&gt;"",G491+F492-E492,"")</f>
      </c>
      <c r="H492" s="171">
        <f>IF(D492="",-F492+E492,"")</f>
        <v>0</v>
      </c>
      <c r="I492" s="176">
        <f>IF(D492&lt;&gt;"",G492+SUM($H$6:H492),"")</f>
      </c>
    </row>
    <row r="493" spans="1:9" ht="12.75">
      <c r="A493" s="141"/>
      <c r="B493" s="174"/>
      <c r="C493" s="116"/>
      <c r="D493" s="175"/>
      <c r="E493" s="125"/>
      <c r="F493" s="125"/>
      <c r="G493" s="170">
        <f>IF(A493&lt;&gt;"",G492+F493-E493,"")</f>
      </c>
      <c r="H493" s="171">
        <f>IF(D493="",-F493+E493,"")</f>
        <v>0</v>
      </c>
      <c r="I493" s="176">
        <f>IF(D493&lt;&gt;"",G493+SUM($H$6:H493),"")</f>
      </c>
    </row>
    <row r="494" spans="1:9" ht="12.75">
      <c r="A494" s="141"/>
      <c r="B494" s="174"/>
      <c r="C494" s="116"/>
      <c r="D494" s="175"/>
      <c r="E494" s="125"/>
      <c r="F494" s="125"/>
      <c r="G494" s="170">
        <f>IF(A494&lt;&gt;"",G493+F494-E494,"")</f>
      </c>
      <c r="H494" s="171">
        <f>IF(D494="",-F494+E494,"")</f>
        <v>0</v>
      </c>
      <c r="I494" s="176">
        <f>IF(D494&lt;&gt;"",G494+SUM($H$6:H494),"")</f>
      </c>
    </row>
    <row r="495" spans="1:9" ht="12.75">
      <c r="A495" s="141"/>
      <c r="B495" s="174"/>
      <c r="C495" s="116"/>
      <c r="D495" s="175"/>
      <c r="E495" s="125"/>
      <c r="F495" s="125"/>
      <c r="G495" s="170">
        <f>IF(A495&lt;&gt;"",G494+F495-E495,"")</f>
      </c>
      <c r="H495" s="171">
        <f>IF(D495="",-F495+E495,"")</f>
        <v>0</v>
      </c>
      <c r="I495" s="176">
        <f>IF(D495&lt;&gt;"",G495+SUM($H$6:H495),"")</f>
      </c>
    </row>
    <row r="496" spans="1:9" ht="12.75">
      <c r="A496" s="141"/>
      <c r="B496" s="174"/>
      <c r="C496" s="116"/>
      <c r="D496" s="175"/>
      <c r="E496" s="125"/>
      <c r="F496" s="125"/>
      <c r="G496" s="170">
        <f>IF(A496&lt;&gt;"",G495+F496-E496,"")</f>
      </c>
      <c r="H496" s="171">
        <f>IF(D496="",-F496+E496,"")</f>
        <v>0</v>
      </c>
      <c r="I496" s="176">
        <f>IF(D496&lt;&gt;"",G496+SUM($H$6:H496),"")</f>
      </c>
    </row>
    <row r="497" spans="1:9" ht="12.75">
      <c r="A497" s="141"/>
      <c r="B497" s="174"/>
      <c r="C497" s="116"/>
      <c r="D497" s="175"/>
      <c r="E497" s="125"/>
      <c r="F497" s="125"/>
      <c r="G497" s="170">
        <f>IF(A497&lt;&gt;"",G496+F497-E497,"")</f>
      </c>
      <c r="H497" s="171">
        <f>IF(D497="",-F497+E497,"")</f>
        <v>0</v>
      </c>
      <c r="I497" s="176">
        <f>IF(D497&lt;&gt;"",G497+SUM($H$6:H497),"")</f>
      </c>
    </row>
    <row r="498" spans="1:9" ht="12.75">
      <c r="A498" s="141"/>
      <c r="B498" s="174"/>
      <c r="C498" s="116"/>
      <c r="D498" s="175"/>
      <c r="E498" s="125"/>
      <c r="F498" s="125"/>
      <c r="G498" s="170">
        <f>IF(A498&lt;&gt;"",G497+F498-E498,"")</f>
      </c>
      <c r="H498" s="171">
        <f>IF(D498="",-F498+E498,"")</f>
        <v>0</v>
      </c>
      <c r="I498" s="176">
        <f>IF(D498&lt;&gt;"",G498+SUM($H$6:H498),"")</f>
      </c>
    </row>
    <row r="499" spans="1:9" ht="12.75">
      <c r="A499" s="141"/>
      <c r="B499" s="174"/>
      <c r="C499" s="116"/>
      <c r="D499" s="175"/>
      <c r="E499" s="125"/>
      <c r="F499" s="125"/>
      <c r="G499" s="170">
        <f>IF(A499&lt;&gt;"",G498+F499-E499,"")</f>
      </c>
      <c r="H499" s="171">
        <f>IF(D499="",-F499+E499,"")</f>
        <v>0</v>
      </c>
      <c r="I499" s="176">
        <f>IF(D499&lt;&gt;"",G499+SUM($H$6:H499),"")</f>
      </c>
    </row>
    <row r="500" spans="1:9" ht="12.75">
      <c r="A500" s="141"/>
      <c r="B500" s="138"/>
      <c r="C500" s="116"/>
      <c r="D500" s="175"/>
      <c r="E500" s="125"/>
      <c r="F500" s="125"/>
      <c r="G500" s="170">
        <f>IF(A500&lt;&gt;"",G499+F500-E500,"")</f>
      </c>
      <c r="H500" s="171">
        <f>IF(D500="",-F500+E500,"")</f>
        <v>0</v>
      </c>
      <c r="I500" s="176">
        <f>IF(D500&lt;&gt;"",G500+SUM($H$6:H500),"")</f>
      </c>
    </row>
    <row r="501" spans="1:9" ht="12.75">
      <c r="A501" s="141"/>
      <c r="B501" s="138"/>
      <c r="C501" s="116"/>
      <c r="D501" s="175"/>
      <c r="E501" s="125"/>
      <c r="F501" s="125"/>
      <c r="G501" s="170">
        <f>IF(A501&lt;&gt;"",G500+F501-E501,"")</f>
      </c>
      <c r="H501" s="171">
        <f>IF(D501="",-F501+E501,"")</f>
        <v>0</v>
      </c>
      <c r="I501" s="176">
        <f>IF(D501&lt;&gt;"",G501+SUM($H$6:H501),"")</f>
      </c>
    </row>
    <row r="502" spans="1:9" ht="12.75">
      <c r="A502" s="141"/>
      <c r="B502" s="174"/>
      <c r="C502" s="116"/>
      <c r="D502" s="175"/>
      <c r="E502" s="125"/>
      <c r="F502" s="125"/>
      <c r="G502" s="170">
        <f>IF(A502&lt;&gt;"",G501+F502-E502,"")</f>
      </c>
      <c r="H502" s="171">
        <f>IF(D502="",-F502+E502,"")</f>
        <v>0</v>
      </c>
      <c r="I502" s="176">
        <f>IF(D502&lt;&gt;"",G502+SUM($H$6:H502),"")</f>
      </c>
    </row>
    <row r="503" spans="1:9" ht="12.75">
      <c r="A503" s="141"/>
      <c r="B503" s="174"/>
      <c r="C503" s="116"/>
      <c r="D503" s="175"/>
      <c r="E503" s="125"/>
      <c r="F503" s="125"/>
      <c r="G503" s="170">
        <f>IF(A503&lt;&gt;"",G502+F503-E503,"")</f>
      </c>
      <c r="H503" s="171">
        <f>IF(D503="",-F503+E503,"")</f>
        <v>0</v>
      </c>
      <c r="I503" s="176">
        <f>IF(D503&lt;&gt;"",G503+SUM($H$6:H503),"")</f>
      </c>
    </row>
    <row r="504" spans="1:9" ht="12.75">
      <c r="A504" s="141"/>
      <c r="B504" s="174"/>
      <c r="C504" s="116"/>
      <c r="D504" s="175"/>
      <c r="E504" s="125"/>
      <c r="F504" s="125"/>
      <c r="G504" s="170">
        <f>IF(A504&lt;&gt;"",G503+F504-E504,"")</f>
      </c>
      <c r="H504" s="171">
        <f>IF(D504="",-F504+E504,"")</f>
        <v>0</v>
      </c>
      <c r="I504" s="176">
        <f>IF(D504&lt;&gt;"",G504+SUM($H$6:H504),"")</f>
      </c>
    </row>
    <row r="505" spans="1:9" ht="12.75">
      <c r="A505" s="141"/>
      <c r="B505" s="174"/>
      <c r="C505" s="116"/>
      <c r="D505" s="175"/>
      <c r="E505" s="125"/>
      <c r="F505" s="125"/>
      <c r="G505" s="170">
        <f>IF(A505&lt;&gt;"",G504+F505-E505,"")</f>
      </c>
      <c r="H505" s="171">
        <f>IF(D505="",-F505+E505,"")</f>
        <v>0</v>
      </c>
      <c r="I505" s="176">
        <f>IF(D505&lt;&gt;"",G505+SUM($H$6:H505),"")</f>
      </c>
    </row>
    <row r="506" spans="1:9" ht="12.75">
      <c r="A506" s="141"/>
      <c r="B506" s="174"/>
      <c r="C506" s="116"/>
      <c r="D506" s="175"/>
      <c r="E506" s="125"/>
      <c r="F506" s="125"/>
      <c r="G506" s="170">
        <f>IF(A506&lt;&gt;"",G505+F506-E506,"")</f>
      </c>
      <c r="H506" s="171">
        <f>IF(D506="",-F506+E506,"")</f>
        <v>0</v>
      </c>
      <c r="I506" s="176">
        <f>IF(D506&lt;&gt;"",G506+SUM($H$6:H506),"")</f>
      </c>
    </row>
    <row r="507" spans="1:9" ht="12.75">
      <c r="A507" s="141"/>
      <c r="B507" s="124"/>
      <c r="C507" s="177"/>
      <c r="D507" s="175"/>
      <c r="E507" s="125"/>
      <c r="F507" s="125"/>
      <c r="G507" s="170">
        <f>IF(A507&lt;&gt;"",G506+F507-E507,"")</f>
      </c>
      <c r="H507" s="171">
        <f>IF(D507="",-F507+E507,"")</f>
        <v>0</v>
      </c>
      <c r="I507" s="176">
        <f>IF(D507&lt;&gt;"",G507+SUM($H$6:H507),"")</f>
      </c>
    </row>
    <row r="508" spans="1:9" ht="12.75">
      <c r="A508" s="141"/>
      <c r="B508" s="174"/>
      <c r="C508" s="116"/>
      <c r="D508" s="175"/>
      <c r="E508" s="125"/>
      <c r="F508" s="125"/>
      <c r="G508" s="170">
        <f>IF(A508&lt;&gt;"",G507+F508-E508,"")</f>
      </c>
      <c r="H508" s="171">
        <f>IF(D508="",-F508+E508,"")</f>
        <v>0</v>
      </c>
      <c r="I508" s="176">
        <f>IF(D508&lt;&gt;"",G508+SUM($H$6:H508),"")</f>
      </c>
    </row>
    <row r="509" spans="1:9" ht="12.75">
      <c r="A509" s="141"/>
      <c r="B509" s="174"/>
      <c r="C509" s="116"/>
      <c r="D509" s="175"/>
      <c r="E509" s="125"/>
      <c r="F509" s="125"/>
      <c r="G509" s="170">
        <f>IF(A509&lt;&gt;"",G508+F509-E509,"")</f>
      </c>
      <c r="H509" s="171">
        <f>IF(D509="",-F509+E509,"")</f>
        <v>0</v>
      </c>
      <c r="I509" s="176">
        <f>IF(D509&lt;&gt;"",G509+SUM($H$6:H509),"")</f>
      </c>
    </row>
    <row r="510" spans="1:9" ht="12.75">
      <c r="A510" s="141"/>
      <c r="B510" s="124"/>
      <c r="C510" s="116"/>
      <c r="D510" s="175"/>
      <c r="E510" s="125"/>
      <c r="F510" s="125"/>
      <c r="G510" s="170">
        <f>IF(A510&lt;&gt;"",G509+F510-E510,"")</f>
      </c>
      <c r="H510" s="171">
        <f>IF(D510="",-F510+E510,"")</f>
        <v>0</v>
      </c>
      <c r="I510" s="176">
        <f>IF(D510&lt;&gt;"",G510+SUM($H$6:H510),"")</f>
      </c>
    </row>
    <row r="511" spans="1:9" ht="12.75">
      <c r="A511" s="141"/>
      <c r="B511" s="174"/>
      <c r="C511" s="116"/>
      <c r="D511" s="175"/>
      <c r="E511" s="125"/>
      <c r="F511" s="125"/>
      <c r="G511" s="170">
        <f>IF(A511&lt;&gt;"",G510+F511-E511,"")</f>
      </c>
      <c r="H511" s="171">
        <f>IF(D511="",-F511+E511,"")</f>
        <v>0</v>
      </c>
      <c r="I511" s="176">
        <f>IF(D511&lt;&gt;"",G511+SUM($H$6:H511),"")</f>
      </c>
    </row>
    <row r="512" spans="1:9" ht="12.75">
      <c r="A512" s="141"/>
      <c r="B512" s="174"/>
      <c r="C512" s="116"/>
      <c r="D512" s="175"/>
      <c r="E512" s="125"/>
      <c r="F512" s="125"/>
      <c r="G512" s="170">
        <f>IF(A512&lt;&gt;"",G511+F512-E512,"")</f>
      </c>
      <c r="H512" s="171">
        <f>IF(D512="",-F512+E512,"")</f>
        <v>0</v>
      </c>
      <c r="I512" s="176">
        <f>IF(D512&lt;&gt;"",G512+SUM($H$6:H512),"")</f>
      </c>
    </row>
    <row r="513" spans="1:9" ht="12.75">
      <c r="A513" s="141"/>
      <c r="B513" s="174"/>
      <c r="C513" s="139"/>
      <c r="D513" s="175"/>
      <c r="E513" s="125"/>
      <c r="F513" s="125"/>
      <c r="G513" s="170">
        <f>IF(A513&lt;&gt;"",G512+F513-E513,"")</f>
      </c>
      <c r="H513" s="171">
        <f>IF(D513="",-F513+E513,"")</f>
        <v>0</v>
      </c>
      <c r="I513" s="176">
        <f>IF(D513&lt;&gt;"",G513+SUM($H$6:H513),"")</f>
      </c>
    </row>
    <row r="514" spans="1:9" ht="12.75">
      <c r="A514" s="141"/>
      <c r="B514" s="174"/>
      <c r="C514" s="139"/>
      <c r="D514" s="175"/>
      <c r="E514" s="125"/>
      <c r="F514" s="125"/>
      <c r="G514" s="170">
        <f>IF(A514&lt;&gt;"",G513+F514-E514,"")</f>
      </c>
      <c r="H514" s="171">
        <f>IF(D514="",-F514+E514,"")</f>
        <v>0</v>
      </c>
      <c r="I514" s="176">
        <f>IF(D514&lt;&gt;"",G514+SUM($H$6:H514),"")</f>
      </c>
    </row>
    <row r="515" spans="1:9" ht="12.75">
      <c r="A515" s="141"/>
      <c r="B515" s="174"/>
      <c r="C515" s="116"/>
      <c r="D515" s="175"/>
      <c r="E515" s="125"/>
      <c r="F515" s="125"/>
      <c r="G515" s="170">
        <f>IF(A515&lt;&gt;"",G514+F515-E515,"")</f>
      </c>
      <c r="H515" s="171">
        <f>IF(D515="",-F515+E515,"")</f>
        <v>0</v>
      </c>
      <c r="I515" s="176">
        <f>IF(D515&lt;&gt;"",G515+SUM($H$6:H515),"")</f>
      </c>
    </row>
    <row r="516" spans="1:9" ht="12.75">
      <c r="A516" s="141"/>
      <c r="B516" s="138"/>
      <c r="C516" s="116"/>
      <c r="D516" s="175"/>
      <c r="E516" s="125"/>
      <c r="F516" s="125"/>
      <c r="G516" s="170">
        <f>IF(A516&lt;&gt;"",G515+F516-E516,"")</f>
      </c>
      <c r="H516" s="171">
        <f>IF(D516="",-F516+E516,"")</f>
        <v>0</v>
      </c>
      <c r="I516" s="176">
        <f>IF(D516&lt;&gt;"",G516+SUM($H$6:H516),"")</f>
      </c>
    </row>
    <row r="517" spans="1:9" ht="12.75">
      <c r="A517" s="141"/>
      <c r="B517" s="138"/>
      <c r="C517" s="139"/>
      <c r="D517" s="175"/>
      <c r="E517" s="125"/>
      <c r="F517" s="125"/>
      <c r="G517" s="170">
        <f>IF(A517&lt;&gt;"",G516+F517-E517,"")</f>
      </c>
      <c r="H517" s="171">
        <f>IF(D517="",-F517+E517,"")</f>
        <v>0</v>
      </c>
      <c r="I517" s="176">
        <f>IF(D517&lt;&gt;"",G517+SUM($H$6:H517),"")</f>
      </c>
    </row>
    <row r="518" spans="1:9" ht="12.75">
      <c r="A518" s="141"/>
      <c r="B518" s="138"/>
      <c r="C518" s="139"/>
      <c r="D518" s="175"/>
      <c r="E518" s="125"/>
      <c r="F518" s="125"/>
      <c r="G518" s="170">
        <f>IF(A518&lt;&gt;"",G517+F518-E518,"")</f>
      </c>
      <c r="H518" s="171">
        <f>IF(D518="",-F518+E518,"")</f>
        <v>0</v>
      </c>
      <c r="I518" s="176">
        <f>IF(D518&lt;&gt;"",G518+SUM($H$6:H518),"")</f>
      </c>
    </row>
    <row r="519" spans="1:9" ht="12.75">
      <c r="A519" s="141"/>
      <c r="B519" s="174"/>
      <c r="C519" s="139"/>
      <c r="D519" s="175"/>
      <c r="E519" s="125"/>
      <c r="F519" s="125"/>
      <c r="G519" s="170">
        <f>IF(A519&lt;&gt;"",G518+F519-E519,"")</f>
      </c>
      <c r="H519" s="171">
        <f>IF(D519="",-F519+E519,"")</f>
        <v>0</v>
      </c>
      <c r="I519" s="176">
        <f>IF(D519&lt;&gt;"",G519+SUM($H$6:H519),"")</f>
      </c>
    </row>
    <row r="520" spans="1:9" ht="12.75">
      <c r="A520" s="141"/>
      <c r="B520" s="174"/>
      <c r="C520" s="116"/>
      <c r="D520" s="175"/>
      <c r="E520" s="125"/>
      <c r="F520" s="125"/>
      <c r="G520" s="170">
        <f>IF(A520&lt;&gt;"",G519+F520-E520,"")</f>
      </c>
      <c r="H520" s="171">
        <f>IF(D520="",-F520+E520,"")</f>
        <v>0</v>
      </c>
      <c r="I520" s="176">
        <f>IF(D520&lt;&gt;"",G520+SUM($H$6:H520),"")</f>
      </c>
    </row>
    <row r="521" spans="1:9" ht="12.75">
      <c r="A521" s="141"/>
      <c r="B521" s="124"/>
      <c r="C521" s="116"/>
      <c r="D521" s="175"/>
      <c r="E521" s="125"/>
      <c r="F521" s="125"/>
      <c r="G521" s="170">
        <f>IF(A521&lt;&gt;"",G520+F521-E521,"")</f>
      </c>
      <c r="H521" s="171">
        <f>IF(D521="",-F521+E521,"")</f>
        <v>0</v>
      </c>
      <c r="I521" s="176">
        <f>IF(D521&lt;&gt;"",G521+SUM($H$6:H521),"")</f>
      </c>
    </row>
    <row r="522" spans="1:9" ht="12.75">
      <c r="A522" s="141"/>
      <c r="B522" s="138"/>
      <c r="C522" s="116"/>
      <c r="D522" s="175"/>
      <c r="E522" s="125"/>
      <c r="F522" s="125"/>
      <c r="G522" s="170">
        <f>IF(A522&lt;&gt;"",G521+F522-E522,"")</f>
      </c>
      <c r="H522" s="171">
        <f>IF(D522="",-F522+E522,"")</f>
        <v>0</v>
      </c>
      <c r="I522" s="176">
        <f>IF(D522&lt;&gt;"",G522+SUM($H$6:H522),"")</f>
      </c>
    </row>
    <row r="523" spans="1:9" ht="12.75">
      <c r="A523" s="141"/>
      <c r="B523" s="174"/>
      <c r="C523" s="139"/>
      <c r="D523" s="175"/>
      <c r="E523" s="125"/>
      <c r="F523" s="125"/>
      <c r="G523" s="170">
        <f>IF(A523&lt;&gt;"",G522+F523-E523,"")</f>
      </c>
      <c r="H523" s="171">
        <f>IF(D523="",-F523+E523,"")</f>
        <v>0</v>
      </c>
      <c r="I523" s="176">
        <f>IF(D523&lt;&gt;"",G523+SUM($H$6:H523),"")</f>
      </c>
    </row>
    <row r="524" spans="1:9" ht="12.75">
      <c r="A524" s="141"/>
      <c r="B524" s="138"/>
      <c r="C524" s="139"/>
      <c r="D524" s="175"/>
      <c r="E524" s="125"/>
      <c r="F524" s="125"/>
      <c r="G524" s="170">
        <f>IF(A524&lt;&gt;"",G523+F524-E524,"")</f>
      </c>
      <c r="H524" s="171">
        <f>IF(D524="",-F524+E524,"")</f>
        <v>0</v>
      </c>
      <c r="I524" s="176">
        <f>IF(D524&lt;&gt;"",G524+SUM($H$6:H524),"")</f>
      </c>
    </row>
    <row r="525" spans="1:9" ht="12.75">
      <c r="A525" s="141"/>
      <c r="B525" s="138"/>
      <c r="C525" s="139"/>
      <c r="D525" s="175"/>
      <c r="E525" s="125"/>
      <c r="F525" s="125"/>
      <c r="G525" s="170">
        <f>IF(A525&lt;&gt;"",G524+F525-E525,"")</f>
      </c>
      <c r="H525" s="171">
        <f>IF(D525="",-F525+E525,"")</f>
        <v>0</v>
      </c>
      <c r="I525" s="176">
        <f>IF(D525&lt;&gt;"",G525+SUM($H$6:H525),"")</f>
      </c>
    </row>
    <row r="526" spans="1:9" ht="12.75">
      <c r="A526" s="141"/>
      <c r="B526" s="138"/>
      <c r="C526" s="139"/>
      <c r="D526" s="175"/>
      <c r="E526" s="125"/>
      <c r="F526" s="125"/>
      <c r="G526" s="170">
        <f>IF(A526&lt;&gt;"",G525+F526-E526,"")</f>
      </c>
      <c r="H526" s="171">
        <f>IF(D526="",-F526+E526,"")</f>
        <v>0</v>
      </c>
      <c r="I526" s="176">
        <f>IF(D526&lt;&gt;"",G526+SUM($H$6:H526),"")</f>
      </c>
    </row>
    <row r="527" spans="1:9" ht="12.75">
      <c r="A527" s="141"/>
      <c r="B527" s="138"/>
      <c r="C527" s="139"/>
      <c r="D527" s="175"/>
      <c r="E527" s="125"/>
      <c r="F527" s="125"/>
      <c r="G527" s="170">
        <f>IF(A527&lt;&gt;"",G526+F527-E527,"")</f>
      </c>
      <c r="H527" s="171">
        <f>IF(D527="",-F527+E527,"")</f>
        <v>0</v>
      </c>
      <c r="I527" s="176">
        <f>IF(D527&lt;&gt;"",G527+SUM($H$6:H527),"")</f>
      </c>
    </row>
    <row r="528" spans="1:9" ht="12.75">
      <c r="A528" s="141"/>
      <c r="B528" s="138"/>
      <c r="C528" s="139"/>
      <c r="D528" s="175"/>
      <c r="E528" s="125"/>
      <c r="F528" s="125"/>
      <c r="G528" s="170">
        <f>IF(A528&lt;&gt;"",G527+F528-E528,"")</f>
      </c>
      <c r="H528" s="171">
        <f>IF(D528="",-F528+E528,"")</f>
        <v>0</v>
      </c>
      <c r="I528" s="176">
        <f>IF(D528&lt;&gt;"",G528+SUM($H$6:H528),"")</f>
      </c>
    </row>
    <row r="529" spans="1:9" ht="12.75">
      <c r="A529" s="141"/>
      <c r="B529" s="138"/>
      <c r="C529" s="139"/>
      <c r="D529" s="175"/>
      <c r="E529" s="125"/>
      <c r="F529" s="125"/>
      <c r="G529" s="170">
        <f>IF(A529&lt;&gt;"",G528+F529-E529,"")</f>
      </c>
      <c r="H529" s="171">
        <f>IF(D529="",-F529+E529,"")</f>
        <v>0</v>
      </c>
      <c r="I529" s="176">
        <f>IF(D529&lt;&gt;"",G529+SUM($H$6:H529),"")</f>
      </c>
    </row>
    <row r="530" spans="1:9" ht="12.75">
      <c r="A530" s="141"/>
      <c r="B530" s="138"/>
      <c r="C530" s="139"/>
      <c r="D530" s="175"/>
      <c r="E530" s="125"/>
      <c r="F530" s="125"/>
      <c r="G530" s="170">
        <f>IF(A530&lt;&gt;"",G529+F530-E530,"")</f>
      </c>
      <c r="H530" s="171">
        <f>IF(D530="",-F530+E530,"")</f>
        <v>0</v>
      </c>
      <c r="I530" s="176">
        <f>IF(D530&lt;&gt;"",G530+SUM($H$6:H530),"")</f>
      </c>
    </row>
    <row r="531" spans="1:9" ht="12.75">
      <c r="A531" s="141"/>
      <c r="B531" s="138"/>
      <c r="C531" s="139"/>
      <c r="D531" s="175"/>
      <c r="E531" s="125"/>
      <c r="F531" s="125"/>
      <c r="G531" s="170">
        <f>IF(A531&lt;&gt;"",G530+F531-E531,"")</f>
      </c>
      <c r="H531" s="171">
        <f>IF(D531="",-F531+E531,"")</f>
        <v>0</v>
      </c>
      <c r="I531" s="176">
        <f>IF(D531&lt;&gt;"",G531+SUM($H$6:H531),"")</f>
      </c>
    </row>
    <row r="532" spans="1:9" ht="12.75">
      <c r="A532" s="141"/>
      <c r="B532" s="138"/>
      <c r="C532" s="139"/>
      <c r="D532" s="175"/>
      <c r="E532" s="125"/>
      <c r="F532" s="125"/>
      <c r="G532" s="170">
        <f>IF(A532&lt;&gt;"",G531+F532-E532,"")</f>
      </c>
      <c r="H532" s="171">
        <f>IF(D532="",-F532+E532,"")</f>
        <v>0</v>
      </c>
      <c r="I532" s="176">
        <f>IF(D532&lt;&gt;"",G532+SUM($H$6:H532),"")</f>
      </c>
    </row>
    <row r="533" spans="1:9" ht="12.75">
      <c r="A533" s="141"/>
      <c r="B533" s="138"/>
      <c r="C533" s="139"/>
      <c r="D533" s="175"/>
      <c r="E533" s="125"/>
      <c r="F533" s="125"/>
      <c r="G533" s="170">
        <f>IF(A533&lt;&gt;"",G532+F533-E533,"")</f>
      </c>
      <c r="H533" s="171">
        <f>IF(D533="",-F533+E533,"")</f>
        <v>0</v>
      </c>
      <c r="I533" s="176">
        <f>IF(D533&lt;&gt;"",G533+SUM($H$6:H533),"")</f>
      </c>
    </row>
    <row r="534" spans="1:9" ht="12.75">
      <c r="A534" s="141"/>
      <c r="B534" s="138"/>
      <c r="C534" s="139"/>
      <c r="D534" s="175"/>
      <c r="E534" s="125"/>
      <c r="F534" s="125"/>
      <c r="G534" s="170">
        <f>IF(A534&lt;&gt;"",G533+F534-E534,"")</f>
      </c>
      <c r="H534" s="171">
        <f>IF(D534="",-F534+E534,"")</f>
        <v>0</v>
      </c>
      <c r="I534" s="176">
        <f>IF(D534&lt;&gt;"",G534+SUM($H$6:H534),"")</f>
      </c>
    </row>
    <row r="535" spans="1:9" ht="12.75">
      <c r="A535" s="141"/>
      <c r="B535" s="138"/>
      <c r="C535" s="139"/>
      <c r="D535" s="175"/>
      <c r="E535" s="125"/>
      <c r="F535" s="125"/>
      <c r="G535" s="170">
        <f>IF(A535&lt;&gt;"",G534+F535-E535,"")</f>
      </c>
      <c r="H535" s="171">
        <f>IF(D535="",-F535+E535,"")</f>
        <v>0</v>
      </c>
      <c r="I535" s="176">
        <f>IF(D535&lt;&gt;"",G535+SUM($H$6:H535),"")</f>
      </c>
    </row>
    <row r="536" spans="1:9" ht="12.75">
      <c r="A536" s="141"/>
      <c r="B536" s="138"/>
      <c r="C536" s="139"/>
      <c r="D536" s="175"/>
      <c r="E536" s="125"/>
      <c r="F536" s="125"/>
      <c r="G536" s="170">
        <f>IF(A536&lt;&gt;"",G535+F536-E536,"")</f>
      </c>
      <c r="H536" s="171">
        <f>IF(D536="",-F536+E536,"")</f>
        <v>0</v>
      </c>
      <c r="I536" s="176">
        <f>IF(D536&lt;&gt;"",G536+SUM($H$6:H536),"")</f>
      </c>
    </row>
    <row r="537" spans="1:9" ht="12.75">
      <c r="A537" s="141"/>
      <c r="B537" s="138"/>
      <c r="C537" s="139"/>
      <c r="D537" s="175"/>
      <c r="E537" s="125"/>
      <c r="F537" s="125"/>
      <c r="G537" s="170">
        <f>IF(A537&lt;&gt;"",G536+F537-E537,"")</f>
      </c>
      <c r="H537" s="171">
        <f>IF(D537="",-F537+E537,"")</f>
        <v>0</v>
      </c>
      <c r="I537" s="176">
        <f>IF(D537&lt;&gt;"",G537+SUM($H$6:H537),"")</f>
      </c>
    </row>
    <row r="538" spans="1:9" ht="12.75">
      <c r="A538" s="141"/>
      <c r="B538" s="138"/>
      <c r="C538" s="139"/>
      <c r="D538" s="175"/>
      <c r="E538" s="125"/>
      <c r="F538" s="125"/>
      <c r="G538" s="170">
        <f>IF(A538&lt;&gt;"",G537+F538-E538,"")</f>
      </c>
      <c r="H538" s="171">
        <f>IF(D538="",-F538+E538,"")</f>
        <v>0</v>
      </c>
      <c r="I538" s="176">
        <f>IF(D538&lt;&gt;"",G538+SUM($H$6:H538),"")</f>
      </c>
    </row>
    <row r="539" spans="1:9" ht="12.75">
      <c r="A539" s="141"/>
      <c r="B539" s="138"/>
      <c r="C539" s="139"/>
      <c r="D539" s="175"/>
      <c r="E539" s="125"/>
      <c r="F539" s="125"/>
      <c r="G539" s="170">
        <f>IF(A539&lt;&gt;"",G538+F539-E539,"")</f>
      </c>
      <c r="H539" s="171">
        <f>IF(D539="",-F539+E539,"")</f>
        <v>0</v>
      </c>
      <c r="I539" s="176">
        <f>IF(D539&lt;&gt;"",G539+SUM($H$6:H539),"")</f>
      </c>
    </row>
    <row r="540" spans="1:9" ht="12.75">
      <c r="A540" s="141"/>
      <c r="B540" s="138"/>
      <c r="C540" s="139"/>
      <c r="D540" s="175"/>
      <c r="E540" s="125"/>
      <c r="F540" s="125"/>
      <c r="G540" s="170">
        <f>IF(A540&lt;&gt;"",G539+F540-E540,"")</f>
      </c>
      <c r="H540" s="171">
        <f>IF(D540="",-F540+E540,"")</f>
        <v>0</v>
      </c>
      <c r="I540" s="176">
        <f>IF(D540&lt;&gt;"",G540+SUM($H$6:H540),"")</f>
      </c>
    </row>
    <row r="541" spans="1:9" ht="12.75">
      <c r="A541" s="141"/>
      <c r="B541" s="138"/>
      <c r="C541" s="139"/>
      <c r="D541" s="175"/>
      <c r="E541" s="125"/>
      <c r="F541" s="125"/>
      <c r="G541" s="170">
        <f>IF(A541&lt;&gt;"",G540+F541-E541,"")</f>
      </c>
      <c r="H541" s="171">
        <f>IF(D541="",-F541+E541,"")</f>
        <v>0</v>
      </c>
      <c r="I541" s="176">
        <f>IF(D541&lt;&gt;"",G541+SUM($H$6:H541),"")</f>
      </c>
    </row>
    <row r="542" spans="1:9" ht="12.75">
      <c r="A542" s="141"/>
      <c r="B542" s="138"/>
      <c r="C542" s="139"/>
      <c r="D542" s="175"/>
      <c r="E542" s="125"/>
      <c r="F542" s="125"/>
      <c r="G542" s="170">
        <f>IF(A542&lt;&gt;"",G541+F542-E542,"")</f>
      </c>
      <c r="H542" s="171">
        <f>IF(D542="",-F542+E542,"")</f>
        <v>0</v>
      </c>
      <c r="I542" s="176">
        <f>IF(D542&lt;&gt;"",G542+SUM($H$6:H542),"")</f>
      </c>
    </row>
    <row r="543" spans="1:9" ht="12.75">
      <c r="A543" s="141"/>
      <c r="B543" s="138"/>
      <c r="C543" s="139"/>
      <c r="D543" s="175"/>
      <c r="E543" s="125"/>
      <c r="F543" s="125"/>
      <c r="G543" s="170">
        <f>IF(A543&lt;&gt;"",G542+F543-E543,"")</f>
      </c>
      <c r="H543" s="171">
        <f>IF(D543="",-F543+E543,"")</f>
        <v>0</v>
      </c>
      <c r="I543" s="176">
        <f>IF(D543&lt;&gt;"",G543+SUM($H$6:H543),"")</f>
      </c>
    </row>
    <row r="544" spans="1:9" ht="12.75">
      <c r="A544" s="141"/>
      <c r="B544" s="138"/>
      <c r="C544" s="139"/>
      <c r="D544" s="175"/>
      <c r="E544" s="125"/>
      <c r="F544" s="125"/>
      <c r="G544" s="170">
        <f>IF(A544&lt;&gt;"",G543+F544-E544,"")</f>
      </c>
      <c r="H544" s="171">
        <f>IF(D544="",-F544+E544,"")</f>
        <v>0</v>
      </c>
      <c r="I544" s="176">
        <f>IF(D544&lt;&gt;"",G544+SUM($H$6:H544),"")</f>
      </c>
    </row>
    <row r="545" spans="1:9" ht="12.75">
      <c r="A545" s="141"/>
      <c r="B545" s="138"/>
      <c r="C545" s="139"/>
      <c r="D545" s="175"/>
      <c r="E545" s="125"/>
      <c r="F545" s="125"/>
      <c r="G545" s="170">
        <f>IF(A545&lt;&gt;"",G544+F545-E545,"")</f>
      </c>
      <c r="H545" s="171">
        <f>IF(D545="",-F545+E545,"")</f>
        <v>0</v>
      </c>
      <c r="I545" s="176">
        <f>IF(D545&lt;&gt;"",G545+SUM($H$6:H545),"")</f>
      </c>
    </row>
    <row r="546" spans="1:9" ht="12.75">
      <c r="A546" s="141"/>
      <c r="B546" s="138"/>
      <c r="C546" s="139"/>
      <c r="D546" s="175"/>
      <c r="E546" s="125"/>
      <c r="F546" s="125"/>
      <c r="G546" s="170">
        <f>IF(A546&lt;&gt;"",G545+F546-E546,"")</f>
      </c>
      <c r="H546" s="171">
        <f>IF(D546="",-F546+E546,"")</f>
        <v>0</v>
      </c>
      <c r="I546" s="176">
        <f>IF(D546&lt;&gt;"",G546+SUM($H$6:H546),"")</f>
      </c>
    </row>
    <row r="547" spans="1:9" ht="12.75">
      <c r="A547" s="141"/>
      <c r="B547" s="174"/>
      <c r="C547" s="139"/>
      <c r="D547" s="175"/>
      <c r="E547" s="125"/>
      <c r="F547" s="125"/>
      <c r="G547" s="170">
        <f>IF(A547&lt;&gt;"",G546+F547-E547,"")</f>
      </c>
      <c r="H547" s="171">
        <f>IF(D547="",-F547+E547,"")</f>
        <v>0</v>
      </c>
      <c r="I547" s="176">
        <f>IF(D547&lt;&gt;"",G547+SUM($H$6:H547),"")</f>
      </c>
    </row>
    <row r="548" spans="1:9" ht="12.75">
      <c r="A548" s="141"/>
      <c r="B548" s="174"/>
      <c r="C548" s="174"/>
      <c r="D548" s="175"/>
      <c r="E548" s="125"/>
      <c r="F548" s="125"/>
      <c r="G548" s="170">
        <f>IF(A548&lt;&gt;"",G547+F548-E548,"")</f>
      </c>
      <c r="H548" s="171">
        <f>IF(D548="",-F548+E548,"")</f>
        <v>0</v>
      </c>
      <c r="I548" s="176">
        <f>IF(D548&lt;&gt;"",G548+SUM($H$6:H548),"")</f>
      </c>
    </row>
    <row r="549" spans="1:9" ht="12.75">
      <c r="A549" s="141"/>
      <c r="B549" s="174"/>
      <c r="C549" s="116"/>
      <c r="D549" s="175"/>
      <c r="E549" s="125"/>
      <c r="F549" s="125"/>
      <c r="G549" s="170">
        <f>IF(A549&lt;&gt;"",G548+F549-E549,"")</f>
      </c>
      <c r="H549" s="171">
        <f>IF(D549="",-F549+E549,"")</f>
        <v>0</v>
      </c>
      <c r="I549" s="176">
        <f>IF(D549&lt;&gt;"",G549+SUM($H$6:H549),"")</f>
      </c>
    </row>
    <row r="550" spans="1:9" ht="12.75">
      <c r="A550" s="141"/>
      <c r="B550" s="124"/>
      <c r="C550" s="116"/>
      <c r="D550" s="175"/>
      <c r="E550" s="125"/>
      <c r="F550" s="125"/>
      <c r="G550" s="170">
        <f>IF(A550&lt;&gt;"",G549+F550-E550,"")</f>
      </c>
      <c r="H550" s="171">
        <f>IF(D550="",-F550+E550,"")</f>
        <v>0</v>
      </c>
      <c r="I550" s="176">
        <f>IF(D550&lt;&gt;"",G550+SUM($H$6:H550),"")</f>
      </c>
    </row>
    <row r="551" spans="1:9" ht="12.75">
      <c r="A551" s="141"/>
      <c r="B551" s="174"/>
      <c r="C551" s="116"/>
      <c r="D551" s="175"/>
      <c r="E551" s="125"/>
      <c r="F551" s="125"/>
      <c r="G551" s="170">
        <f>IF(A551&lt;&gt;"",G550+F551-E551,"")</f>
      </c>
      <c r="H551" s="171">
        <f>IF(D551="",-F551+E551,"")</f>
        <v>0</v>
      </c>
      <c r="I551" s="176">
        <f>IF(D551&lt;&gt;"",G551+SUM($H$6:H551),"")</f>
      </c>
    </row>
    <row r="552" spans="1:9" ht="12.75">
      <c r="A552" s="141"/>
      <c r="B552" s="174"/>
      <c r="C552" s="116"/>
      <c r="D552" s="175"/>
      <c r="E552" s="125"/>
      <c r="F552" s="125"/>
      <c r="G552" s="170">
        <f>IF(A552&lt;&gt;"",G551+F552-E552,"")</f>
      </c>
      <c r="H552" s="171">
        <f>IF(D552="",-F552+E552,"")</f>
        <v>0</v>
      </c>
      <c r="I552" s="176">
        <f>IF(D552&lt;&gt;"",G552+SUM($H$6:H552),"")</f>
      </c>
    </row>
    <row r="553" spans="1:9" ht="12.75">
      <c r="A553" s="141"/>
      <c r="B553" s="174"/>
      <c r="C553" s="116"/>
      <c r="D553" s="175"/>
      <c r="E553" s="125"/>
      <c r="F553" s="125"/>
      <c r="G553" s="170">
        <f>IF(A553&lt;&gt;"",G552+F553-E553,"")</f>
      </c>
      <c r="H553" s="171">
        <f>IF(D553="",-F553+E553,"")</f>
        <v>0</v>
      </c>
      <c r="I553" s="176">
        <f>IF(D553&lt;&gt;"",G553+SUM($H$6:H553),"")</f>
      </c>
    </row>
    <row r="554" spans="1:9" ht="12.75">
      <c r="A554" s="141"/>
      <c r="B554" s="138"/>
      <c r="C554" s="116"/>
      <c r="D554" s="175"/>
      <c r="E554" s="125"/>
      <c r="F554" s="125"/>
      <c r="G554" s="170">
        <f>IF(A554&lt;&gt;"",G553+F554-E554,"")</f>
      </c>
      <c r="H554" s="171">
        <f>IF(D554="",-F554+E554,"")</f>
        <v>0</v>
      </c>
      <c r="I554" s="176">
        <f>IF(D554&lt;&gt;"",G554+SUM($H$6:H554),"")</f>
      </c>
    </row>
    <row r="555" spans="1:9" ht="12.75">
      <c r="A555" s="141"/>
      <c r="B555" s="174"/>
      <c r="C555" s="139"/>
      <c r="D555" s="175"/>
      <c r="E555" s="125"/>
      <c r="F555" s="125"/>
      <c r="G555" s="170">
        <f>IF(A555&lt;&gt;"",G554+F555-E555,"")</f>
      </c>
      <c r="H555" s="171">
        <f>IF(D555="",-F555+E555,"")</f>
        <v>0</v>
      </c>
      <c r="I555" s="176">
        <f>IF(D555&lt;&gt;"",G555+SUM($H$6:H555),"")</f>
      </c>
    </row>
    <row r="556" spans="1:9" ht="12.75">
      <c r="A556" s="141"/>
      <c r="B556" s="124"/>
      <c r="C556" s="201"/>
      <c r="D556" s="175"/>
      <c r="E556" s="202"/>
      <c r="F556" s="125"/>
      <c r="G556" s="170">
        <f>IF(A556&lt;&gt;"",G555+F556-E556,"")</f>
      </c>
      <c r="H556" s="171">
        <f>IF(D556="",-F556+E556,"")</f>
        <v>0</v>
      </c>
      <c r="I556" s="176">
        <f>IF(D556&lt;&gt;"",G556+SUM($H$6:H556),"")</f>
      </c>
    </row>
    <row r="557" spans="1:9" ht="12.75">
      <c r="A557" s="141"/>
      <c r="B557" s="174"/>
      <c r="C557" s="174"/>
      <c r="D557" s="175"/>
      <c r="E557" s="125"/>
      <c r="F557" s="125"/>
      <c r="G557" s="170">
        <f>IF(A557&lt;&gt;"",G556+F557-E557,"")</f>
      </c>
      <c r="H557" s="171">
        <f>IF(D557="",-F557+E557,"")</f>
        <v>0</v>
      </c>
      <c r="I557" s="176">
        <f>IF(D557&lt;&gt;"",G557+SUM($H$6:H557),"")</f>
      </c>
    </row>
    <row r="558" spans="1:9" ht="12.75">
      <c r="A558" s="141"/>
      <c r="B558" s="174"/>
      <c r="C558" s="174"/>
      <c r="D558" s="175"/>
      <c r="E558" s="125"/>
      <c r="F558" s="125"/>
      <c r="G558" s="170">
        <f>IF(A558&lt;&gt;"",G557+F558-E558,"")</f>
      </c>
      <c r="H558" s="171">
        <f>IF(D558="",-F558+E558,"")</f>
        <v>0</v>
      </c>
      <c r="I558" s="176">
        <f>IF(D558&lt;&gt;"",G558+SUM($H$6:H558),"")</f>
      </c>
    </row>
    <row r="559" spans="1:9" ht="12.75">
      <c r="A559" s="141"/>
      <c r="B559" s="174"/>
      <c r="C559" s="174"/>
      <c r="D559" s="175"/>
      <c r="E559" s="125"/>
      <c r="F559" s="125"/>
      <c r="G559" s="170">
        <f>IF(A559&lt;&gt;"",G558+F559-E559,"")</f>
      </c>
      <c r="H559" s="171">
        <f>IF(D559="",-F559+E559,"")</f>
        <v>0</v>
      </c>
      <c r="I559" s="176">
        <f>IF(D559&lt;&gt;"",G559+SUM($H$6:H559),"")</f>
      </c>
    </row>
    <row r="560" spans="1:9" ht="12.75">
      <c r="A560" s="141"/>
      <c r="B560" s="174"/>
      <c r="C560" s="174"/>
      <c r="D560" s="175"/>
      <c r="E560" s="125"/>
      <c r="F560" s="125"/>
      <c r="G560" s="170">
        <f>IF(A560&lt;&gt;"",G559+F560-E560,"")</f>
      </c>
      <c r="H560" s="171">
        <f>IF(D560="",-F560+E560,"")</f>
        <v>0</v>
      </c>
      <c r="I560" s="176">
        <f>IF(D560&lt;&gt;"",G560+SUM($H$6:H560),"")</f>
      </c>
    </row>
    <row r="561" spans="1:9" ht="12.75">
      <c r="A561" s="141"/>
      <c r="B561" s="174"/>
      <c r="C561" s="174"/>
      <c r="D561" s="175"/>
      <c r="E561" s="125"/>
      <c r="F561" s="125"/>
      <c r="G561" s="170">
        <f>IF(A561&lt;&gt;"",G560+F561-E561,"")</f>
      </c>
      <c r="H561" s="171">
        <f>IF(D561="",-F561+E561,"")</f>
        <v>0</v>
      </c>
      <c r="I561" s="176">
        <f>IF(D561&lt;&gt;"",G561+SUM($H$6:H561),"")</f>
      </c>
    </row>
    <row r="562" spans="1:9" ht="12.75">
      <c r="A562" s="141"/>
      <c r="B562" s="174"/>
      <c r="C562" s="174"/>
      <c r="D562" s="175"/>
      <c r="E562" s="125"/>
      <c r="F562" s="125"/>
      <c r="G562" s="170">
        <f>IF(A562&lt;&gt;"",G561+F562-E562,"")</f>
      </c>
      <c r="H562" s="171">
        <f>IF(D562="",-F562+E562,"")</f>
        <v>0</v>
      </c>
      <c r="I562" s="176">
        <f>IF(D562&lt;&gt;"",G562+SUM($H$6:H562),"")</f>
      </c>
    </row>
    <row r="563" spans="1:9" ht="12.75">
      <c r="A563" s="141"/>
      <c r="B563" s="174"/>
      <c r="C563" s="174"/>
      <c r="D563" s="175"/>
      <c r="E563" s="125"/>
      <c r="F563" s="125"/>
      <c r="G563" s="170">
        <f>IF(A563&lt;&gt;"",G562+F563-E563,"")</f>
      </c>
      <c r="H563" s="171">
        <f>IF(D563="",-F563+E563,"")</f>
        <v>0</v>
      </c>
      <c r="I563" s="176">
        <f>IF(D563&lt;&gt;"",G563+SUM($H$6:H563),"")</f>
      </c>
    </row>
    <row r="564" spans="1:9" ht="12.75">
      <c r="A564" s="141"/>
      <c r="B564" s="174"/>
      <c r="C564" s="174"/>
      <c r="D564" s="175"/>
      <c r="E564" s="125"/>
      <c r="F564" s="125"/>
      <c r="G564" s="170">
        <f>IF(A564&lt;&gt;"",G563+F564-E564,"")</f>
      </c>
      <c r="H564" s="171">
        <f>IF(D564="",-F564+E564,"")</f>
        <v>0</v>
      </c>
      <c r="I564" s="176">
        <f>IF(D564&lt;&gt;"",G564+SUM($H$6:H564),"")</f>
      </c>
    </row>
    <row r="565" spans="1:9" ht="12.75">
      <c r="A565" s="141"/>
      <c r="B565" s="174"/>
      <c r="C565" s="174"/>
      <c r="D565" s="175"/>
      <c r="E565" s="125"/>
      <c r="F565" s="125"/>
      <c r="G565" s="170">
        <f>IF(A565&lt;&gt;"",G564+F565-E565,"")</f>
      </c>
      <c r="H565" s="171">
        <f>IF(D565="",-F565+E565,"")</f>
        <v>0</v>
      </c>
      <c r="I565" s="176">
        <f>IF(D565&lt;&gt;"",G565+SUM($H$6:H565),"")</f>
      </c>
    </row>
    <row r="566" spans="1:9" ht="12.75">
      <c r="A566" s="141"/>
      <c r="B566" s="174"/>
      <c r="C566" s="174"/>
      <c r="D566" s="175"/>
      <c r="E566" s="125"/>
      <c r="F566" s="125"/>
      <c r="G566" s="170">
        <f>IF(A566&lt;&gt;"",G565+F566-E566,"")</f>
      </c>
      <c r="H566" s="171">
        <f>IF(D566="",-F566+E566,"")</f>
        <v>0</v>
      </c>
      <c r="I566" s="176">
        <f>IF(D566&lt;&gt;"",G566+SUM($H$6:H566),"")</f>
      </c>
    </row>
    <row r="567" spans="1:9" ht="12.75">
      <c r="A567" s="141"/>
      <c r="B567" s="174"/>
      <c r="C567" s="174"/>
      <c r="D567" s="175"/>
      <c r="E567" s="125"/>
      <c r="F567" s="125"/>
      <c r="G567" s="170">
        <f>IF(A567&lt;&gt;"",G566+F567-E567,"")</f>
      </c>
      <c r="H567" s="171">
        <f>IF(D567="",-F567+E567,"")</f>
        <v>0</v>
      </c>
      <c r="I567" s="176">
        <f>IF(D567&lt;&gt;"",G567+SUM($H$6:H567),"")</f>
      </c>
    </row>
    <row r="568" spans="1:9" ht="12.75">
      <c r="A568" s="141"/>
      <c r="B568" s="174"/>
      <c r="C568" s="174"/>
      <c r="D568" s="175"/>
      <c r="E568" s="125"/>
      <c r="F568" s="125"/>
      <c r="G568" s="170">
        <f>IF(A568&lt;&gt;"",G567+F568-E568,"")</f>
      </c>
      <c r="H568" s="171">
        <f>IF(D568="",-F568+E568,"")</f>
        <v>0</v>
      </c>
      <c r="I568" s="176">
        <f>IF(D568&lt;&gt;"",G568+SUM($H$6:H568),"")</f>
      </c>
    </row>
    <row r="569" spans="1:9" ht="12.75">
      <c r="A569" s="141"/>
      <c r="B569" s="142" t="s">
        <v>139</v>
      </c>
      <c r="C569" s="142" t="s">
        <v>139</v>
      </c>
      <c r="D569" s="203"/>
      <c r="E569" s="125"/>
      <c r="F569" s="125"/>
      <c r="G569" s="170">
        <f>IF(A569&lt;&gt;"",G568+F569-E569,"")</f>
      </c>
      <c r="H569" s="171">
        <f>IF(D569="",-F569+E569,"")</f>
        <v>0</v>
      </c>
      <c r="I569" s="176">
        <f>IF(D569&lt;&gt;"",G569+SUM($H$6:H569),"")</f>
      </c>
    </row>
  </sheetData>
  <sheetProtection selectLockedCells="1" selectUnlockedCells="1"/>
  <mergeCells count="4">
    <mergeCell ref="B1:G1"/>
    <mergeCell ref="B2:G2"/>
    <mergeCell ref="D3:F3"/>
    <mergeCell ref="K46:L46"/>
  </mergeCells>
  <printOptions gridLines="1" horizontalCentered="1"/>
  <pageMargins left="0.19652777777777777" right="0.19652777777777777" top="0.5902777777777778" bottom="0.9055555555555554" header="0.5118055555555555" footer="0.2361111111111111"/>
  <pageSetup horizontalDpi="300" verticalDpi="300" orientation="portrait" paperSize="9" scale="98"/>
  <headerFooter alignWithMargins="0">
    <oddFooter>&amp;C&amp;8Page &amp;P / &amp;N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5">
    <tabColor indexed="51"/>
  </sheetPr>
  <dimension ref="A1:H100"/>
  <sheetViews>
    <sheetView zoomScale="140" zoomScaleNormal="140" zoomScalePageLayoutView="0" workbookViewId="0" topLeftCell="A1">
      <selection activeCell="A7" sqref="A7"/>
    </sheetView>
  </sheetViews>
  <sheetFormatPr defaultColWidth="11.421875" defaultRowHeight="12"/>
  <cols>
    <col min="1" max="1" width="10.140625" style="87" customWidth="1"/>
    <col min="2" max="2" width="26.57421875" style="87" customWidth="1"/>
    <col min="3" max="3" width="21.57421875" style="87" customWidth="1"/>
    <col min="4" max="6" width="9.140625" style="88" customWidth="1"/>
    <col min="7" max="7" width="8.421875" style="88" hidden="1" customWidth="1"/>
    <col min="8" max="8" width="29.57421875" style="87" customWidth="1"/>
    <col min="9" max="16384" width="9.140625" style="87" customWidth="1"/>
  </cols>
  <sheetData>
    <row r="1" spans="1:8" ht="16.5">
      <c r="A1" s="204"/>
      <c r="B1" s="413" t="s">
        <v>102</v>
      </c>
      <c r="C1" s="413"/>
      <c r="D1" s="413"/>
      <c r="E1" s="413"/>
      <c r="F1" s="90"/>
      <c r="G1" s="91"/>
      <c r="H1" s="92"/>
    </row>
    <row r="2" spans="1:8" ht="7.5" customHeight="1">
      <c r="A2" s="205"/>
      <c r="B2" s="414"/>
      <c r="C2" s="414"/>
      <c r="D2" s="414"/>
      <c r="E2" s="414"/>
      <c r="F2" s="414"/>
      <c r="G2" s="94"/>
      <c r="H2" s="92"/>
    </row>
    <row r="3" spans="1:8" ht="15.75">
      <c r="A3" s="206"/>
      <c r="B3" s="152"/>
      <c r="C3" s="96" t="s">
        <v>286</v>
      </c>
      <c r="D3" s="417"/>
      <c r="E3" s="417"/>
      <c r="F3" s="97">
        <f ca="1">VLOOKUP(TODAY(),base_de_données_livret,6,TRUE)</f>
        <v>3182.27</v>
      </c>
      <c r="G3" s="98"/>
      <c r="H3" s="92"/>
    </row>
    <row r="4" spans="1:8" ht="12.75">
      <c r="A4" s="99" t="s">
        <v>103</v>
      </c>
      <c r="B4" s="100">
        <f ca="1">TODAY()</f>
        <v>44111</v>
      </c>
      <c r="C4" s="101"/>
      <c r="D4" s="102"/>
      <c r="E4" s="102"/>
      <c r="F4" s="103"/>
      <c r="G4" s="98"/>
      <c r="H4" s="92"/>
    </row>
    <row r="5" spans="1:8" ht="12.75">
      <c r="A5" s="207" t="s">
        <v>104</v>
      </c>
      <c r="B5" s="207" t="s">
        <v>105</v>
      </c>
      <c r="C5" s="207" t="s">
        <v>106</v>
      </c>
      <c r="D5" s="208" t="s">
        <v>107</v>
      </c>
      <c r="E5" s="208" t="s">
        <v>108</v>
      </c>
      <c r="F5" s="208" t="s">
        <v>109</v>
      </c>
      <c r="G5" s="108"/>
      <c r="H5" s="109"/>
    </row>
    <row r="6" spans="1:8" ht="12.75">
      <c r="A6" s="209">
        <v>43763</v>
      </c>
      <c r="B6" s="111" t="s">
        <v>110</v>
      </c>
      <c r="C6" s="210"/>
      <c r="D6" s="211"/>
      <c r="E6" s="211">
        <v>3182.27</v>
      </c>
      <c r="F6" s="212">
        <f>E6-D6+F4</f>
        <v>3182.27</v>
      </c>
      <c r="G6" s="115" t="e">
        <f>IF(#REF!="",-E6+D6,"")</f>
        <v>#REF!</v>
      </c>
      <c r="H6" s="116"/>
    </row>
    <row r="7" spans="1:8" ht="12.75">
      <c r="A7" s="213"/>
      <c r="B7" s="214"/>
      <c r="C7" s="215"/>
      <c r="D7" s="216"/>
      <c r="E7" s="216"/>
      <c r="F7" s="212">
        <f aca="true" t="shared" si="0" ref="F7:F100">IF(A7="","",F6+E7-D7)</f>
      </c>
      <c r="G7" s="129" t="e">
        <f>IF(#REF!="",-E7+D7,"")</f>
        <v>#REF!</v>
      </c>
      <c r="H7" s="116"/>
    </row>
    <row r="8" spans="1:8" ht="12.75">
      <c r="A8" s="213"/>
      <c r="B8" s="214"/>
      <c r="C8" s="215"/>
      <c r="D8" s="217"/>
      <c r="E8" s="217"/>
      <c r="F8" s="212">
        <f t="shared" si="0"/>
      </c>
      <c r="G8" s="129" t="e">
        <f>IF(#REF!="",-E8+D8,"")</f>
        <v>#REF!</v>
      </c>
      <c r="H8" s="116"/>
    </row>
    <row r="9" spans="1:8" ht="12.75">
      <c r="A9" s="213"/>
      <c r="B9" s="214"/>
      <c r="C9" s="215"/>
      <c r="D9" s="216"/>
      <c r="E9" s="216"/>
      <c r="F9" s="212">
        <f t="shared" si="0"/>
      </c>
      <c r="G9" s="129" t="e">
        <f>IF(#REF!="",-E9+D9,"")</f>
        <v>#REF!</v>
      </c>
      <c r="H9" s="116"/>
    </row>
    <row r="10" spans="1:8" ht="12.75">
      <c r="A10" s="213"/>
      <c r="B10" s="214"/>
      <c r="C10" s="218"/>
      <c r="D10" s="216"/>
      <c r="E10" s="216"/>
      <c r="F10" s="212">
        <f t="shared" si="0"/>
      </c>
      <c r="G10" s="129" t="e">
        <f>IF(#REF!="",-E10+D10,"")</f>
        <v>#REF!</v>
      </c>
      <c r="H10" s="116"/>
    </row>
    <row r="11" spans="1:8" ht="12.75">
      <c r="A11" s="213"/>
      <c r="B11" s="214"/>
      <c r="C11" s="218"/>
      <c r="D11" s="216"/>
      <c r="E11" s="216"/>
      <c r="F11" s="212">
        <f t="shared" si="0"/>
      </c>
      <c r="G11" s="129" t="e">
        <f>IF(#REF!="",-E11+D11,"")</f>
        <v>#REF!</v>
      </c>
      <c r="H11" s="116"/>
    </row>
    <row r="12" spans="1:8" ht="12.75">
      <c r="A12" s="213"/>
      <c r="B12" s="214"/>
      <c r="C12" s="218"/>
      <c r="D12" s="216"/>
      <c r="E12" s="216"/>
      <c r="F12" s="212">
        <f t="shared" si="0"/>
      </c>
      <c r="G12" s="129" t="e">
        <f>IF(#REF!="",-E12+D12,"")</f>
        <v>#REF!</v>
      </c>
      <c r="H12" s="116"/>
    </row>
    <row r="13" spans="1:8" ht="12.75">
      <c r="A13" s="213"/>
      <c r="B13" s="214"/>
      <c r="C13" s="218"/>
      <c r="D13" s="216"/>
      <c r="E13" s="216"/>
      <c r="F13" s="212">
        <f t="shared" si="0"/>
      </c>
      <c r="G13" s="129" t="e">
        <f>IF(#REF!="",-E13+D13,"")</f>
        <v>#REF!</v>
      </c>
      <c r="H13" s="116"/>
    </row>
    <row r="14" spans="1:8" ht="12.75">
      <c r="A14" s="213"/>
      <c r="B14" s="214"/>
      <c r="C14" s="218"/>
      <c r="D14" s="216"/>
      <c r="E14" s="216"/>
      <c r="F14" s="212">
        <f t="shared" si="0"/>
      </c>
      <c r="G14" s="129" t="e">
        <f>IF(#REF!="",-E14+D14,"")</f>
        <v>#REF!</v>
      </c>
      <c r="H14" s="116"/>
    </row>
    <row r="15" spans="1:8" ht="12.75">
      <c r="A15" s="213"/>
      <c r="B15" s="214"/>
      <c r="C15" s="218"/>
      <c r="D15" s="216"/>
      <c r="E15" s="216"/>
      <c r="F15" s="212">
        <f t="shared" si="0"/>
      </c>
      <c r="G15" s="129" t="e">
        <f>IF(#REF!="",-E15+D15,"")</f>
        <v>#REF!</v>
      </c>
      <c r="H15" s="139"/>
    </row>
    <row r="16" spans="1:8" ht="12.75">
      <c r="A16" s="213"/>
      <c r="B16" s="214"/>
      <c r="C16" s="215"/>
      <c r="D16" s="216"/>
      <c r="E16" s="216"/>
      <c r="F16" s="212">
        <f t="shared" si="0"/>
      </c>
      <c r="G16" s="129" t="e">
        <f>IF(#REF!="",-E16+D16,"")</f>
        <v>#REF!</v>
      </c>
      <c r="H16" s="116"/>
    </row>
    <row r="17" spans="1:8" ht="12.75">
      <c r="A17" s="213"/>
      <c r="B17" s="214"/>
      <c r="C17" s="215"/>
      <c r="D17" s="216"/>
      <c r="E17" s="216"/>
      <c r="F17" s="212">
        <f t="shared" si="0"/>
      </c>
      <c r="G17" s="129" t="e">
        <f>IF(#REF!="",-E17+D17,"")</f>
        <v>#REF!</v>
      </c>
      <c r="H17" s="139"/>
    </row>
    <row r="18" spans="1:8" ht="12.75">
      <c r="A18" s="213"/>
      <c r="B18" s="214"/>
      <c r="C18" s="215"/>
      <c r="D18" s="216"/>
      <c r="E18" s="216"/>
      <c r="F18" s="212">
        <f t="shared" si="0"/>
      </c>
      <c r="G18" s="129" t="e">
        <f>IF(#REF!="",-E18+D18,"")</f>
        <v>#REF!</v>
      </c>
      <c r="H18" s="139"/>
    </row>
    <row r="19" spans="1:8" ht="12.75">
      <c r="A19" s="213"/>
      <c r="B19" s="214"/>
      <c r="C19" s="218"/>
      <c r="D19" s="216"/>
      <c r="E19" s="216"/>
      <c r="F19" s="212">
        <f t="shared" si="0"/>
      </c>
      <c r="G19" s="219" t="e">
        <f>IF(#REF!="",-E19+D19,"")</f>
        <v>#REF!</v>
      </c>
      <c r="H19" s="139"/>
    </row>
    <row r="20" spans="1:8" ht="12.75">
      <c r="A20" s="213"/>
      <c r="B20" s="214"/>
      <c r="C20" s="218"/>
      <c r="D20" s="216"/>
      <c r="E20" s="216"/>
      <c r="F20" s="212">
        <f t="shared" si="0"/>
      </c>
      <c r="G20" s="129" t="e">
        <f>IF(#REF!="",-E20+D20,"")</f>
        <v>#REF!</v>
      </c>
      <c r="H20" s="139"/>
    </row>
    <row r="21" spans="1:8" ht="12.75">
      <c r="A21" s="213"/>
      <c r="B21" s="214"/>
      <c r="C21" s="218"/>
      <c r="D21" s="216"/>
      <c r="E21" s="216"/>
      <c r="F21" s="212">
        <f t="shared" si="0"/>
      </c>
      <c r="G21" s="129" t="e">
        <f>IF(#REF!="",-E21+D21,"")</f>
        <v>#REF!</v>
      </c>
      <c r="H21" s="139"/>
    </row>
    <row r="22" spans="1:8" ht="12.75">
      <c r="A22" s="213"/>
      <c r="B22" s="214"/>
      <c r="C22" s="218"/>
      <c r="D22" s="216"/>
      <c r="E22" s="216"/>
      <c r="F22" s="212">
        <f t="shared" si="0"/>
      </c>
      <c r="G22" s="129" t="e">
        <f aca="true" t="shared" si="1" ref="G22:G34">IF(#REF!="",-E22+D22,"")</f>
        <v>#REF!</v>
      </c>
      <c r="H22" s="116"/>
    </row>
    <row r="23" spans="1:8" ht="12.75">
      <c r="A23" s="213"/>
      <c r="B23" s="214"/>
      <c r="C23" s="218"/>
      <c r="D23" s="216"/>
      <c r="E23" s="216"/>
      <c r="F23" s="212">
        <f t="shared" si="0"/>
      </c>
      <c r="G23" s="129" t="e">
        <f t="shared" si="1"/>
        <v>#REF!</v>
      </c>
      <c r="H23" s="116"/>
    </row>
    <row r="24" spans="1:8" ht="12.75">
      <c r="A24" s="213"/>
      <c r="B24" s="214"/>
      <c r="C24" s="218"/>
      <c r="D24" s="216"/>
      <c r="E24" s="216"/>
      <c r="F24" s="212">
        <f t="shared" si="0"/>
      </c>
      <c r="G24" s="129" t="e">
        <f t="shared" si="1"/>
        <v>#REF!</v>
      </c>
      <c r="H24" s="116"/>
    </row>
    <row r="25" spans="1:8" ht="12.75">
      <c r="A25" s="213"/>
      <c r="B25" s="214"/>
      <c r="C25" s="218"/>
      <c r="D25" s="216"/>
      <c r="E25" s="216"/>
      <c r="F25" s="212">
        <f t="shared" si="0"/>
      </c>
      <c r="G25" s="129" t="e">
        <f t="shared" si="1"/>
        <v>#REF!</v>
      </c>
      <c r="H25" s="139"/>
    </row>
    <row r="26" spans="1:8" ht="12.75">
      <c r="A26" s="213"/>
      <c r="B26" s="214"/>
      <c r="C26" s="218"/>
      <c r="D26" s="216"/>
      <c r="E26" s="216"/>
      <c r="F26" s="212">
        <f t="shared" si="0"/>
      </c>
      <c r="G26" s="129" t="e">
        <f t="shared" si="1"/>
        <v>#REF!</v>
      </c>
      <c r="H26" s="139"/>
    </row>
    <row r="27" spans="1:8" ht="12.75">
      <c r="A27" s="213"/>
      <c r="B27" s="214"/>
      <c r="C27" s="218"/>
      <c r="D27" s="216"/>
      <c r="E27" s="216"/>
      <c r="F27" s="212">
        <f t="shared" si="0"/>
      </c>
      <c r="G27" s="129" t="e">
        <f t="shared" si="1"/>
        <v>#REF!</v>
      </c>
      <c r="H27" s="116"/>
    </row>
    <row r="28" spans="1:8" ht="12.75">
      <c r="A28" s="213"/>
      <c r="B28" s="214"/>
      <c r="C28" s="218"/>
      <c r="D28" s="216"/>
      <c r="E28" s="216"/>
      <c r="F28" s="212">
        <f t="shared" si="0"/>
      </c>
      <c r="G28" s="129" t="e">
        <f t="shared" si="1"/>
        <v>#REF!</v>
      </c>
      <c r="H28" s="116"/>
    </row>
    <row r="29" spans="1:8" ht="12.75">
      <c r="A29" s="213"/>
      <c r="B29" s="214"/>
      <c r="C29" s="218"/>
      <c r="D29" s="216"/>
      <c r="E29" s="216"/>
      <c r="F29" s="212">
        <f t="shared" si="0"/>
      </c>
      <c r="G29" s="129" t="e">
        <f t="shared" si="1"/>
        <v>#REF!</v>
      </c>
      <c r="H29" s="116"/>
    </row>
    <row r="30" spans="1:8" ht="12.75">
      <c r="A30" s="213"/>
      <c r="B30" s="214"/>
      <c r="C30" s="218"/>
      <c r="D30" s="216"/>
      <c r="E30" s="216"/>
      <c r="F30" s="212">
        <f t="shared" si="0"/>
      </c>
      <c r="G30" s="129" t="e">
        <f t="shared" si="1"/>
        <v>#REF!</v>
      </c>
      <c r="H30" s="116"/>
    </row>
    <row r="31" spans="1:8" ht="12.75">
      <c r="A31" s="213"/>
      <c r="B31" s="214"/>
      <c r="C31" s="218"/>
      <c r="D31" s="216"/>
      <c r="E31" s="216"/>
      <c r="F31" s="212">
        <f t="shared" si="0"/>
      </c>
      <c r="G31" s="129" t="e">
        <f t="shared" si="1"/>
        <v>#REF!</v>
      </c>
      <c r="H31" s="116"/>
    </row>
    <row r="32" spans="1:8" ht="12.75">
      <c r="A32" s="213"/>
      <c r="B32" s="214"/>
      <c r="C32" s="215"/>
      <c r="D32" s="216"/>
      <c r="E32" s="216"/>
      <c r="F32" s="212">
        <f t="shared" si="0"/>
      </c>
      <c r="G32" s="129" t="e">
        <f t="shared" si="1"/>
        <v>#REF!</v>
      </c>
      <c r="H32" s="116"/>
    </row>
    <row r="33" spans="1:7" ht="12.75">
      <c r="A33" s="213"/>
      <c r="B33" s="214"/>
      <c r="C33" s="215"/>
      <c r="D33" s="216"/>
      <c r="E33" s="216"/>
      <c r="F33" s="212">
        <f t="shared" si="0"/>
      </c>
      <c r="G33" s="129" t="e">
        <f t="shared" si="1"/>
        <v>#REF!</v>
      </c>
    </row>
    <row r="34" spans="1:8" ht="12.75">
      <c r="A34" s="213"/>
      <c r="B34" s="214"/>
      <c r="C34" s="215"/>
      <c r="D34" s="216"/>
      <c r="E34" s="216"/>
      <c r="F34" s="212">
        <f t="shared" si="0"/>
      </c>
      <c r="G34" s="129" t="e">
        <f t="shared" si="1"/>
        <v>#REF!</v>
      </c>
      <c r="H34" s="220"/>
    </row>
    <row r="35" spans="1:7" ht="12.75">
      <c r="A35" s="213"/>
      <c r="B35" s="221"/>
      <c r="C35" s="218"/>
      <c r="D35" s="216"/>
      <c r="E35" s="216"/>
      <c r="F35" s="212">
        <f t="shared" si="0"/>
      </c>
      <c r="G35" s="129" t="e">
        <f aca="true" t="shared" si="2" ref="G35:G49">IF(#REF!="",-E36+D36,"")</f>
        <v>#REF!</v>
      </c>
    </row>
    <row r="36" spans="1:7" ht="12.75">
      <c r="A36" s="213"/>
      <c r="B36" s="214"/>
      <c r="C36" s="215"/>
      <c r="D36" s="216"/>
      <c r="E36" s="216"/>
      <c r="F36" s="212">
        <f t="shared" si="0"/>
      </c>
      <c r="G36" s="129" t="e">
        <f t="shared" si="2"/>
        <v>#REF!</v>
      </c>
    </row>
    <row r="37" spans="1:7" ht="12.75">
      <c r="A37" s="213"/>
      <c r="B37" s="214"/>
      <c r="C37" s="218"/>
      <c r="D37" s="216"/>
      <c r="E37" s="216"/>
      <c r="F37" s="212">
        <f t="shared" si="0"/>
      </c>
      <c r="G37" s="129" t="e">
        <f t="shared" si="2"/>
        <v>#REF!</v>
      </c>
    </row>
    <row r="38" spans="1:7" ht="12.75">
      <c r="A38" s="213"/>
      <c r="B38" s="214"/>
      <c r="C38" s="215"/>
      <c r="D38" s="216"/>
      <c r="E38" s="216"/>
      <c r="F38" s="212">
        <f t="shared" si="0"/>
      </c>
      <c r="G38" s="129" t="e">
        <f t="shared" si="2"/>
        <v>#REF!</v>
      </c>
    </row>
    <row r="39" spans="1:7" ht="12.75">
      <c r="A39" s="213"/>
      <c r="B39" s="214"/>
      <c r="C39" s="218"/>
      <c r="D39" s="216"/>
      <c r="E39" s="216"/>
      <c r="F39" s="212">
        <f t="shared" si="0"/>
      </c>
      <c r="G39" s="129" t="e">
        <f t="shared" si="2"/>
        <v>#REF!</v>
      </c>
    </row>
    <row r="40" spans="1:7" ht="12.75">
      <c r="A40" s="213"/>
      <c r="B40" s="214"/>
      <c r="C40" s="218"/>
      <c r="D40" s="216"/>
      <c r="E40" s="216"/>
      <c r="F40" s="212">
        <f t="shared" si="0"/>
      </c>
      <c r="G40" s="129" t="e">
        <f t="shared" si="2"/>
        <v>#REF!</v>
      </c>
    </row>
    <row r="41" spans="1:8" ht="12.75">
      <c r="A41" s="213"/>
      <c r="B41" s="214"/>
      <c r="C41" s="215"/>
      <c r="D41" s="216"/>
      <c r="E41" s="216"/>
      <c r="F41" s="212">
        <f t="shared" si="0"/>
      </c>
      <c r="G41" s="129" t="e">
        <f t="shared" si="2"/>
        <v>#REF!</v>
      </c>
      <c r="H41" s="132"/>
    </row>
    <row r="42" spans="1:7" ht="12.75">
      <c r="A42" s="213"/>
      <c r="B42" s="214"/>
      <c r="C42" s="218"/>
      <c r="D42" s="216"/>
      <c r="E42" s="216"/>
      <c r="F42" s="212">
        <f t="shared" si="0"/>
      </c>
      <c r="G42" s="129" t="e">
        <f t="shared" si="2"/>
        <v>#REF!</v>
      </c>
    </row>
    <row r="43" spans="1:7" ht="12.75">
      <c r="A43" s="213"/>
      <c r="B43" s="214"/>
      <c r="C43" s="218"/>
      <c r="D43" s="216"/>
      <c r="E43" s="216"/>
      <c r="F43" s="212">
        <f t="shared" si="0"/>
      </c>
      <c r="G43" s="129" t="e">
        <f t="shared" si="2"/>
        <v>#REF!</v>
      </c>
    </row>
    <row r="44" spans="1:7" ht="12.75">
      <c r="A44" s="213"/>
      <c r="B44" s="214"/>
      <c r="C44" s="218"/>
      <c r="D44" s="216"/>
      <c r="E44" s="216"/>
      <c r="F44" s="212">
        <f t="shared" si="0"/>
      </c>
      <c r="G44" s="129" t="e">
        <f t="shared" si="2"/>
        <v>#REF!</v>
      </c>
    </row>
    <row r="45" spans="1:7" ht="12.75">
      <c r="A45" s="213"/>
      <c r="B45" s="214"/>
      <c r="C45" s="218"/>
      <c r="D45" s="216"/>
      <c r="E45" s="216"/>
      <c r="F45" s="212">
        <f t="shared" si="0"/>
      </c>
      <c r="G45" s="129" t="e">
        <f t="shared" si="2"/>
        <v>#REF!</v>
      </c>
    </row>
    <row r="46" spans="1:7" ht="12.75">
      <c r="A46" s="213"/>
      <c r="B46" s="214"/>
      <c r="C46" s="215"/>
      <c r="D46" s="216"/>
      <c r="E46" s="216"/>
      <c r="F46" s="212">
        <f t="shared" si="0"/>
      </c>
      <c r="G46" s="129" t="e">
        <f t="shared" si="2"/>
        <v>#REF!</v>
      </c>
    </row>
    <row r="47" spans="1:7" ht="12.75">
      <c r="A47" s="213"/>
      <c r="B47" s="214"/>
      <c r="C47" s="215"/>
      <c r="D47" s="216"/>
      <c r="E47" s="216"/>
      <c r="F47" s="212">
        <f t="shared" si="0"/>
      </c>
      <c r="G47" s="129" t="e">
        <f t="shared" si="2"/>
        <v>#REF!</v>
      </c>
    </row>
    <row r="48" spans="1:7" ht="12.75">
      <c r="A48" s="213"/>
      <c r="B48" s="221"/>
      <c r="C48" s="218"/>
      <c r="D48" s="216"/>
      <c r="E48" s="216"/>
      <c r="F48" s="212">
        <f t="shared" si="0"/>
      </c>
      <c r="G48" s="129" t="e">
        <f t="shared" si="2"/>
        <v>#REF!</v>
      </c>
    </row>
    <row r="49" spans="1:7" ht="12.75">
      <c r="A49" s="213"/>
      <c r="B49" s="214"/>
      <c r="C49" s="218"/>
      <c r="D49" s="216"/>
      <c r="E49" s="216"/>
      <c r="F49" s="212">
        <f t="shared" si="0"/>
      </c>
      <c r="G49" s="129" t="e">
        <f t="shared" si="2"/>
        <v>#REF!</v>
      </c>
    </row>
    <row r="50" spans="1:7" ht="12.75">
      <c r="A50" s="213"/>
      <c r="B50" s="214"/>
      <c r="C50" s="218"/>
      <c r="D50" s="216"/>
      <c r="E50" s="216"/>
      <c r="F50" s="212">
        <f t="shared" si="0"/>
      </c>
      <c r="G50" s="129" t="e">
        <f aca="true" t="shared" si="3" ref="G50:G93">IF(#REF!="",-#REF!+#REF!,"")</f>
        <v>#REF!</v>
      </c>
    </row>
    <row r="51" spans="1:7" ht="12.75">
      <c r="A51" s="213"/>
      <c r="B51" s="214"/>
      <c r="C51" s="215"/>
      <c r="D51" s="216"/>
      <c r="E51" s="216"/>
      <c r="F51" s="212">
        <f t="shared" si="0"/>
      </c>
      <c r="G51" s="129" t="e">
        <f t="shared" si="3"/>
        <v>#REF!</v>
      </c>
    </row>
    <row r="52" spans="1:8" ht="12.75">
      <c r="A52" s="213"/>
      <c r="B52" s="214"/>
      <c r="C52" s="215"/>
      <c r="D52" s="216"/>
      <c r="E52" s="216"/>
      <c r="F52" s="212">
        <f t="shared" si="0"/>
      </c>
      <c r="G52" s="129" t="e">
        <f t="shared" si="3"/>
        <v>#REF!</v>
      </c>
      <c r="H52" s="132"/>
    </row>
    <row r="53" spans="1:8" ht="12.75">
      <c r="A53" s="213"/>
      <c r="B53" s="214"/>
      <c r="C53" s="215"/>
      <c r="D53" s="216"/>
      <c r="E53" s="216"/>
      <c r="F53" s="212">
        <f t="shared" si="0"/>
      </c>
      <c r="G53" s="129" t="e">
        <f t="shared" si="3"/>
        <v>#REF!</v>
      </c>
      <c r="H53" s="200"/>
    </row>
    <row r="54" spans="1:7" ht="12.75">
      <c r="A54" s="213"/>
      <c r="B54" s="221"/>
      <c r="C54" s="215"/>
      <c r="D54" s="216"/>
      <c r="E54" s="216"/>
      <c r="F54" s="212">
        <f t="shared" si="0"/>
      </c>
      <c r="G54" s="129" t="e">
        <f t="shared" si="3"/>
        <v>#REF!</v>
      </c>
    </row>
    <row r="55" spans="1:7" ht="12.75">
      <c r="A55" s="222"/>
      <c r="B55" s="214"/>
      <c r="C55" s="218"/>
      <c r="D55" s="216"/>
      <c r="E55" s="216"/>
      <c r="F55" s="212">
        <f t="shared" si="0"/>
      </c>
      <c r="G55" s="129" t="e">
        <f t="shared" si="3"/>
        <v>#REF!</v>
      </c>
    </row>
    <row r="56" spans="1:7" ht="12.75">
      <c r="A56" s="222"/>
      <c r="B56" s="214"/>
      <c r="C56" s="215"/>
      <c r="D56" s="216"/>
      <c r="E56" s="216"/>
      <c r="F56" s="212">
        <f t="shared" si="0"/>
      </c>
      <c r="G56" s="129" t="e">
        <f t="shared" si="3"/>
        <v>#REF!</v>
      </c>
    </row>
    <row r="57" spans="1:7" ht="12.75">
      <c r="A57" s="222"/>
      <c r="B57" s="214"/>
      <c r="C57" s="215"/>
      <c r="D57" s="216"/>
      <c r="E57" s="216"/>
      <c r="F57" s="212">
        <f t="shared" si="0"/>
      </c>
      <c r="G57" s="129" t="e">
        <f t="shared" si="3"/>
        <v>#REF!</v>
      </c>
    </row>
    <row r="58" spans="1:7" ht="12.75">
      <c r="A58" s="222"/>
      <c r="B58" s="221"/>
      <c r="C58" s="221"/>
      <c r="D58" s="216"/>
      <c r="E58" s="216"/>
      <c r="F58" s="212">
        <f t="shared" si="0"/>
      </c>
      <c r="G58" s="129" t="e">
        <f t="shared" si="3"/>
        <v>#REF!</v>
      </c>
    </row>
    <row r="59" spans="1:7" ht="12.75">
      <c r="A59" s="222"/>
      <c r="B59" s="214"/>
      <c r="C59" s="218"/>
      <c r="D59" s="216"/>
      <c r="E59" s="216"/>
      <c r="F59" s="212">
        <f t="shared" si="0"/>
      </c>
      <c r="G59" s="129" t="e">
        <f t="shared" si="3"/>
        <v>#REF!</v>
      </c>
    </row>
    <row r="60" spans="1:7" ht="12.75">
      <c r="A60" s="222"/>
      <c r="B60" s="214"/>
      <c r="C60" s="218"/>
      <c r="D60" s="216"/>
      <c r="E60" s="216"/>
      <c r="F60" s="212">
        <f t="shared" si="0"/>
      </c>
      <c r="G60" s="129" t="e">
        <f t="shared" si="3"/>
        <v>#REF!</v>
      </c>
    </row>
    <row r="61" spans="1:7" ht="12.75">
      <c r="A61" s="222"/>
      <c r="B61" s="214"/>
      <c r="C61" s="218"/>
      <c r="D61" s="216"/>
      <c r="E61" s="216"/>
      <c r="F61" s="212">
        <f t="shared" si="0"/>
      </c>
      <c r="G61" s="129" t="e">
        <f t="shared" si="3"/>
        <v>#REF!</v>
      </c>
    </row>
    <row r="62" spans="1:7" ht="12.75">
      <c r="A62" s="222"/>
      <c r="B62" s="214"/>
      <c r="C62" s="218"/>
      <c r="D62" s="216"/>
      <c r="E62" s="216"/>
      <c r="F62" s="212">
        <f t="shared" si="0"/>
      </c>
      <c r="G62" s="129" t="e">
        <f t="shared" si="3"/>
        <v>#REF!</v>
      </c>
    </row>
    <row r="63" spans="1:7" ht="12.75">
      <c r="A63" s="222"/>
      <c r="B63" s="214"/>
      <c r="C63" s="218"/>
      <c r="D63" s="216"/>
      <c r="E63" s="223"/>
      <c r="F63" s="212">
        <f t="shared" si="0"/>
      </c>
      <c r="G63" s="129" t="e">
        <f t="shared" si="3"/>
        <v>#REF!</v>
      </c>
    </row>
    <row r="64" spans="1:7" ht="12.75">
      <c r="A64" s="222"/>
      <c r="B64" s="214"/>
      <c r="C64" s="218"/>
      <c r="D64" s="216"/>
      <c r="E64" s="216"/>
      <c r="F64" s="212">
        <f t="shared" si="0"/>
      </c>
      <c r="G64" s="129" t="e">
        <f t="shared" si="3"/>
        <v>#REF!</v>
      </c>
    </row>
    <row r="65" spans="1:7" ht="12.75">
      <c r="A65" s="222"/>
      <c r="B65" s="214"/>
      <c r="C65" s="218"/>
      <c r="D65" s="216"/>
      <c r="E65" s="216"/>
      <c r="F65" s="212">
        <f t="shared" si="0"/>
      </c>
      <c r="G65" s="129" t="e">
        <f t="shared" si="3"/>
        <v>#REF!</v>
      </c>
    </row>
    <row r="66" spans="1:8" ht="12.75">
      <c r="A66" s="222"/>
      <c r="B66" s="214"/>
      <c r="C66" s="218"/>
      <c r="D66" s="216"/>
      <c r="E66" s="216"/>
      <c r="F66" s="212">
        <f t="shared" si="0"/>
      </c>
      <c r="G66" s="129" t="e">
        <f t="shared" si="3"/>
        <v>#REF!</v>
      </c>
      <c r="H66" s="132"/>
    </row>
    <row r="67" spans="1:7" ht="12.75">
      <c r="A67" s="222"/>
      <c r="B67" s="214"/>
      <c r="C67" s="218"/>
      <c r="D67" s="216"/>
      <c r="E67" s="216"/>
      <c r="F67" s="212">
        <f t="shared" si="0"/>
      </c>
      <c r="G67" s="129" t="e">
        <f t="shared" si="3"/>
        <v>#REF!</v>
      </c>
    </row>
    <row r="68" spans="1:7" ht="12.75">
      <c r="A68" s="222"/>
      <c r="B68" s="214"/>
      <c r="C68" s="218"/>
      <c r="D68" s="216"/>
      <c r="E68" s="216"/>
      <c r="F68" s="212">
        <f t="shared" si="0"/>
      </c>
      <c r="G68" s="129" t="e">
        <f t="shared" si="3"/>
        <v>#REF!</v>
      </c>
    </row>
    <row r="69" spans="1:7" ht="12.75">
      <c r="A69" s="222"/>
      <c r="B69" s="214"/>
      <c r="C69" s="215"/>
      <c r="D69" s="216"/>
      <c r="E69" s="216"/>
      <c r="F69" s="212">
        <f t="shared" si="0"/>
      </c>
      <c r="G69" s="129" t="e">
        <f t="shared" si="3"/>
        <v>#REF!</v>
      </c>
    </row>
    <row r="70" spans="1:7" ht="12.75">
      <c r="A70" s="222"/>
      <c r="B70" s="214"/>
      <c r="C70" s="221"/>
      <c r="D70" s="216"/>
      <c r="E70" s="216"/>
      <c r="F70" s="212">
        <f t="shared" si="0"/>
      </c>
      <c r="G70" s="129" t="e">
        <f t="shared" si="3"/>
        <v>#REF!</v>
      </c>
    </row>
    <row r="71" spans="1:7" ht="12.75">
      <c r="A71" s="222"/>
      <c r="B71" s="214"/>
      <c r="C71" s="221"/>
      <c r="D71" s="216"/>
      <c r="E71" s="216"/>
      <c r="F71" s="212">
        <f t="shared" si="0"/>
      </c>
      <c r="G71" s="129" t="e">
        <f t="shared" si="3"/>
        <v>#REF!</v>
      </c>
    </row>
    <row r="72" spans="1:7" ht="12.75">
      <c r="A72" s="222"/>
      <c r="B72" s="214"/>
      <c r="C72" s="221"/>
      <c r="D72" s="216"/>
      <c r="E72" s="216"/>
      <c r="F72" s="212">
        <f t="shared" si="0"/>
      </c>
      <c r="G72" s="129" t="e">
        <f t="shared" si="3"/>
        <v>#REF!</v>
      </c>
    </row>
    <row r="73" spans="1:7" ht="12.75">
      <c r="A73" s="222"/>
      <c r="B73" s="214"/>
      <c r="C73" s="221"/>
      <c r="D73" s="216"/>
      <c r="E73" s="216"/>
      <c r="F73" s="212">
        <f t="shared" si="0"/>
      </c>
      <c r="G73" s="129" t="e">
        <f t="shared" si="3"/>
        <v>#REF!</v>
      </c>
    </row>
    <row r="74" spans="1:7" ht="12.75">
      <c r="A74" s="222"/>
      <c r="B74" s="214"/>
      <c r="C74" s="221"/>
      <c r="D74" s="216"/>
      <c r="E74" s="216"/>
      <c r="F74" s="212">
        <f t="shared" si="0"/>
      </c>
      <c r="G74" s="129" t="e">
        <f t="shared" si="3"/>
        <v>#REF!</v>
      </c>
    </row>
    <row r="75" spans="1:7" ht="12.75">
      <c r="A75" s="222"/>
      <c r="B75" s="214"/>
      <c r="C75" s="221"/>
      <c r="D75" s="216"/>
      <c r="E75" s="216"/>
      <c r="F75" s="212">
        <f t="shared" si="0"/>
      </c>
      <c r="G75" s="129" t="e">
        <f t="shared" si="3"/>
        <v>#REF!</v>
      </c>
    </row>
    <row r="76" spans="1:7" ht="12.75">
      <c r="A76" s="222"/>
      <c r="B76" s="214"/>
      <c r="C76" s="221"/>
      <c r="D76" s="216"/>
      <c r="E76" s="216"/>
      <c r="F76" s="212">
        <f t="shared" si="0"/>
      </c>
      <c r="G76" s="129" t="e">
        <f t="shared" si="3"/>
        <v>#REF!</v>
      </c>
    </row>
    <row r="77" spans="1:7" ht="12.75">
      <c r="A77" s="222"/>
      <c r="B77" s="214"/>
      <c r="C77" s="221"/>
      <c r="D77" s="216"/>
      <c r="E77" s="216"/>
      <c r="F77" s="212">
        <f t="shared" si="0"/>
      </c>
      <c r="G77" s="129" t="e">
        <f t="shared" si="3"/>
        <v>#REF!</v>
      </c>
    </row>
    <row r="78" spans="1:7" ht="12.75">
      <c r="A78" s="222"/>
      <c r="B78" s="214"/>
      <c r="C78" s="221"/>
      <c r="D78" s="216"/>
      <c r="E78" s="216"/>
      <c r="F78" s="212">
        <f t="shared" si="0"/>
      </c>
      <c r="G78" s="129" t="e">
        <f t="shared" si="3"/>
        <v>#REF!</v>
      </c>
    </row>
    <row r="79" spans="1:7" ht="12.75">
      <c r="A79" s="222"/>
      <c r="B79" s="214"/>
      <c r="C79" s="221"/>
      <c r="D79" s="216"/>
      <c r="E79" s="216"/>
      <c r="F79" s="212">
        <f t="shared" si="0"/>
      </c>
      <c r="G79" s="129" t="e">
        <f t="shared" si="3"/>
        <v>#REF!</v>
      </c>
    </row>
    <row r="80" spans="1:7" ht="12.75">
      <c r="A80" s="222"/>
      <c r="B80" s="214"/>
      <c r="C80" s="221"/>
      <c r="D80" s="216"/>
      <c r="E80" s="216"/>
      <c r="F80" s="212">
        <f t="shared" si="0"/>
      </c>
      <c r="G80" s="129" t="e">
        <f t="shared" si="3"/>
        <v>#REF!</v>
      </c>
    </row>
    <row r="81" spans="1:7" ht="12.75">
      <c r="A81" s="222"/>
      <c r="B81" s="214"/>
      <c r="C81" s="221"/>
      <c r="D81" s="216"/>
      <c r="E81" s="216"/>
      <c r="F81" s="212">
        <f t="shared" si="0"/>
      </c>
      <c r="G81" s="129" t="e">
        <f t="shared" si="3"/>
        <v>#REF!</v>
      </c>
    </row>
    <row r="82" spans="1:7" ht="12.75">
      <c r="A82" s="222"/>
      <c r="B82" s="214"/>
      <c r="C82" s="221"/>
      <c r="D82" s="216"/>
      <c r="E82" s="216"/>
      <c r="F82" s="212">
        <f t="shared" si="0"/>
      </c>
      <c r="G82" s="129" t="e">
        <f t="shared" si="3"/>
        <v>#REF!</v>
      </c>
    </row>
    <row r="83" spans="1:7" ht="12.75">
      <c r="A83" s="222"/>
      <c r="B83" s="214"/>
      <c r="C83" s="221"/>
      <c r="D83" s="216"/>
      <c r="E83" s="216"/>
      <c r="F83" s="212">
        <f t="shared" si="0"/>
      </c>
      <c r="G83" s="129" t="e">
        <f t="shared" si="3"/>
        <v>#REF!</v>
      </c>
    </row>
    <row r="84" spans="1:7" ht="12.75">
      <c r="A84" s="222"/>
      <c r="B84" s="214"/>
      <c r="C84" s="221"/>
      <c r="D84" s="216"/>
      <c r="E84" s="216"/>
      <c r="F84" s="212">
        <f t="shared" si="0"/>
      </c>
      <c r="G84" s="129" t="e">
        <f t="shared" si="3"/>
        <v>#REF!</v>
      </c>
    </row>
    <row r="85" spans="1:7" ht="12.75">
      <c r="A85" s="222"/>
      <c r="B85" s="214"/>
      <c r="C85" s="221"/>
      <c r="D85" s="216"/>
      <c r="E85" s="216"/>
      <c r="F85" s="212">
        <f t="shared" si="0"/>
      </c>
      <c r="G85" s="129" t="e">
        <f t="shared" si="3"/>
        <v>#REF!</v>
      </c>
    </row>
    <row r="86" spans="1:7" ht="12.75">
      <c r="A86" s="222"/>
      <c r="B86" s="214"/>
      <c r="C86" s="221"/>
      <c r="D86" s="216"/>
      <c r="E86" s="216"/>
      <c r="F86" s="212">
        <f t="shared" si="0"/>
      </c>
      <c r="G86" s="129" t="e">
        <f t="shared" si="3"/>
        <v>#REF!</v>
      </c>
    </row>
    <row r="87" spans="1:7" ht="12.75">
      <c r="A87" s="222"/>
      <c r="B87" s="214"/>
      <c r="C87" s="221"/>
      <c r="D87" s="216"/>
      <c r="E87" s="216"/>
      <c r="F87" s="212">
        <f t="shared" si="0"/>
      </c>
      <c r="G87" s="129" t="e">
        <f t="shared" si="3"/>
        <v>#REF!</v>
      </c>
    </row>
    <row r="88" spans="1:7" ht="12.75">
      <c r="A88" s="222"/>
      <c r="B88" s="214"/>
      <c r="C88" s="221"/>
      <c r="D88" s="216"/>
      <c r="E88" s="216"/>
      <c r="F88" s="212">
        <f t="shared" si="0"/>
      </c>
      <c r="G88" s="129" t="e">
        <f t="shared" si="3"/>
        <v>#REF!</v>
      </c>
    </row>
    <row r="89" spans="1:7" ht="12.75">
      <c r="A89" s="222"/>
      <c r="B89" s="214"/>
      <c r="C89" s="221"/>
      <c r="D89" s="216"/>
      <c r="E89" s="216"/>
      <c r="F89" s="212">
        <f t="shared" si="0"/>
      </c>
      <c r="G89" s="129" t="e">
        <f t="shared" si="3"/>
        <v>#REF!</v>
      </c>
    </row>
    <row r="90" spans="1:7" ht="12.75">
      <c r="A90" s="222"/>
      <c r="B90" s="214"/>
      <c r="C90" s="221"/>
      <c r="D90" s="216"/>
      <c r="E90" s="216"/>
      <c r="F90" s="212">
        <f t="shared" si="0"/>
      </c>
      <c r="G90" s="129" t="e">
        <f t="shared" si="3"/>
        <v>#REF!</v>
      </c>
    </row>
    <row r="91" spans="1:7" ht="12.75">
      <c r="A91" s="222"/>
      <c r="B91" s="214"/>
      <c r="C91" s="221"/>
      <c r="D91" s="216"/>
      <c r="E91" s="216"/>
      <c r="F91" s="212">
        <f t="shared" si="0"/>
      </c>
      <c r="G91" s="129" t="e">
        <f t="shared" si="3"/>
        <v>#REF!</v>
      </c>
    </row>
    <row r="92" spans="1:7" ht="12.75">
      <c r="A92" s="222"/>
      <c r="B92" s="214"/>
      <c r="C92" s="221"/>
      <c r="D92" s="216"/>
      <c r="E92" s="216"/>
      <c r="F92" s="212">
        <f t="shared" si="0"/>
      </c>
      <c r="G92" s="129" t="e">
        <f t="shared" si="3"/>
        <v>#REF!</v>
      </c>
    </row>
    <row r="93" spans="1:7" ht="12.75">
      <c r="A93" s="222"/>
      <c r="B93" s="214"/>
      <c r="C93" s="221"/>
      <c r="D93" s="216"/>
      <c r="E93" s="216"/>
      <c r="F93" s="212">
        <f t="shared" si="0"/>
      </c>
      <c r="G93" s="129" t="e">
        <f t="shared" si="3"/>
        <v>#REF!</v>
      </c>
    </row>
    <row r="94" spans="1:7" ht="12.75">
      <c r="A94" s="222"/>
      <c r="B94" s="214"/>
      <c r="C94" s="221"/>
      <c r="D94" s="216"/>
      <c r="E94" s="216"/>
      <c r="F94" s="212">
        <f t="shared" si="0"/>
      </c>
      <c r="G94" s="129"/>
    </row>
    <row r="95" spans="1:7" ht="12.75">
      <c r="A95" s="222"/>
      <c r="B95" s="214"/>
      <c r="C95" s="221"/>
      <c r="D95" s="216"/>
      <c r="E95" s="216"/>
      <c r="F95" s="212">
        <f t="shared" si="0"/>
      </c>
      <c r="G95" s="129" t="e">
        <f aca="true" t="shared" si="4" ref="G95:G100">IF(#REF!="",-#REF!+#REF!,"")</f>
        <v>#REF!</v>
      </c>
    </row>
    <row r="96" spans="1:7" ht="12.75">
      <c r="A96" s="222"/>
      <c r="B96" s="214"/>
      <c r="C96" s="221"/>
      <c r="D96" s="216"/>
      <c r="E96" s="216"/>
      <c r="F96" s="212">
        <f t="shared" si="0"/>
      </c>
      <c r="G96" s="129" t="e">
        <f t="shared" si="4"/>
        <v>#REF!</v>
      </c>
    </row>
    <row r="97" spans="1:7" ht="12.75">
      <c r="A97" s="222"/>
      <c r="B97" s="214"/>
      <c r="C97" s="221"/>
      <c r="D97" s="216"/>
      <c r="E97" s="216"/>
      <c r="F97" s="212">
        <f t="shared" si="0"/>
      </c>
      <c r="G97" s="129" t="e">
        <f t="shared" si="4"/>
        <v>#REF!</v>
      </c>
    </row>
    <row r="98" spans="1:7" ht="12.75">
      <c r="A98" s="222"/>
      <c r="B98" s="214"/>
      <c r="C98" s="221"/>
      <c r="D98" s="216"/>
      <c r="E98" s="216"/>
      <c r="F98" s="212">
        <f t="shared" si="0"/>
      </c>
      <c r="G98" s="129" t="e">
        <f t="shared" si="4"/>
        <v>#REF!</v>
      </c>
    </row>
    <row r="99" spans="1:7" ht="12.75">
      <c r="A99" s="222"/>
      <c r="B99" s="214"/>
      <c r="C99" s="221"/>
      <c r="D99" s="216"/>
      <c r="E99" s="216"/>
      <c r="F99" s="212">
        <f t="shared" si="0"/>
      </c>
      <c r="G99" s="129" t="e">
        <f t="shared" si="4"/>
        <v>#REF!</v>
      </c>
    </row>
    <row r="100" spans="1:7" ht="12.75">
      <c r="A100" s="222"/>
      <c r="B100" s="224" t="s">
        <v>139</v>
      </c>
      <c r="C100" s="224" t="s">
        <v>139</v>
      </c>
      <c r="D100" s="216"/>
      <c r="E100" s="216"/>
      <c r="F100" s="212">
        <f t="shared" si="0"/>
      </c>
      <c r="G100" s="129" t="e">
        <f t="shared" si="4"/>
        <v>#REF!</v>
      </c>
    </row>
  </sheetData>
  <sheetProtection sheet="1" objects="1" scenarios="1" selectLockedCells="1"/>
  <mergeCells count="3">
    <mergeCell ref="B1:E1"/>
    <mergeCell ref="B2:F2"/>
    <mergeCell ref="D3:E3"/>
  </mergeCells>
  <printOptions gridLines="1" horizontalCentered="1"/>
  <pageMargins left="0.19652777777777777" right="0.19652777777777777" top="0.5902777777777778" bottom="0.9055555555555554" header="0.5118055555555555" footer="0.2361111111111111"/>
  <pageSetup horizontalDpi="300" verticalDpi="300" orientation="portrait" paperSize="9" scale="98"/>
  <headerFooter alignWithMargins="0">
    <oddFooter>&amp;C&amp;8Page &amp;P /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12">
    <tabColor indexed="53"/>
  </sheetPr>
  <dimension ref="A1:J114"/>
  <sheetViews>
    <sheetView zoomScale="140" zoomScaleNormal="140" zoomScalePageLayoutView="0" workbookViewId="0" topLeftCell="A16">
      <selection activeCell="B18" sqref="B18"/>
    </sheetView>
  </sheetViews>
  <sheetFormatPr defaultColWidth="16.8515625" defaultRowHeight="15" customHeight="1"/>
  <cols>
    <col min="1" max="1" width="4.140625" style="225" customWidth="1"/>
    <col min="2" max="2" width="40.8515625" style="225" customWidth="1"/>
    <col min="3" max="3" width="15.421875" style="225" customWidth="1"/>
    <col min="4" max="4" width="16.8515625" style="225" customWidth="1"/>
    <col min="5" max="6" width="10.57421875" style="225" customWidth="1"/>
    <col min="7" max="8" width="12.421875" style="225" customWidth="1"/>
    <col min="9" max="16384" width="16.8515625" style="225" customWidth="1"/>
  </cols>
  <sheetData>
    <row r="1" spans="1:2" ht="23.25" customHeight="1">
      <c r="A1" s="226"/>
      <c r="B1" s="227" t="s">
        <v>287</v>
      </c>
    </row>
    <row r="2" spans="1:2" ht="15" customHeight="1">
      <c r="A2" s="226"/>
      <c r="B2" s="226"/>
    </row>
    <row r="3" spans="1:2" ht="15" customHeight="1">
      <c r="A3" s="226"/>
      <c r="B3" s="226"/>
    </row>
    <row r="4" spans="1:10" ht="30.75" customHeight="1">
      <c r="A4" s="419" t="s">
        <v>288</v>
      </c>
      <c r="B4" s="419"/>
      <c r="D4" s="228"/>
      <c r="E4" s="229"/>
      <c r="F4" s="229"/>
      <c r="G4" s="230" t="s">
        <v>289</v>
      </c>
      <c r="H4" s="230" t="s">
        <v>290</v>
      </c>
      <c r="I4" s="231"/>
      <c r="J4" s="230" t="s">
        <v>291</v>
      </c>
    </row>
    <row r="5" spans="1:10" ht="15" customHeight="1">
      <c r="A5" s="232">
        <v>1</v>
      </c>
      <c r="B5" s="233" t="s">
        <v>292</v>
      </c>
      <c r="C5" s="116"/>
      <c r="D5" s="234" t="s">
        <v>293</v>
      </c>
      <c r="E5" s="235"/>
      <c r="F5" s="235"/>
      <c r="G5" s="236">
        <f>DSUM(base_de_données_espèces,"crédit",critère1)</f>
        <v>0</v>
      </c>
      <c r="H5" s="236">
        <f>DSUM(base_de_données_banque,"crédit",critère1)</f>
        <v>0</v>
      </c>
      <c r="I5" s="237" t="s">
        <v>294</v>
      </c>
      <c r="J5" s="238">
        <f aca="true" t="shared" si="0" ref="J5:J100">+H5+G5</f>
        <v>0</v>
      </c>
    </row>
    <row r="6" spans="1:10" ht="15" customHeight="1">
      <c r="A6" s="232">
        <v>2</v>
      </c>
      <c r="B6" s="233" t="s">
        <v>155</v>
      </c>
      <c r="C6" s="116"/>
      <c r="D6" s="239" t="s">
        <v>106</v>
      </c>
      <c r="E6" s="240" t="s">
        <v>107</v>
      </c>
      <c r="F6" s="240" t="s">
        <v>108</v>
      </c>
      <c r="G6" s="241">
        <f>DSUM(base_de_données_espèces,"débit",critère1)</f>
        <v>0</v>
      </c>
      <c r="H6" s="241">
        <f>DSUM(base_de_données_banque,"débit",critère1)</f>
        <v>0</v>
      </c>
      <c r="I6" s="237" t="s">
        <v>295</v>
      </c>
      <c r="J6" s="238">
        <f t="shared" si="0"/>
        <v>0</v>
      </c>
    </row>
    <row r="7" spans="1:10" ht="15" customHeight="1">
      <c r="A7" s="232">
        <v>3</v>
      </c>
      <c r="B7" s="233" t="s">
        <v>112</v>
      </c>
      <c r="C7" s="116"/>
      <c r="D7" s="242" t="str">
        <f>$B$5</f>
        <v>régul ex précédent</v>
      </c>
      <c r="E7" s="243"/>
      <c r="F7" s="243"/>
      <c r="G7" s="244">
        <f>+G5-G6</f>
        <v>0</v>
      </c>
      <c r="H7" s="244">
        <f>+H5-H6</f>
        <v>0</v>
      </c>
      <c r="I7" s="245" t="s">
        <v>296</v>
      </c>
      <c r="J7" s="246">
        <f t="shared" si="0"/>
        <v>0</v>
      </c>
    </row>
    <row r="8" spans="1:10" ht="15" customHeight="1">
      <c r="A8" s="232">
        <v>4</v>
      </c>
      <c r="B8" s="233" t="s">
        <v>297</v>
      </c>
      <c r="C8" s="116"/>
      <c r="D8" s="234" t="s">
        <v>298</v>
      </c>
      <c r="E8" s="235"/>
      <c r="F8" s="235"/>
      <c r="G8" s="236">
        <f>DSUM(base_de_données_espèces,"crédit",critère2)</f>
        <v>0</v>
      </c>
      <c r="H8" s="236">
        <f>DSUM(base_de_données_banque,"crédit",critère2)</f>
        <v>0</v>
      </c>
      <c r="I8" s="237" t="s">
        <v>294</v>
      </c>
      <c r="J8" s="238">
        <f t="shared" si="0"/>
        <v>0</v>
      </c>
    </row>
    <row r="9" spans="1:10" ht="15" customHeight="1">
      <c r="A9" s="232">
        <v>5</v>
      </c>
      <c r="B9" s="233" t="s">
        <v>299</v>
      </c>
      <c r="C9" s="116"/>
      <c r="D9" s="239" t="s">
        <v>106</v>
      </c>
      <c r="E9" s="240" t="s">
        <v>107</v>
      </c>
      <c r="F9" s="240" t="s">
        <v>108</v>
      </c>
      <c r="G9" s="241">
        <f>DSUM(base_de_données_espèces,"débit",critère2)</f>
        <v>0</v>
      </c>
      <c r="H9" s="241">
        <f>DSUM(base_de_données_banque,"débit",critère2)</f>
        <v>100</v>
      </c>
      <c r="I9" s="237" t="s">
        <v>295</v>
      </c>
      <c r="J9" s="238">
        <f t="shared" si="0"/>
        <v>100</v>
      </c>
    </row>
    <row r="10" spans="1:10" ht="15" customHeight="1">
      <c r="A10" s="232">
        <v>6</v>
      </c>
      <c r="B10" s="233" t="s">
        <v>185</v>
      </c>
      <c r="C10" s="116"/>
      <c r="D10" s="242" t="str">
        <f>$B$6</f>
        <v>affiliation</v>
      </c>
      <c r="E10" s="243"/>
      <c r="F10" s="243"/>
      <c r="G10" s="244">
        <f>+G8-G9</f>
        <v>0</v>
      </c>
      <c r="H10" s="244">
        <f>+H8-H9</f>
        <v>-100</v>
      </c>
      <c r="I10" s="245" t="s">
        <v>296</v>
      </c>
      <c r="J10" s="246">
        <f t="shared" si="0"/>
        <v>-100</v>
      </c>
    </row>
    <row r="11" spans="1:10" ht="15" customHeight="1">
      <c r="A11" s="232">
        <v>7</v>
      </c>
      <c r="B11" s="233" t="s">
        <v>260</v>
      </c>
      <c r="C11" s="116"/>
      <c r="D11" s="234" t="s">
        <v>300</v>
      </c>
      <c r="E11" s="235"/>
      <c r="F11" s="235"/>
      <c r="G11" s="236">
        <f>DSUM(base_de_données_espèces,"crédit",critère3)</f>
        <v>216</v>
      </c>
      <c r="H11" s="236">
        <f>DSUM(base_de_données_banque,"crédit",critère3)</f>
        <v>2129</v>
      </c>
      <c r="I11" s="237" t="s">
        <v>294</v>
      </c>
      <c r="J11" s="238">
        <f t="shared" si="0"/>
        <v>2345</v>
      </c>
    </row>
    <row r="12" spans="1:10" ht="15" customHeight="1">
      <c r="A12" s="232">
        <v>8</v>
      </c>
      <c r="B12" s="233" t="s">
        <v>97</v>
      </c>
      <c r="C12" s="116"/>
      <c r="D12" s="239" t="s">
        <v>106</v>
      </c>
      <c r="E12" s="240" t="s">
        <v>107</v>
      </c>
      <c r="F12" s="240" t="s">
        <v>108</v>
      </c>
      <c r="G12" s="241">
        <f>DSUM(base_de_données_espèces,"débit",critère3)</f>
        <v>0</v>
      </c>
      <c r="H12" s="241">
        <f>DSUM(base_de_données_banque,"débit",critère3)</f>
        <v>2017</v>
      </c>
      <c r="I12" s="237" t="s">
        <v>295</v>
      </c>
      <c r="J12" s="238">
        <f t="shared" si="0"/>
        <v>2017</v>
      </c>
    </row>
    <row r="13" spans="1:10" ht="15" customHeight="1">
      <c r="A13" s="232">
        <v>9</v>
      </c>
      <c r="B13" s="233" t="s">
        <v>176</v>
      </c>
      <c r="C13" s="116"/>
      <c r="D13" s="242" t="str">
        <f>$B$7</f>
        <v>licences</v>
      </c>
      <c r="E13" s="243"/>
      <c r="F13" s="243"/>
      <c r="G13" s="244">
        <f>+G11-G12</f>
        <v>216</v>
      </c>
      <c r="H13" s="244">
        <f>+H11-H12</f>
        <v>112</v>
      </c>
      <c r="I13" s="245" t="s">
        <v>296</v>
      </c>
      <c r="J13" s="246">
        <f t="shared" si="0"/>
        <v>328</v>
      </c>
    </row>
    <row r="14" spans="1:10" ht="15" customHeight="1">
      <c r="A14" s="232">
        <v>10</v>
      </c>
      <c r="B14" s="233" t="s">
        <v>28</v>
      </c>
      <c r="C14" s="116"/>
      <c r="D14" s="234" t="s">
        <v>301</v>
      </c>
      <c r="E14" s="235"/>
      <c r="F14" s="235"/>
      <c r="G14" s="236">
        <f>DSUM(base_de_données_espèces,"crédit",critère4)</f>
        <v>0</v>
      </c>
      <c r="H14" s="236">
        <f>DSUM(base_de_données_banque,"crédit",critère4)</f>
        <v>0</v>
      </c>
      <c r="I14" s="237" t="s">
        <v>294</v>
      </c>
      <c r="J14" s="238">
        <f t="shared" si="0"/>
        <v>0</v>
      </c>
    </row>
    <row r="15" spans="1:10" ht="15" customHeight="1">
      <c r="A15" s="232">
        <v>11</v>
      </c>
      <c r="B15" s="233" t="s">
        <v>302</v>
      </c>
      <c r="C15" s="116"/>
      <c r="D15" s="239" t="s">
        <v>106</v>
      </c>
      <c r="E15" s="240" t="s">
        <v>107</v>
      </c>
      <c r="F15" s="240" t="s">
        <v>108</v>
      </c>
      <c r="G15" s="241">
        <f>DSUM(base_de_données_espèces,"débit",critère4)</f>
        <v>0</v>
      </c>
      <c r="H15" s="241">
        <f>DSUM(base_de_données_banque,"débit",critère4)</f>
        <v>0</v>
      </c>
      <c r="I15" s="237" t="s">
        <v>295</v>
      </c>
      <c r="J15" s="238">
        <f t="shared" si="0"/>
        <v>0</v>
      </c>
    </row>
    <row r="16" spans="1:10" ht="15" customHeight="1">
      <c r="A16" s="232">
        <v>12</v>
      </c>
      <c r="B16" s="233" t="s">
        <v>303</v>
      </c>
      <c r="C16" s="116"/>
      <c r="D16" s="242" t="str">
        <f>$B$8</f>
        <v>adhésion du club</v>
      </c>
      <c r="E16" s="243"/>
      <c r="F16" s="243"/>
      <c r="G16" s="244">
        <f>+G14-G15</f>
        <v>0</v>
      </c>
      <c r="H16" s="244">
        <f>+H14-H15</f>
        <v>0</v>
      </c>
      <c r="I16" s="245" t="s">
        <v>296</v>
      </c>
      <c r="J16" s="246">
        <f t="shared" si="0"/>
        <v>0</v>
      </c>
    </row>
    <row r="17" spans="1:10" ht="15" customHeight="1">
      <c r="A17" s="232">
        <v>13</v>
      </c>
      <c r="B17" s="233" t="s">
        <v>222</v>
      </c>
      <c r="C17" s="116"/>
      <c r="D17" s="234" t="s">
        <v>304</v>
      </c>
      <c r="E17" s="235"/>
      <c r="F17" s="235"/>
      <c r="G17" s="236">
        <f>DSUM(base_de_données_espèces,"crédit",critère5)</f>
        <v>0</v>
      </c>
      <c r="H17" s="236">
        <f>DSUM(base_de_données_banque,"crédit",critère5)</f>
        <v>0</v>
      </c>
      <c r="I17" s="237" t="s">
        <v>294</v>
      </c>
      <c r="J17" s="238">
        <f t="shared" si="0"/>
        <v>0</v>
      </c>
    </row>
    <row r="18" spans="1:10" ht="15" customHeight="1">
      <c r="A18" s="232">
        <v>14</v>
      </c>
      <c r="B18" s="233" t="s">
        <v>33</v>
      </c>
      <c r="C18" s="116"/>
      <c r="D18" s="239" t="s">
        <v>106</v>
      </c>
      <c r="E18" s="240" t="s">
        <v>107</v>
      </c>
      <c r="F18" s="240" t="s">
        <v>108</v>
      </c>
      <c r="G18" s="241">
        <f>DSUM(base_de_données_espèces,"débit",critère5)</f>
        <v>0</v>
      </c>
      <c r="H18" s="241">
        <f>DSUM(base_de_données_banque,"débit",critère5)</f>
        <v>0</v>
      </c>
      <c r="I18" s="237" t="s">
        <v>295</v>
      </c>
      <c r="J18" s="238">
        <f t="shared" si="0"/>
        <v>0</v>
      </c>
    </row>
    <row r="19" spans="1:10" ht="15" customHeight="1">
      <c r="A19" s="232">
        <v>15</v>
      </c>
      <c r="B19" s="233" t="s">
        <v>135</v>
      </c>
      <c r="C19" s="116"/>
      <c r="D19" s="242" t="str">
        <f>$B$9</f>
        <v>défaut arbitrage</v>
      </c>
      <c r="E19" s="243"/>
      <c r="F19" s="243"/>
      <c r="G19" s="244">
        <f>+G17-G18</f>
        <v>0</v>
      </c>
      <c r="H19" s="244">
        <f>+H17-H18</f>
        <v>0</v>
      </c>
      <c r="I19" s="245" t="s">
        <v>296</v>
      </c>
      <c r="J19" s="246">
        <f t="shared" si="0"/>
        <v>0</v>
      </c>
    </row>
    <row r="20" spans="1:10" ht="15" customHeight="1">
      <c r="A20" s="232">
        <v>16</v>
      </c>
      <c r="B20" s="233" t="s">
        <v>16</v>
      </c>
      <c r="C20" s="116"/>
      <c r="D20" s="234" t="s">
        <v>305</v>
      </c>
      <c r="E20" s="235"/>
      <c r="F20" s="235"/>
      <c r="G20" s="236">
        <f>DSUM(base_de_données_espèces,"crédit",critère6)</f>
        <v>0</v>
      </c>
      <c r="H20" s="236">
        <f>DSUM(base_de_données_banque,"crédit",critère6)</f>
        <v>1</v>
      </c>
      <c r="I20" s="237" t="s">
        <v>294</v>
      </c>
      <c r="J20" s="238">
        <f t="shared" si="0"/>
        <v>1</v>
      </c>
    </row>
    <row r="21" spans="1:10" ht="15" customHeight="1">
      <c r="A21" s="232">
        <v>17</v>
      </c>
      <c r="B21" s="233" t="s">
        <v>9</v>
      </c>
      <c r="C21" s="116"/>
      <c r="D21" s="239" t="s">
        <v>106</v>
      </c>
      <c r="E21" s="240" t="s">
        <v>107</v>
      </c>
      <c r="F21" s="240" t="s">
        <v>108</v>
      </c>
      <c r="G21" s="241">
        <f>DSUM(base_de_données_espèces,"débit",critère6)</f>
        <v>0</v>
      </c>
      <c r="H21" s="241">
        <f>DSUM(base_de_données_banque,"débit",critère6)</f>
        <v>75</v>
      </c>
      <c r="I21" s="237" t="s">
        <v>295</v>
      </c>
      <c r="J21" s="238">
        <f t="shared" si="0"/>
        <v>75</v>
      </c>
    </row>
    <row r="22" spans="1:10" ht="15" customHeight="1">
      <c r="A22" s="232">
        <v>18</v>
      </c>
      <c r="B22" s="233" t="s">
        <v>29</v>
      </c>
      <c r="C22" s="116"/>
      <c r="D22" s="242" t="str">
        <f>$B$10</f>
        <v>calendriers comité</v>
      </c>
      <c r="E22" s="243"/>
      <c r="F22" s="243"/>
      <c r="G22" s="244">
        <f>+G20-G21</f>
        <v>0</v>
      </c>
      <c r="H22" s="244">
        <f>+H20-H21</f>
        <v>-74</v>
      </c>
      <c r="I22" s="245" t="s">
        <v>296</v>
      </c>
      <c r="J22" s="246">
        <f t="shared" si="0"/>
        <v>-74</v>
      </c>
    </row>
    <row r="23" spans="1:10" ht="15" customHeight="1">
      <c r="A23" s="232">
        <v>19</v>
      </c>
      <c r="B23" s="233" t="s">
        <v>207</v>
      </c>
      <c r="C23" s="116"/>
      <c r="D23" s="234" t="s">
        <v>306</v>
      </c>
      <c r="E23" s="235"/>
      <c r="F23" s="235"/>
      <c r="G23" s="236">
        <f>DSUM(base_de_données_espèces,"crédit",critère7)</f>
        <v>0</v>
      </c>
      <c r="H23" s="236">
        <f>DSUM(base_de_données_banque,"crédit",critère7)</f>
        <v>0</v>
      </c>
      <c r="I23" s="237" t="s">
        <v>294</v>
      </c>
      <c r="J23" s="238">
        <f t="shared" si="0"/>
        <v>0</v>
      </c>
    </row>
    <row r="24" spans="1:10" ht="15" customHeight="1">
      <c r="A24" s="232">
        <v>20</v>
      </c>
      <c r="B24" s="233" t="s">
        <v>163</v>
      </c>
      <c r="C24" s="116"/>
      <c r="D24" s="239" t="s">
        <v>106</v>
      </c>
      <c r="E24" s="240" t="s">
        <v>107</v>
      </c>
      <c r="F24" s="240" t="s">
        <v>108</v>
      </c>
      <c r="G24" s="241">
        <f>DSUM(base_de_données_espèces,"débit",critère7)</f>
        <v>0</v>
      </c>
      <c r="H24" s="241">
        <f>DSUM(base_de_données_banque,"débit",critère7)</f>
        <v>35.38</v>
      </c>
      <c r="I24" s="237" t="s">
        <v>295</v>
      </c>
      <c r="J24" s="238">
        <f t="shared" si="0"/>
        <v>35.38</v>
      </c>
    </row>
    <row r="25" spans="1:10" ht="15" customHeight="1">
      <c r="A25" s="232">
        <v>21</v>
      </c>
      <c r="B25" s="233" t="s">
        <v>307</v>
      </c>
      <c r="C25" s="116"/>
      <c r="D25" s="242" t="str">
        <f>$B$11</f>
        <v>frais de banque</v>
      </c>
      <c r="E25" s="243"/>
      <c r="F25" s="243"/>
      <c r="G25" s="244">
        <f>+G23-G24</f>
        <v>0</v>
      </c>
      <c r="H25" s="244">
        <f>+H23-H24</f>
        <v>-35.38</v>
      </c>
      <c r="I25" s="245" t="s">
        <v>296</v>
      </c>
      <c r="J25" s="246">
        <f t="shared" si="0"/>
        <v>-35.38</v>
      </c>
    </row>
    <row r="26" spans="1:10" ht="15" customHeight="1">
      <c r="A26" s="232">
        <v>22</v>
      </c>
      <c r="B26" s="233" t="s">
        <v>114</v>
      </c>
      <c r="C26" s="116"/>
      <c r="D26" s="234" t="s">
        <v>308</v>
      </c>
      <c r="E26" s="235"/>
      <c r="F26" s="235"/>
      <c r="G26" s="236">
        <f>DSUM(base_de_données_espèces,"crédit",critère8)</f>
        <v>0</v>
      </c>
      <c r="H26" s="236">
        <f>DSUM(base_de_données_banque,"crédit",critère8)</f>
        <v>0</v>
      </c>
      <c r="I26" s="237" t="s">
        <v>294</v>
      </c>
      <c r="J26" s="238">
        <f t="shared" si="0"/>
        <v>0</v>
      </c>
    </row>
    <row r="27" spans="1:10" ht="15" customHeight="1">
      <c r="A27" s="232">
        <v>23</v>
      </c>
      <c r="B27" s="233"/>
      <c r="C27" s="116"/>
      <c r="D27" s="239" t="s">
        <v>106</v>
      </c>
      <c r="E27" s="240" t="s">
        <v>107</v>
      </c>
      <c r="F27" s="240" t="s">
        <v>108</v>
      </c>
      <c r="G27" s="241">
        <f>DSUM(base_de_données_espèces,"débit",critère8)</f>
        <v>0</v>
      </c>
      <c r="H27" s="241">
        <f>DSUM(base_de_données_banque,"débit",critère8)</f>
        <v>82.56</v>
      </c>
      <c r="I27" s="237" t="s">
        <v>295</v>
      </c>
      <c r="J27" s="238">
        <f t="shared" si="0"/>
        <v>82.56</v>
      </c>
    </row>
    <row r="28" spans="1:10" ht="15" customHeight="1">
      <c r="A28" s="232">
        <v>24</v>
      </c>
      <c r="B28" s="233" t="s">
        <v>151</v>
      </c>
      <c r="C28" s="116"/>
      <c r="D28" s="242" t="str">
        <f>$B$12</f>
        <v>assurance</v>
      </c>
      <c r="E28" s="243"/>
      <c r="F28" s="243"/>
      <c r="G28" s="244">
        <f>+G26-G27</f>
        <v>0</v>
      </c>
      <c r="H28" s="244">
        <f>+H26-H27</f>
        <v>-82.56</v>
      </c>
      <c r="I28" s="245" t="s">
        <v>296</v>
      </c>
      <c r="J28" s="246">
        <f t="shared" si="0"/>
        <v>-82.56</v>
      </c>
    </row>
    <row r="29" spans="1:10" ht="15" customHeight="1">
      <c r="A29" s="232">
        <v>25</v>
      </c>
      <c r="B29" s="233" t="s">
        <v>120</v>
      </c>
      <c r="C29" s="116"/>
      <c r="D29" s="234" t="s">
        <v>309</v>
      </c>
      <c r="E29" s="235"/>
      <c r="F29" s="235"/>
      <c r="G29" s="236">
        <f>DSUM(base_de_données_espèces,"crédit",critère9)</f>
        <v>0</v>
      </c>
      <c r="H29" s="236">
        <f>DSUM(base_de_données_banque,"crédit",critère9)</f>
        <v>0</v>
      </c>
      <c r="I29" s="237" t="s">
        <v>294</v>
      </c>
      <c r="J29" s="238">
        <f t="shared" si="0"/>
        <v>0</v>
      </c>
    </row>
    <row r="30" spans="1:10" ht="15" customHeight="1">
      <c r="A30" s="232">
        <v>26</v>
      </c>
      <c r="B30" s="233" t="s">
        <v>264</v>
      </c>
      <c r="C30" s="116"/>
      <c r="D30" s="239" t="s">
        <v>106</v>
      </c>
      <c r="E30" s="240" t="s">
        <v>107</v>
      </c>
      <c r="F30" s="240" t="s">
        <v>108</v>
      </c>
      <c r="G30" s="241">
        <f>DSUM(base_de_données_espèces,"débit",critère9)</f>
        <v>0</v>
      </c>
      <c r="H30" s="241">
        <f>DSUM(base_de_données_banque,"débit",critère9)</f>
        <v>34.79</v>
      </c>
      <c r="I30" s="237" t="s">
        <v>295</v>
      </c>
      <c r="J30" s="238">
        <f t="shared" si="0"/>
        <v>34.79</v>
      </c>
    </row>
    <row r="31" spans="1:10" ht="15" customHeight="1">
      <c r="A31" s="232">
        <v>27</v>
      </c>
      <c r="B31" s="233" t="s">
        <v>310</v>
      </c>
      <c r="D31" s="242" t="str">
        <f>$B$13</f>
        <v>secrétariat</v>
      </c>
      <c r="E31" s="243"/>
      <c r="F31" s="243"/>
      <c r="G31" s="244">
        <f>+G29-G30</f>
        <v>0</v>
      </c>
      <c r="H31" s="244">
        <f>+H29-H30</f>
        <v>-34.79</v>
      </c>
      <c r="I31" s="245" t="s">
        <v>296</v>
      </c>
      <c r="J31" s="246">
        <f t="shared" si="0"/>
        <v>-34.79</v>
      </c>
    </row>
    <row r="32" spans="1:10" ht="15" customHeight="1">
      <c r="A32" s="232">
        <v>28</v>
      </c>
      <c r="B32" s="233" t="s">
        <v>21</v>
      </c>
      <c r="D32" s="234" t="s">
        <v>311</v>
      </c>
      <c r="E32" s="235"/>
      <c r="F32" s="235"/>
      <c r="G32" s="236">
        <f>DSUM(base_de_données_espèces,"crédit",critère10)</f>
        <v>0</v>
      </c>
      <c r="H32" s="236">
        <f>DSUM(base_de_données_banque,"crédit",critère10)</f>
        <v>0</v>
      </c>
      <c r="I32" s="237" t="s">
        <v>294</v>
      </c>
      <c r="J32" s="238">
        <f t="shared" si="0"/>
        <v>0</v>
      </c>
    </row>
    <row r="33" spans="1:10" ht="15" customHeight="1">
      <c r="A33" s="232">
        <v>29</v>
      </c>
      <c r="B33" s="233" t="s">
        <v>312</v>
      </c>
      <c r="D33" s="239" t="s">
        <v>106</v>
      </c>
      <c r="E33" s="240" t="s">
        <v>107</v>
      </c>
      <c r="F33" s="240" t="s">
        <v>108</v>
      </c>
      <c r="G33" s="241">
        <f>DSUM(base_de_données_espèces,"débit",critère10)</f>
        <v>0</v>
      </c>
      <c r="H33" s="241">
        <f>DSUM(base_de_données_banque,"débit",critère10)</f>
        <v>0</v>
      </c>
      <c r="I33" s="237" t="s">
        <v>295</v>
      </c>
      <c r="J33" s="238">
        <f t="shared" si="0"/>
        <v>0</v>
      </c>
    </row>
    <row r="34" spans="1:10" ht="15" customHeight="1">
      <c r="A34" s="232">
        <v>30</v>
      </c>
      <c r="B34" s="233" t="s">
        <v>313</v>
      </c>
      <c r="D34" s="242" t="str">
        <f>$B$14</f>
        <v>achat matériel</v>
      </c>
      <c r="E34" s="243"/>
      <c r="F34" s="243"/>
      <c r="G34" s="244">
        <f>+G32-G33</f>
        <v>0</v>
      </c>
      <c r="H34" s="244">
        <f>+H32-H33</f>
        <v>0</v>
      </c>
      <c r="I34" s="245" t="s">
        <v>296</v>
      </c>
      <c r="J34" s="246">
        <f t="shared" si="0"/>
        <v>0</v>
      </c>
    </row>
    <row r="35" spans="1:10" ht="15" customHeight="1">
      <c r="A35" s="232">
        <v>31</v>
      </c>
      <c r="B35" s="233" t="s">
        <v>314</v>
      </c>
      <c r="D35" s="234" t="s">
        <v>315</v>
      </c>
      <c r="E35" s="235"/>
      <c r="F35" s="235"/>
      <c r="G35" s="236">
        <f>DSUM(base_de_données_espèces,"crédit",critère11)</f>
        <v>0</v>
      </c>
      <c r="H35" s="236">
        <f>DSUM(base_de_données_banque,"crédit",critère11)</f>
        <v>0</v>
      </c>
      <c r="I35" s="237" t="s">
        <v>294</v>
      </c>
      <c r="J35" s="238">
        <f t="shared" si="0"/>
        <v>0</v>
      </c>
    </row>
    <row r="36" spans="1:10" ht="15" customHeight="1">
      <c r="A36" s="232">
        <v>32</v>
      </c>
      <c r="B36" s="233" t="s">
        <v>316</v>
      </c>
      <c r="D36" s="239" t="s">
        <v>106</v>
      </c>
      <c r="E36" s="240" t="s">
        <v>107</v>
      </c>
      <c r="F36" s="240" t="s">
        <v>108</v>
      </c>
      <c r="G36" s="241">
        <f>DSUM(base_de_données_espèces,"débit",critère11)</f>
        <v>0</v>
      </c>
      <c r="H36" s="241">
        <f>DSUM(base_de_données_banque,"débit",critère11)</f>
        <v>0</v>
      </c>
      <c r="I36" s="237" t="s">
        <v>295</v>
      </c>
      <c r="J36" s="238">
        <f t="shared" si="0"/>
        <v>0</v>
      </c>
    </row>
    <row r="37" spans="4:10" ht="15" customHeight="1">
      <c r="D37" s="242" t="str">
        <f>$B$15</f>
        <v>subvention St Jean</v>
      </c>
      <c r="E37" s="243"/>
      <c r="F37" s="243"/>
      <c r="G37" s="244">
        <f>+G35-G36</f>
        <v>0</v>
      </c>
      <c r="H37" s="244">
        <f>+H35-H36</f>
        <v>0</v>
      </c>
      <c r="I37" s="245" t="s">
        <v>296</v>
      </c>
      <c r="J37" s="246">
        <f t="shared" si="0"/>
        <v>0</v>
      </c>
    </row>
    <row r="38" spans="4:10" ht="15" customHeight="1">
      <c r="D38" s="234" t="s">
        <v>317</v>
      </c>
      <c r="E38" s="235"/>
      <c r="F38" s="235"/>
      <c r="G38" s="236">
        <f>DSUM(base_de_données_espèces,"crédit",critère12)</f>
        <v>0</v>
      </c>
      <c r="H38" s="236">
        <f>DSUM(base_de_données_banque,"crédit",critère12)</f>
        <v>0</v>
      </c>
      <c r="I38" s="237" t="s">
        <v>294</v>
      </c>
      <c r="J38" s="238">
        <f t="shared" si="0"/>
        <v>0</v>
      </c>
    </row>
    <row r="39" spans="4:10" ht="15" customHeight="1">
      <c r="D39" s="239" t="s">
        <v>106</v>
      </c>
      <c r="E39" s="240" t="s">
        <v>107</v>
      </c>
      <c r="F39" s="240" t="s">
        <v>108</v>
      </c>
      <c r="G39" s="241">
        <f>DSUM(base_de_données_espèces,"débit",critère12)</f>
        <v>0</v>
      </c>
      <c r="H39" s="241">
        <f>DSUM(base_de_données_banque,"débit",critère12)</f>
        <v>0</v>
      </c>
      <c r="I39" s="237" t="s">
        <v>295</v>
      </c>
      <c r="J39" s="238">
        <f t="shared" si="0"/>
        <v>0</v>
      </c>
    </row>
    <row r="40" spans="4:10" ht="15" customHeight="1">
      <c r="D40" s="242" t="str">
        <f>$B$16</f>
        <v>subvention St Martin</v>
      </c>
      <c r="E40" s="243"/>
      <c r="F40" s="243"/>
      <c r="G40" s="244">
        <f>+G38-G39</f>
        <v>0</v>
      </c>
      <c r="H40" s="244">
        <f>+H38-H39</f>
        <v>0</v>
      </c>
      <c r="I40" s="245" t="s">
        <v>296</v>
      </c>
      <c r="J40" s="246">
        <f t="shared" si="0"/>
        <v>0</v>
      </c>
    </row>
    <row r="41" spans="2:10" ht="15" customHeight="1">
      <c r="B41" s="233"/>
      <c r="D41" s="234" t="s">
        <v>318</v>
      </c>
      <c r="E41" s="235"/>
      <c r="F41" s="235"/>
      <c r="G41" s="236">
        <f>DSUM(base_de_données_espèces,"crédit",critère13)</f>
        <v>0</v>
      </c>
      <c r="H41" s="236">
        <f>DSUM(base_de_données_banque,"crédit",critère13)</f>
        <v>362</v>
      </c>
      <c r="I41" s="237" t="s">
        <v>294</v>
      </c>
      <c r="J41" s="238">
        <f t="shared" si="0"/>
        <v>362</v>
      </c>
    </row>
    <row r="42" spans="2:10" ht="15" customHeight="1">
      <c r="B42" s="233"/>
      <c r="D42" s="239" t="s">
        <v>106</v>
      </c>
      <c r="E42" s="240" t="s">
        <v>107</v>
      </c>
      <c r="F42" s="240" t="s">
        <v>108</v>
      </c>
      <c r="G42" s="241">
        <f>DSUM(base_de_données_espèces,"débit",critère13)</f>
        <v>0</v>
      </c>
      <c r="H42" s="241">
        <f>DSUM(base_de_données_banque,"débit",critère13)</f>
        <v>0</v>
      </c>
      <c r="I42" s="237" t="s">
        <v>295</v>
      </c>
      <c r="J42" s="238">
        <f t="shared" si="0"/>
        <v>0</v>
      </c>
    </row>
    <row r="43" spans="2:10" ht="15" customHeight="1">
      <c r="B43" s="233"/>
      <c r="D43" s="242" t="str">
        <f>$B$17</f>
        <v>autres recettes</v>
      </c>
      <c r="E43" s="243"/>
      <c r="F43" s="243"/>
      <c r="G43" s="244">
        <f>+G41-G42</f>
        <v>0</v>
      </c>
      <c r="H43" s="244">
        <f>+H41-H42</f>
        <v>362</v>
      </c>
      <c r="I43" s="245" t="s">
        <v>296</v>
      </c>
      <c r="J43" s="246">
        <f t="shared" si="0"/>
        <v>362</v>
      </c>
    </row>
    <row r="44" spans="2:10" ht="15" customHeight="1">
      <c r="B44" s="233"/>
      <c r="D44" s="234" t="s">
        <v>319</v>
      </c>
      <c r="E44" s="235"/>
      <c r="F44" s="235"/>
      <c r="G44" s="236">
        <f>DSUM(base_de_données_espèces,"crédit",critère14)</f>
        <v>0</v>
      </c>
      <c r="H44" s="236">
        <f>DSUM(base_de_données_banque,"crédit",critère14)</f>
        <v>0</v>
      </c>
      <c r="I44" s="237" t="s">
        <v>294</v>
      </c>
      <c r="J44" s="238">
        <f t="shared" si="0"/>
        <v>0</v>
      </c>
    </row>
    <row r="45" spans="2:10" ht="15" customHeight="1">
      <c r="B45" s="233"/>
      <c r="D45" s="239" t="s">
        <v>106</v>
      </c>
      <c r="E45" s="240" t="s">
        <v>107</v>
      </c>
      <c r="F45" s="240" t="s">
        <v>108</v>
      </c>
      <c r="G45" s="241">
        <f>DSUM(base_de_données_espèces,"débit",critère14)</f>
        <v>0</v>
      </c>
      <c r="H45" s="241">
        <f>DSUM(base_de_données_banque,"débit",critère14)</f>
        <v>120.49</v>
      </c>
      <c r="I45" s="237" t="s">
        <v>295</v>
      </c>
      <c r="J45" s="238">
        <f t="shared" si="0"/>
        <v>120.49</v>
      </c>
    </row>
    <row r="46" spans="2:10" ht="15" customHeight="1">
      <c r="B46" s="233"/>
      <c r="D46" s="242" t="str">
        <f>$B$18</f>
        <v>autres dépenses</v>
      </c>
      <c r="E46" s="243"/>
      <c r="F46" s="243"/>
      <c r="G46" s="244">
        <f>+G44-G45</f>
        <v>0</v>
      </c>
      <c r="H46" s="244">
        <f>+H44-H45</f>
        <v>-120.49</v>
      </c>
      <c r="I46" s="245" t="s">
        <v>296</v>
      </c>
      <c r="J46" s="246">
        <f t="shared" si="0"/>
        <v>-120.49</v>
      </c>
    </row>
    <row r="47" spans="2:10" ht="15" customHeight="1">
      <c r="B47" s="233"/>
      <c r="D47" s="234" t="s">
        <v>320</v>
      </c>
      <c r="E47" s="235"/>
      <c r="F47" s="235"/>
      <c r="G47" s="236">
        <f>DSUM(base_de_données_espèces,"crédit",critère15)</f>
        <v>86</v>
      </c>
      <c r="H47" s="236">
        <f>DSUM(base_de_données_banque,"crédit",critère15)</f>
        <v>1324</v>
      </c>
      <c r="I47" s="237" t="s">
        <v>294</v>
      </c>
      <c r="J47" s="238">
        <f t="shared" si="0"/>
        <v>1410</v>
      </c>
    </row>
    <row r="48" spans="2:10" ht="15" customHeight="1">
      <c r="B48" s="233"/>
      <c r="D48" s="239" t="s">
        <v>106</v>
      </c>
      <c r="E48" s="240" t="s">
        <v>107</v>
      </c>
      <c r="F48" s="240" t="s">
        <v>108</v>
      </c>
      <c r="G48" s="241">
        <f>DSUM(base_de_données_espèces,"débit",critère15)</f>
        <v>0</v>
      </c>
      <c r="H48" s="241">
        <f>DSUM(base_de_données_banque,"débit",critère15)</f>
        <v>2425.95</v>
      </c>
      <c r="I48" s="237" t="s">
        <v>295</v>
      </c>
      <c r="J48" s="238">
        <f t="shared" si="0"/>
        <v>2425.95</v>
      </c>
    </row>
    <row r="49" spans="2:10" ht="15" customHeight="1">
      <c r="B49" s="233"/>
      <c r="D49" s="242" t="str">
        <f>$B$19</f>
        <v>vêtements</v>
      </c>
      <c r="E49" s="243"/>
      <c r="F49" s="243"/>
      <c r="G49" s="244">
        <f>+G47-G48</f>
        <v>86</v>
      </c>
      <c r="H49" s="244">
        <f>+H47-H48</f>
        <v>-1101.9499999999998</v>
      </c>
      <c r="I49" s="245" t="s">
        <v>296</v>
      </c>
      <c r="J49" s="246">
        <f t="shared" si="0"/>
        <v>-1015.9499999999998</v>
      </c>
    </row>
    <row r="50" spans="2:10" ht="15" customHeight="1">
      <c r="B50" s="233"/>
      <c r="D50" s="234" t="s">
        <v>321</v>
      </c>
      <c r="E50" s="235"/>
      <c r="F50" s="235"/>
      <c r="G50" s="236">
        <f>DSUM(base_de_données_espèces,"crédit",critère16)</f>
        <v>0</v>
      </c>
      <c r="H50" s="236">
        <f>DSUM(base_de_données_banque,"crédit",critère16)</f>
        <v>900</v>
      </c>
      <c r="I50" s="237" t="s">
        <v>294</v>
      </c>
      <c r="J50" s="238">
        <f t="shared" si="0"/>
        <v>900</v>
      </c>
    </row>
    <row r="51" spans="2:10" ht="15" customHeight="1">
      <c r="B51" s="233"/>
      <c r="D51" s="239" t="s">
        <v>106</v>
      </c>
      <c r="E51" s="240" t="s">
        <v>107</v>
      </c>
      <c r="F51" s="240" t="s">
        <v>108</v>
      </c>
      <c r="G51" s="241">
        <f>DSUM(base_de_données_espèces,"débit",critère16)</f>
        <v>0</v>
      </c>
      <c r="H51" s="241">
        <f>DSUM(base_de_données_banque,"débit",critère16)</f>
        <v>0</v>
      </c>
      <c r="I51" s="237" t="s">
        <v>295</v>
      </c>
      <c r="J51" s="238">
        <f t="shared" si="0"/>
        <v>0</v>
      </c>
    </row>
    <row r="52" spans="2:10" ht="15" customHeight="1">
      <c r="B52" s="233"/>
      <c r="D52" s="242" t="str">
        <f>$B$20</f>
        <v>sponsors</v>
      </c>
      <c r="E52" s="243"/>
      <c r="F52" s="243"/>
      <c r="G52" s="244">
        <f>+G50-G51</f>
        <v>0</v>
      </c>
      <c r="H52" s="244">
        <f>+H50-H51</f>
        <v>900</v>
      </c>
      <c r="I52" s="245" t="s">
        <v>296</v>
      </c>
      <c r="J52" s="246">
        <f t="shared" si="0"/>
        <v>900</v>
      </c>
    </row>
    <row r="53" spans="2:10" ht="15" customHeight="1">
      <c r="B53" s="233"/>
      <c r="D53" s="234" t="s">
        <v>322</v>
      </c>
      <c r="E53" s="235"/>
      <c r="F53" s="235"/>
      <c r="G53" s="236">
        <f>DSUM(base_de_données_espèces,"crédit",critère17)</f>
        <v>48</v>
      </c>
      <c r="H53" s="236">
        <f>DSUM(base_de_données_banque,"crédit",critère17)</f>
        <v>96</v>
      </c>
      <c r="I53" s="237" t="s">
        <v>294</v>
      </c>
      <c r="J53" s="238">
        <f t="shared" si="0"/>
        <v>144</v>
      </c>
    </row>
    <row r="54" spans="2:10" ht="15" customHeight="1">
      <c r="B54" s="233"/>
      <c r="D54" s="239" t="s">
        <v>106</v>
      </c>
      <c r="E54" s="240" t="s">
        <v>107</v>
      </c>
      <c r="F54" s="240" t="s">
        <v>108</v>
      </c>
      <c r="G54" s="241">
        <f>DSUM(base_de_données_espèces,"débit",critère17)</f>
        <v>0</v>
      </c>
      <c r="H54" s="241">
        <f>DSUM(base_de_données_banque,"débit",critère17)</f>
        <v>0</v>
      </c>
      <c r="I54" s="237" t="s">
        <v>295</v>
      </c>
      <c r="J54" s="238">
        <f t="shared" si="0"/>
        <v>0</v>
      </c>
    </row>
    <row r="55" spans="2:10" ht="15" customHeight="1">
      <c r="B55" s="233"/>
      <c r="D55" s="242" t="str">
        <f>$B$21</f>
        <v>adhésions loisirs</v>
      </c>
      <c r="E55" s="243"/>
      <c r="F55" s="243"/>
      <c r="G55" s="244">
        <f>+G53-G54</f>
        <v>48</v>
      </c>
      <c r="H55" s="244">
        <f>+H53-H54</f>
        <v>96</v>
      </c>
      <c r="I55" s="245" t="s">
        <v>296</v>
      </c>
      <c r="J55" s="246">
        <f t="shared" si="0"/>
        <v>144</v>
      </c>
    </row>
    <row r="56" spans="2:10" ht="15" customHeight="1">
      <c r="B56" s="233"/>
      <c r="D56" s="234" t="s">
        <v>323</v>
      </c>
      <c r="E56" s="235"/>
      <c r="F56" s="235"/>
      <c r="G56" s="236">
        <f>DSUM(base_de_données_espèces,"crédit",critère18)</f>
        <v>0</v>
      </c>
      <c r="H56" s="236">
        <f>DSUM(base_de_données_banque,"crédit",critère18)</f>
        <v>0</v>
      </c>
      <c r="I56" s="237" t="s">
        <v>294</v>
      </c>
      <c r="J56" s="238">
        <f t="shared" si="0"/>
        <v>0</v>
      </c>
    </row>
    <row r="57" spans="2:10" ht="15" customHeight="1">
      <c r="B57" s="233"/>
      <c r="D57" s="239" t="s">
        <v>106</v>
      </c>
      <c r="E57" s="240" t="s">
        <v>107</v>
      </c>
      <c r="F57" s="240" t="s">
        <v>108</v>
      </c>
      <c r="G57" s="241">
        <f>DSUM(base_de_données_espèces,"débit",critère18)</f>
        <v>0</v>
      </c>
      <c r="H57" s="241">
        <f>DSUM(base_de_données_banque,"débit",critère18)</f>
        <v>0</v>
      </c>
      <c r="I57" s="237" t="s">
        <v>295</v>
      </c>
      <c r="J57" s="238">
        <f t="shared" si="0"/>
        <v>0</v>
      </c>
    </row>
    <row r="58" spans="2:10" ht="15" customHeight="1">
      <c r="B58" s="233"/>
      <c r="D58" s="242" t="str">
        <f>$B$22</f>
        <v>indemnités kilométriques</v>
      </c>
      <c r="E58" s="243"/>
      <c r="F58" s="243"/>
      <c r="G58" s="244">
        <f>+G56-G57</f>
        <v>0</v>
      </c>
      <c r="H58" s="244">
        <f>+H56-H57</f>
        <v>0</v>
      </c>
      <c r="I58" s="245" t="s">
        <v>296</v>
      </c>
      <c r="J58" s="246">
        <f t="shared" si="0"/>
        <v>0</v>
      </c>
    </row>
    <row r="59" spans="2:10" ht="15" customHeight="1">
      <c r="B59" s="233"/>
      <c r="D59" s="234" t="s">
        <v>324</v>
      </c>
      <c r="E59" s="235"/>
      <c r="F59" s="235"/>
      <c r="G59" s="236">
        <f>DSUM(base_de_données_espèces,"crédit",critère19)</f>
        <v>0</v>
      </c>
      <c r="H59" s="236">
        <f>DSUM(base_de_données_banque,"crédit",critère19)</f>
        <v>2500</v>
      </c>
      <c r="I59" s="237" t="s">
        <v>294</v>
      </c>
      <c r="J59" s="238">
        <f t="shared" si="0"/>
        <v>2500</v>
      </c>
    </row>
    <row r="60" spans="2:10" ht="15" customHeight="1">
      <c r="B60" s="233"/>
      <c r="D60" s="239" t="s">
        <v>106</v>
      </c>
      <c r="E60" s="240" t="s">
        <v>107</v>
      </c>
      <c r="F60" s="240" t="s">
        <v>108</v>
      </c>
      <c r="G60" s="241">
        <f>DSUM(base_de_données_espèces,"débit",critère19)</f>
        <v>0</v>
      </c>
      <c r="H60" s="241">
        <f>DSUM(base_de_données_banque,"débit",critère19)</f>
        <v>2000</v>
      </c>
      <c r="I60" s="237" t="s">
        <v>295</v>
      </c>
      <c r="J60" s="238">
        <f t="shared" si="0"/>
        <v>2000</v>
      </c>
    </row>
    <row r="61" spans="2:10" ht="15" customHeight="1">
      <c r="B61" s="233"/>
      <c r="D61" s="242" t="str">
        <f>$B$23</f>
        <v>transfert compte à compte</v>
      </c>
      <c r="E61" s="243"/>
      <c r="F61" s="243"/>
      <c r="G61" s="244">
        <f>+G59-G60</f>
        <v>0</v>
      </c>
      <c r="H61" s="244">
        <f>+H59-H60</f>
        <v>500</v>
      </c>
      <c r="I61" s="245" t="s">
        <v>296</v>
      </c>
      <c r="J61" s="246">
        <f t="shared" si="0"/>
        <v>500</v>
      </c>
    </row>
    <row r="62" spans="2:10" ht="15" customHeight="1">
      <c r="B62" s="233"/>
      <c r="D62" s="234" t="s">
        <v>325</v>
      </c>
      <c r="E62" s="235"/>
      <c r="F62" s="235"/>
      <c r="G62" s="236">
        <f>DSUM(base_de_données_espèces,"crédit",critère20)</f>
        <v>0</v>
      </c>
      <c r="H62" s="236">
        <f>DSUM(base_de_données_banque,"crédit",critère20)</f>
        <v>888.1</v>
      </c>
      <c r="I62" s="237" t="s">
        <v>294</v>
      </c>
      <c r="J62" s="238">
        <f t="shared" si="0"/>
        <v>888.1</v>
      </c>
    </row>
    <row r="63" spans="2:10" ht="15" customHeight="1">
      <c r="B63" s="233"/>
      <c r="D63" s="239" t="s">
        <v>106</v>
      </c>
      <c r="E63" s="240" t="s">
        <v>107</v>
      </c>
      <c r="F63" s="240" t="s">
        <v>108</v>
      </c>
      <c r="G63" s="241">
        <f>DSUM(base_de_données_espèces,"débit",critère20)</f>
        <v>0</v>
      </c>
      <c r="H63" s="241">
        <f>DSUM(base_de_données_banque,"débit",critère20)</f>
        <v>677</v>
      </c>
      <c r="I63" s="237" t="s">
        <v>295</v>
      </c>
      <c r="J63" s="238">
        <f t="shared" si="0"/>
        <v>677</v>
      </c>
    </row>
    <row r="64" spans="2:10" ht="15" customHeight="1">
      <c r="B64" s="233"/>
      <c r="D64" s="242" t="str">
        <f>$B$24</f>
        <v>dépots/retraits</v>
      </c>
      <c r="E64" s="243"/>
      <c r="F64" s="243"/>
      <c r="G64" s="244">
        <f>+G62-G63</f>
        <v>0</v>
      </c>
      <c r="H64" s="244">
        <f>+H62-H63</f>
        <v>211.10000000000002</v>
      </c>
      <c r="I64" s="245" t="s">
        <v>296</v>
      </c>
      <c r="J64" s="246">
        <f t="shared" si="0"/>
        <v>211.10000000000002</v>
      </c>
    </row>
    <row r="65" spans="2:10" ht="15" customHeight="1">
      <c r="B65" s="233"/>
      <c r="D65" s="234" t="s">
        <v>326</v>
      </c>
      <c r="E65" s="235"/>
      <c r="F65" s="235"/>
      <c r="G65" s="236">
        <f>DSUM(base_de_données_espèces,"crédit",critère21)</f>
        <v>0</v>
      </c>
      <c r="H65" s="236">
        <f>DSUM(base_de_données_banque,"crédit",critère21)</f>
        <v>0</v>
      </c>
      <c r="I65" s="237" t="s">
        <v>294</v>
      </c>
      <c r="J65" s="238">
        <f t="shared" si="0"/>
        <v>0</v>
      </c>
    </row>
    <row r="66" spans="2:10" ht="15" customHeight="1">
      <c r="B66" s="233"/>
      <c r="D66" s="239" t="s">
        <v>106</v>
      </c>
      <c r="E66" s="240" t="s">
        <v>107</v>
      </c>
      <c r="F66" s="240" t="s">
        <v>108</v>
      </c>
      <c r="G66" s="241">
        <f>DSUM(base_de_données_espèces,"débit",critère21)</f>
        <v>0</v>
      </c>
      <c r="H66" s="241">
        <f>DSUM(base_de_données_banque,"débit",critère21)</f>
        <v>0</v>
      </c>
      <c r="I66" s="237" t="s">
        <v>295</v>
      </c>
      <c r="J66" s="238">
        <f t="shared" si="0"/>
        <v>0</v>
      </c>
    </row>
    <row r="67" spans="4:10" ht="15" customHeight="1">
      <c r="D67" s="242" t="str">
        <f>$B$25</f>
        <v>arbitrage</v>
      </c>
      <c r="E67" s="243"/>
      <c r="F67" s="243"/>
      <c r="G67" s="244">
        <f>+G65-G66</f>
        <v>0</v>
      </c>
      <c r="H67" s="244">
        <f>+H65-H66</f>
        <v>0</v>
      </c>
      <c r="I67" s="245" t="s">
        <v>296</v>
      </c>
      <c r="J67" s="246">
        <f t="shared" si="0"/>
        <v>0</v>
      </c>
    </row>
    <row r="68" spans="4:10" ht="15" customHeight="1">
      <c r="D68" s="234" t="s">
        <v>327</v>
      </c>
      <c r="E68" s="235"/>
      <c r="F68" s="235"/>
      <c r="G68" s="236">
        <f>DSUM(base_de_données_espèces,"crédit",critère22)</f>
        <v>349.1</v>
      </c>
      <c r="H68" s="236">
        <f>DSUM(base_de_données_banque,"crédit",critère22)</f>
        <v>530.24</v>
      </c>
      <c r="I68" s="237" t="s">
        <v>294</v>
      </c>
      <c r="J68" s="238">
        <f t="shared" si="0"/>
        <v>879.34</v>
      </c>
    </row>
    <row r="69" spans="4:10" ht="15" customHeight="1">
      <c r="D69" s="239" t="s">
        <v>106</v>
      </c>
      <c r="E69" s="240" t="s">
        <v>107</v>
      </c>
      <c r="F69" s="240" t="s">
        <v>108</v>
      </c>
      <c r="G69" s="241">
        <f>DSUM(base_de_données_espèces,"débit",critère22)</f>
        <v>0</v>
      </c>
      <c r="H69" s="241">
        <f>DSUM(base_de_données_banque,"débit",critère22)</f>
        <v>740.7</v>
      </c>
      <c r="I69" s="237" t="s">
        <v>295</v>
      </c>
      <c r="J69" s="238">
        <f t="shared" si="0"/>
        <v>740.7</v>
      </c>
    </row>
    <row r="70" spans="4:10" ht="15" customHeight="1">
      <c r="D70" s="242" t="str">
        <f>$B$26</f>
        <v>concours extérieurs</v>
      </c>
      <c r="E70" s="243"/>
      <c r="F70" s="243"/>
      <c r="G70" s="244">
        <f>+G68-G69</f>
        <v>349.1</v>
      </c>
      <c r="H70" s="244">
        <f>+H68-H69</f>
        <v>-210.46000000000004</v>
      </c>
      <c r="I70" s="245" t="s">
        <v>296</v>
      </c>
      <c r="J70" s="246">
        <f t="shared" si="0"/>
        <v>138.64</v>
      </c>
    </row>
    <row r="71" spans="4:10" ht="15" customHeight="1">
      <c r="D71" s="234" t="s">
        <v>328</v>
      </c>
      <c r="E71" s="235"/>
      <c r="F71" s="235"/>
      <c r="G71" s="236">
        <f>DSUM(base_de_données_espèces,"crédit",critère23)</f>
        <v>0</v>
      </c>
      <c r="H71" s="236">
        <f>DSUM(base_de_données_banque,"crédit",critère23)</f>
        <v>0</v>
      </c>
      <c r="I71" s="237" t="s">
        <v>294</v>
      </c>
      <c r="J71" s="238">
        <f t="shared" si="0"/>
        <v>0</v>
      </c>
    </row>
    <row r="72" spans="4:10" ht="15" customHeight="1">
      <c r="D72" s="239" t="s">
        <v>106</v>
      </c>
      <c r="E72" s="240" t="s">
        <v>107</v>
      </c>
      <c r="F72" s="240" t="s">
        <v>108</v>
      </c>
      <c r="G72" s="241">
        <f>DSUM(base_de_données_espèces,"débit",critère23)</f>
        <v>0</v>
      </c>
      <c r="H72" s="241">
        <f>DSUM(base_de_données_banque,"débit",critère23)</f>
        <v>0</v>
      </c>
      <c r="I72" s="237" t="s">
        <v>295</v>
      </c>
      <c r="J72" s="238">
        <f t="shared" si="0"/>
        <v>0</v>
      </c>
    </row>
    <row r="73" spans="4:10" ht="15" customHeight="1">
      <c r="D73" s="242">
        <f>$B$27</f>
        <v>0</v>
      </c>
      <c r="E73" s="243"/>
      <c r="F73" s="243"/>
      <c r="G73" s="244">
        <f>+G71-G72</f>
        <v>0</v>
      </c>
      <c r="H73" s="244">
        <f>+H71-H72</f>
        <v>0</v>
      </c>
      <c r="I73" s="245" t="s">
        <v>296</v>
      </c>
      <c r="J73" s="246">
        <f t="shared" si="0"/>
        <v>0</v>
      </c>
    </row>
    <row r="74" spans="4:10" ht="15" customHeight="1">
      <c r="D74" s="234" t="s">
        <v>329</v>
      </c>
      <c r="E74" s="235"/>
      <c r="F74" s="235"/>
      <c r="G74" s="236">
        <f>DSUM(base_de_données_espèces,"crédit",critère24)</f>
        <v>0</v>
      </c>
      <c r="H74" s="236">
        <f>DSUM(base_de_données_banque,"crédit",critère24)</f>
        <v>86.25999999999999</v>
      </c>
      <c r="I74" s="237" t="s">
        <v>294</v>
      </c>
      <c r="J74" s="238">
        <f t="shared" si="0"/>
        <v>86.25999999999999</v>
      </c>
    </row>
    <row r="75" spans="4:10" ht="15" customHeight="1">
      <c r="D75" s="239" t="s">
        <v>106</v>
      </c>
      <c r="E75" s="240" t="s">
        <v>107</v>
      </c>
      <c r="F75" s="240" t="s">
        <v>108</v>
      </c>
      <c r="G75" s="241">
        <f>DSUM(base_de_données_espèces,"débit",critère24)</f>
        <v>0</v>
      </c>
      <c r="H75" s="241">
        <f>DSUM(base_de_données_banque,"débit",critère24)</f>
        <v>50.26</v>
      </c>
      <c r="I75" s="237" t="s">
        <v>295</v>
      </c>
      <c r="J75" s="238">
        <f t="shared" si="0"/>
        <v>50.26</v>
      </c>
    </row>
    <row r="76" spans="4:10" ht="15" customHeight="1">
      <c r="D76" s="242" t="str">
        <f>$B$28</f>
        <v>concours interne </v>
      </c>
      <c r="E76" s="243"/>
      <c r="F76" s="243"/>
      <c r="G76" s="244">
        <f>+G74-G75</f>
        <v>0</v>
      </c>
      <c r="H76" s="244">
        <f>+H74-H75</f>
        <v>35.99999999999999</v>
      </c>
      <c r="I76" s="245" t="s">
        <v>296</v>
      </c>
      <c r="J76" s="246">
        <f t="shared" si="0"/>
        <v>35.99999999999999</v>
      </c>
    </row>
    <row r="77" spans="4:10" ht="15" customHeight="1">
      <c r="D77" s="234" t="s">
        <v>330</v>
      </c>
      <c r="E77" s="235"/>
      <c r="F77" s="235"/>
      <c r="G77" s="236">
        <f>DSUM(base_de_données_espèces,"crédit",critère25)</f>
        <v>0</v>
      </c>
      <c r="H77" s="236">
        <f>DSUM(base_de_données_banque,"crédit",critère25)</f>
        <v>2835.9</v>
      </c>
      <c r="I77" s="237" t="s">
        <v>294</v>
      </c>
      <c r="J77" s="238">
        <f t="shared" si="0"/>
        <v>2835.9</v>
      </c>
    </row>
    <row r="78" spans="4:10" ht="15" customHeight="1">
      <c r="D78" s="239" t="s">
        <v>106</v>
      </c>
      <c r="E78" s="240" t="s">
        <v>107</v>
      </c>
      <c r="F78" s="240" t="s">
        <v>108</v>
      </c>
      <c r="G78" s="241">
        <f>DSUM(base_de_données_espèces,"débit",critère25)</f>
        <v>0</v>
      </c>
      <c r="H78" s="241">
        <f>DSUM(base_de_données_banque,"débit",critère25)</f>
        <v>1128.66</v>
      </c>
      <c r="I78" s="237" t="s">
        <v>295</v>
      </c>
      <c r="J78" s="238">
        <f t="shared" si="0"/>
        <v>1128.66</v>
      </c>
    </row>
    <row r="79" spans="4:10" ht="15" customHeight="1">
      <c r="D79" s="242" t="str">
        <f>$B$29</f>
        <v>belote</v>
      </c>
      <c r="E79" s="243"/>
      <c r="F79" s="243"/>
      <c r="G79" s="244">
        <f>+G77-G78</f>
        <v>0</v>
      </c>
      <c r="H79" s="244">
        <f>+H77-H78</f>
        <v>1707.24</v>
      </c>
      <c r="I79" s="245" t="s">
        <v>296</v>
      </c>
      <c r="J79" s="246">
        <f t="shared" si="0"/>
        <v>1707.24</v>
      </c>
    </row>
    <row r="80" spans="4:10" ht="15" customHeight="1">
      <c r="D80" s="234" t="s">
        <v>331</v>
      </c>
      <c r="E80" s="235"/>
      <c r="F80" s="235"/>
      <c r="G80" s="236">
        <f>DSUM(base_de_données_espèces,"crédit",critère26)</f>
        <v>0</v>
      </c>
      <c r="H80" s="236">
        <f>DSUM(base_de_données_banque,"crédit",critère26)</f>
        <v>0</v>
      </c>
      <c r="I80" s="237" t="s">
        <v>294</v>
      </c>
      <c r="J80" s="238">
        <f t="shared" si="0"/>
        <v>0</v>
      </c>
    </row>
    <row r="81" spans="4:10" ht="15" customHeight="1">
      <c r="D81" s="239" t="s">
        <v>106</v>
      </c>
      <c r="E81" s="240" t="s">
        <v>107</v>
      </c>
      <c r="F81" s="240" t="s">
        <v>108</v>
      </c>
      <c r="G81" s="241">
        <f>DSUM(base_de_données_espèces,"débit",critère26)</f>
        <v>0</v>
      </c>
      <c r="H81" s="241">
        <f>DSUM(base_de_données_banque,"débit",critère26)</f>
        <v>40.04</v>
      </c>
      <c r="I81" s="237" t="s">
        <v>295</v>
      </c>
      <c r="J81" s="238">
        <f t="shared" si="0"/>
        <v>40.04</v>
      </c>
    </row>
    <row r="82" spans="4:10" ht="15" customHeight="1">
      <c r="D82" s="242" t="str">
        <f>$B$30</f>
        <v>concours vétérans mars</v>
      </c>
      <c r="E82" s="243"/>
      <c r="F82" s="243"/>
      <c r="G82" s="244">
        <f>+G80-G81</f>
        <v>0</v>
      </c>
      <c r="H82" s="244">
        <f>+H80-H81</f>
        <v>-40.04</v>
      </c>
      <c r="I82" s="245" t="s">
        <v>296</v>
      </c>
      <c r="J82" s="246">
        <f t="shared" si="0"/>
        <v>-40.04</v>
      </c>
    </row>
    <row r="83" spans="4:10" ht="15" customHeight="1">
      <c r="D83" s="234" t="s">
        <v>332</v>
      </c>
      <c r="E83" s="235"/>
      <c r="F83" s="235"/>
      <c r="G83" s="236">
        <f>DSUM(base_de_données_espèces,"crédit",critère27)</f>
        <v>0</v>
      </c>
      <c r="H83" s="236">
        <f>DSUM(base_de_données_banque,"crédit",critère27)</f>
        <v>0</v>
      </c>
      <c r="I83" s="237" t="s">
        <v>294</v>
      </c>
      <c r="J83" s="238">
        <f t="shared" si="0"/>
        <v>0</v>
      </c>
    </row>
    <row r="84" spans="4:10" ht="15" customHeight="1">
      <c r="D84" s="239" t="s">
        <v>106</v>
      </c>
      <c r="E84" s="240" t="s">
        <v>107</v>
      </c>
      <c r="F84" s="240" t="s">
        <v>108</v>
      </c>
      <c r="G84" s="241">
        <f>DSUM(base_de_données_espèces,"débit",critère27)</f>
        <v>0</v>
      </c>
      <c r="H84" s="241">
        <f>DSUM(base_de_données_banque,"débit",critère27)</f>
        <v>0</v>
      </c>
      <c r="I84" s="237" t="s">
        <v>295</v>
      </c>
      <c r="J84" s="238">
        <f t="shared" si="0"/>
        <v>0</v>
      </c>
    </row>
    <row r="85" spans="4:10" ht="15" customHeight="1">
      <c r="D85" s="242" t="str">
        <f>$B$31</f>
        <v>coupe de m&amp;l 55 ans</v>
      </c>
      <c r="E85" s="243"/>
      <c r="F85" s="243"/>
      <c r="G85" s="244">
        <f>+G83-G84</f>
        <v>0</v>
      </c>
      <c r="H85" s="244">
        <f>+H83-H84</f>
        <v>0</v>
      </c>
      <c r="I85" s="245" t="s">
        <v>296</v>
      </c>
      <c r="J85" s="246">
        <f t="shared" si="0"/>
        <v>0</v>
      </c>
    </row>
    <row r="86" spans="4:10" ht="15" customHeight="1">
      <c r="D86" s="234" t="s">
        <v>333</v>
      </c>
      <c r="E86" s="235"/>
      <c r="F86" s="235"/>
      <c r="G86" s="236">
        <f>DSUM(base_de_données_espèces,"crédit",critère28)</f>
        <v>0</v>
      </c>
      <c r="H86" s="236">
        <f>DSUM(base_de_données_banque,"crédit",critère28)</f>
        <v>0</v>
      </c>
      <c r="I86" s="237" t="s">
        <v>294</v>
      </c>
      <c r="J86" s="238">
        <f t="shared" si="0"/>
        <v>0</v>
      </c>
    </row>
    <row r="87" spans="4:10" ht="15" customHeight="1">
      <c r="D87" s="239" t="s">
        <v>106</v>
      </c>
      <c r="E87" s="240" t="s">
        <v>107</v>
      </c>
      <c r="F87" s="240" t="s">
        <v>108</v>
      </c>
      <c r="G87" s="241">
        <f>DSUM(base_de_données_espèces,"débit",critère28)</f>
        <v>0</v>
      </c>
      <c r="H87" s="241">
        <f>DSUM(base_de_données_banque,"débit",critère28)</f>
        <v>0</v>
      </c>
      <c r="I87" s="237" t="s">
        <v>295</v>
      </c>
      <c r="J87" s="238">
        <f t="shared" si="0"/>
        <v>0</v>
      </c>
    </row>
    <row r="88" spans="4:10" ht="15" customHeight="1">
      <c r="D88" s="242" t="str">
        <f>$B$32</f>
        <v>concours vétérans septembre</v>
      </c>
      <c r="E88" s="243"/>
      <c r="F88" s="243"/>
      <c r="G88" s="244">
        <f>+G86-G87</f>
        <v>0</v>
      </c>
      <c r="H88" s="244">
        <f>+H86-H87</f>
        <v>0</v>
      </c>
      <c r="I88" s="245" t="s">
        <v>296</v>
      </c>
      <c r="J88" s="246">
        <f t="shared" si="0"/>
        <v>0</v>
      </c>
    </row>
    <row r="89" spans="4:10" ht="15" customHeight="1">
      <c r="D89" s="234" t="s">
        <v>334</v>
      </c>
      <c r="E89" s="235"/>
      <c r="F89" s="235"/>
      <c r="G89" s="236">
        <f>DSUM(base_de_données_espèces,"crédit",critère29)</f>
        <v>0</v>
      </c>
      <c r="H89" s="236">
        <f>DSUM(base_de_données_banque,"crédit",critère29)</f>
        <v>0</v>
      </c>
      <c r="I89" s="237" t="s">
        <v>294</v>
      </c>
      <c r="J89" s="238">
        <f t="shared" si="0"/>
        <v>0</v>
      </c>
    </row>
    <row r="90" spans="4:10" ht="15" customHeight="1">
      <c r="D90" s="239" t="s">
        <v>106</v>
      </c>
      <c r="E90" s="240" t="s">
        <v>107</v>
      </c>
      <c r="F90" s="240" t="s">
        <v>108</v>
      </c>
      <c r="G90" s="241">
        <f>DSUM(base_de_données_espèces,"débit",critère29)</f>
        <v>0</v>
      </c>
      <c r="H90" s="241">
        <f>DSUM(base_de_données_banque,"débit",critère29)</f>
        <v>0</v>
      </c>
      <c r="I90" s="237" t="s">
        <v>295</v>
      </c>
      <c r="J90" s="238">
        <f t="shared" si="0"/>
        <v>0</v>
      </c>
    </row>
    <row r="91" spans="4:10" ht="15" customHeight="1">
      <c r="D91" s="242" t="str">
        <f>$B$33</f>
        <v>manifestation6</v>
      </c>
      <c r="E91" s="243"/>
      <c r="F91" s="243"/>
      <c r="G91" s="244">
        <f>+G89-G90</f>
        <v>0</v>
      </c>
      <c r="H91" s="244">
        <f>+H89-H90</f>
        <v>0</v>
      </c>
      <c r="I91" s="245" t="s">
        <v>296</v>
      </c>
      <c r="J91" s="246">
        <f t="shared" si="0"/>
        <v>0</v>
      </c>
    </row>
    <row r="92" spans="4:10" ht="15" customHeight="1">
      <c r="D92" s="234" t="s">
        <v>335</v>
      </c>
      <c r="E92" s="235"/>
      <c r="F92" s="235"/>
      <c r="G92" s="236">
        <f>DSUM(base_de_données_espèces,"crédit",critère30)</f>
        <v>0</v>
      </c>
      <c r="H92" s="236">
        <f>DSUM(base_de_données_banque,"crédit",critère30)</f>
        <v>0</v>
      </c>
      <c r="I92" s="237" t="s">
        <v>294</v>
      </c>
      <c r="J92" s="238">
        <f t="shared" si="0"/>
        <v>0</v>
      </c>
    </row>
    <row r="93" spans="4:10" ht="15" customHeight="1">
      <c r="D93" s="239" t="s">
        <v>106</v>
      </c>
      <c r="E93" s="240" t="s">
        <v>107</v>
      </c>
      <c r="F93" s="240" t="s">
        <v>108</v>
      </c>
      <c r="G93" s="241">
        <f>DSUM(base_de_données_espèces,"débit",critère30)</f>
        <v>0</v>
      </c>
      <c r="H93" s="241">
        <f>DSUM(base_de_données_banque,"débit",critère30)</f>
        <v>0</v>
      </c>
      <c r="I93" s="237" t="s">
        <v>295</v>
      </c>
      <c r="J93" s="238">
        <f t="shared" si="0"/>
        <v>0</v>
      </c>
    </row>
    <row r="94" spans="4:10" ht="15" customHeight="1">
      <c r="D94" s="242" t="str">
        <f>$B$34</f>
        <v>manifestation7</v>
      </c>
      <c r="E94" s="243"/>
      <c r="F94" s="243"/>
      <c r="G94" s="244">
        <f>+G92-G93</f>
        <v>0</v>
      </c>
      <c r="H94" s="244">
        <f>+H92-H93</f>
        <v>0</v>
      </c>
      <c r="I94" s="245" t="s">
        <v>296</v>
      </c>
      <c r="J94" s="246">
        <f t="shared" si="0"/>
        <v>0</v>
      </c>
    </row>
    <row r="95" spans="4:10" ht="15" customHeight="1">
      <c r="D95" s="234" t="s">
        <v>336</v>
      </c>
      <c r="E95" s="235"/>
      <c r="F95" s="235"/>
      <c r="G95" s="236">
        <f>DSUM(base_de_données_espèces,"crédit",critère31)</f>
        <v>0</v>
      </c>
      <c r="H95" s="236">
        <f>DSUM(base_de_données_banque,"crédit",critère31)</f>
        <v>0</v>
      </c>
      <c r="I95" s="237" t="s">
        <v>294</v>
      </c>
      <c r="J95" s="238">
        <f t="shared" si="0"/>
        <v>0</v>
      </c>
    </row>
    <row r="96" spans="4:10" ht="15" customHeight="1">
      <c r="D96" s="239" t="s">
        <v>106</v>
      </c>
      <c r="E96" s="240" t="s">
        <v>107</v>
      </c>
      <c r="F96" s="240" t="s">
        <v>108</v>
      </c>
      <c r="G96" s="241">
        <f>DSUM(base_de_données_espèces,"débit",critère31)</f>
        <v>0</v>
      </c>
      <c r="H96" s="241">
        <f>DSUM(base_de_données_banque,"débit",critère31)</f>
        <v>0</v>
      </c>
      <c r="I96" s="237" t="s">
        <v>295</v>
      </c>
      <c r="J96" s="238">
        <f t="shared" si="0"/>
        <v>0</v>
      </c>
    </row>
    <row r="97" spans="4:10" ht="15" customHeight="1">
      <c r="D97" s="242" t="str">
        <f>$B$35</f>
        <v>manifestation8</v>
      </c>
      <c r="E97" s="243"/>
      <c r="F97" s="243"/>
      <c r="G97" s="244">
        <f>+G95-G96</f>
        <v>0</v>
      </c>
      <c r="H97" s="244">
        <f>+H95-H96</f>
        <v>0</v>
      </c>
      <c r="I97" s="245" t="s">
        <v>296</v>
      </c>
      <c r="J97" s="246">
        <f t="shared" si="0"/>
        <v>0</v>
      </c>
    </row>
    <row r="98" spans="4:10" ht="15" customHeight="1">
      <c r="D98" s="234" t="s">
        <v>337</v>
      </c>
      <c r="E98" s="235"/>
      <c r="F98" s="235"/>
      <c r="G98" s="236">
        <f>DSUM(base_de_données_espèces,"crédit",critère32)</f>
        <v>0</v>
      </c>
      <c r="H98" s="236">
        <f>DSUM(base_de_données_banque,"crédit",critère32)</f>
        <v>0</v>
      </c>
      <c r="I98" s="237" t="s">
        <v>294</v>
      </c>
      <c r="J98" s="238">
        <f t="shared" si="0"/>
        <v>0</v>
      </c>
    </row>
    <row r="99" spans="4:10" ht="15" customHeight="1">
      <c r="D99" s="239" t="s">
        <v>106</v>
      </c>
      <c r="E99" s="240" t="s">
        <v>107</v>
      </c>
      <c r="F99" s="240" t="s">
        <v>108</v>
      </c>
      <c r="G99" s="241">
        <f>DSUM(base_de_données_espèces,"débit",critère32)</f>
        <v>0</v>
      </c>
      <c r="H99" s="241">
        <f>DSUM(base_de_données_banque,"débit",critère32)</f>
        <v>0</v>
      </c>
      <c r="I99" s="237" t="s">
        <v>295</v>
      </c>
      <c r="J99" s="238">
        <f t="shared" si="0"/>
        <v>0</v>
      </c>
    </row>
    <row r="100" spans="4:10" ht="15" customHeight="1">
      <c r="D100" s="242" t="str">
        <f>$B$36</f>
        <v>manifestation9</v>
      </c>
      <c r="E100" s="243"/>
      <c r="F100" s="243"/>
      <c r="G100" s="244">
        <f>+G98-G99</f>
        <v>0</v>
      </c>
      <c r="H100" s="244">
        <f>+H98-H99</f>
        <v>0</v>
      </c>
      <c r="I100" s="245" t="s">
        <v>296</v>
      </c>
      <c r="J100" s="246">
        <f t="shared" si="0"/>
        <v>0</v>
      </c>
    </row>
    <row r="101" spans="4:10" ht="15" customHeight="1">
      <c r="D101" s="226"/>
      <c r="E101" s="226"/>
      <c r="F101" s="226"/>
      <c r="G101" s="226"/>
      <c r="H101" s="226"/>
      <c r="I101" s="226"/>
      <c r="J101" s="226"/>
    </row>
    <row r="102" spans="4:10" ht="15" customHeight="1">
      <c r="D102" s="226"/>
      <c r="E102" s="247" t="s">
        <v>338</v>
      </c>
      <c r="F102" s="248" t="s">
        <v>40</v>
      </c>
      <c r="G102" s="248" t="s">
        <v>41</v>
      </c>
      <c r="H102" s="249" t="s">
        <v>42</v>
      </c>
      <c r="I102" s="250"/>
      <c r="J102" s="226"/>
    </row>
    <row r="103" spans="4:10" ht="15" customHeight="1">
      <c r="D103" s="226"/>
      <c r="E103" s="251"/>
      <c r="F103" s="252" t="s">
        <v>43</v>
      </c>
      <c r="G103" s="253">
        <f>+Résultat_espèces+G8+G11+G14+G17+G20+G23+G26+G29+G32+G35+G38+G41+G44+G47+G50+G53+G56+G59+G62+G65+G68+G71+G74+G77+G80+G83+G86+G89+G92+G95+G98</f>
        <v>699.1</v>
      </c>
      <c r="H103" s="254">
        <f>+H5+H8+H11+H14+H17+H20+H23+H26+H29+H32+H35+H38+H41+H44+H47+H50+H53+H56+H59+H62+H65+H68+H71+H74+H77+H80+H83+H86+H89+H92+H95+H98</f>
        <v>11652.5</v>
      </c>
      <c r="I103" s="226"/>
      <c r="J103" s="226"/>
    </row>
    <row r="104" spans="4:10" ht="15" customHeight="1">
      <c r="D104" s="226"/>
      <c r="E104" s="255"/>
      <c r="F104" s="256" t="s">
        <v>46</v>
      </c>
      <c r="G104" s="257">
        <f>+G6+G9+G12+G15+G18+G21+G24+G27+G30+G33+G36+G39+G42+G45+G48+G51+G54+G57+G60+G63+G66+G69+G72+G75+G78+G81+G84+G87+G90+G93+G96+G99</f>
        <v>0</v>
      </c>
      <c r="H104" s="258">
        <f>+H6+H9+H12+H15+H18+H21+H24+H27+H30+H33+H36+H39+H42+H45+H48+H51+H54+H57+H60+H63+H66+H69+H72+H75+H78+H81+H84+H87+H90+H93+H96+H99</f>
        <v>9527.830000000002</v>
      </c>
      <c r="I104" s="226"/>
      <c r="J104" s="226"/>
    </row>
    <row r="106" spans="5:8" ht="15" customHeight="1">
      <c r="E106" s="259"/>
      <c r="F106" s="259"/>
      <c r="H106" s="260"/>
    </row>
    <row r="107" spans="6:8" ht="15" customHeight="1">
      <c r="F107" s="259"/>
      <c r="H107" s="260"/>
    </row>
    <row r="108" ht="15" customHeight="1">
      <c r="H108" s="260"/>
    </row>
    <row r="114" ht="15" customHeight="1">
      <c r="H114" s="260"/>
    </row>
  </sheetData>
  <sheetProtection sheet="1" objects="1" scenarios="1"/>
  <mergeCells count="1">
    <mergeCell ref="A4:B4"/>
  </mergeCells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4">
    <tabColor indexed="52"/>
    <pageSetUpPr fitToPage="1"/>
  </sheetPr>
  <dimension ref="A1:T262"/>
  <sheetViews>
    <sheetView zoomScale="140" zoomScaleNormal="140" zoomScalePageLayoutView="0" workbookViewId="0" topLeftCell="A25">
      <selection activeCell="B62" sqref="B62"/>
    </sheetView>
  </sheetViews>
  <sheetFormatPr defaultColWidth="11.140625" defaultRowHeight="12"/>
  <cols>
    <col min="1" max="1" width="2.8515625" style="261" customWidth="1"/>
    <col min="2" max="2" width="30.140625" style="0" customWidth="1"/>
    <col min="3" max="3" width="11.57421875" style="0" customWidth="1"/>
    <col min="4" max="4" width="9.140625" style="0" hidden="1" customWidth="1"/>
    <col min="5" max="5" width="10.57421875" style="0" customWidth="1"/>
    <col min="6" max="6" width="12.57421875" style="262" customWidth="1"/>
    <col min="7" max="7" width="9.140625" style="0" customWidth="1"/>
    <col min="8" max="8" width="12.57421875" style="0" customWidth="1"/>
    <col min="9" max="9" width="9.140625" style="0" customWidth="1"/>
    <col min="10" max="10" width="12.57421875" style="0" customWidth="1"/>
    <col min="11" max="11" width="9.140625" style="0" customWidth="1"/>
    <col min="12" max="12" width="12.57421875" style="0" customWidth="1"/>
    <col min="13" max="13" width="16.140625" style="0" customWidth="1"/>
    <col min="14" max="14" width="16.140625" style="41" customWidth="1"/>
    <col min="15" max="15" width="1.57421875" style="0" customWidth="1"/>
    <col min="16" max="16" width="8.421875" style="0" customWidth="1"/>
  </cols>
  <sheetData>
    <row r="1" spans="1:15" ht="20.25" customHeight="1">
      <c r="A1" s="263"/>
      <c r="B1" s="225"/>
      <c r="C1" s="225"/>
      <c r="D1" s="225"/>
      <c r="E1" s="225"/>
      <c r="F1" s="264"/>
      <c r="G1" s="225"/>
      <c r="H1" s="225"/>
      <c r="I1" s="225"/>
      <c r="J1" s="225"/>
      <c r="K1" s="225"/>
      <c r="L1" s="225"/>
      <c r="M1" s="265" t="s">
        <v>339</v>
      </c>
      <c r="N1" s="266">
        <v>91.34</v>
      </c>
      <c r="O1" s="267" t="s">
        <v>340</v>
      </c>
    </row>
    <row r="2" spans="1:13" ht="20.25" customHeight="1">
      <c r="A2" s="268"/>
      <c r="B2" s="420" t="str">
        <f>critères!B28</f>
        <v>concours interne </v>
      </c>
      <c r="C2" s="420"/>
      <c r="D2" s="420"/>
      <c r="E2" s="420"/>
      <c r="F2" s="420"/>
      <c r="G2" s="420"/>
      <c r="H2" s="420"/>
      <c r="I2" s="420"/>
      <c r="J2" s="420"/>
      <c r="K2" s="420"/>
      <c r="L2" s="420"/>
      <c r="M2" s="269">
        <f ca="1">TODAY()</f>
        <v>44111</v>
      </c>
    </row>
    <row r="3" spans="1:15" ht="36.75" customHeight="1">
      <c r="A3" s="270"/>
      <c r="B3" s="271" t="s">
        <v>341</v>
      </c>
      <c r="C3" s="272"/>
      <c r="D3" s="273" t="s">
        <v>342</v>
      </c>
      <c r="E3" s="421" t="s">
        <v>343</v>
      </c>
      <c r="F3" s="421"/>
      <c r="G3" s="422" t="s">
        <v>344</v>
      </c>
      <c r="H3" s="422"/>
      <c r="I3" s="423" t="s">
        <v>345</v>
      </c>
      <c r="J3" s="423"/>
      <c r="K3" s="424" t="s">
        <v>346</v>
      </c>
      <c r="L3" s="424"/>
      <c r="M3" s="274" t="s">
        <v>347</v>
      </c>
      <c r="N3" s="275" t="s">
        <v>348</v>
      </c>
      <c r="O3" s="275"/>
    </row>
    <row r="4" spans="1:18" ht="13.5" customHeight="1">
      <c r="A4" s="270"/>
      <c r="B4" s="276"/>
      <c r="C4" s="277"/>
      <c r="D4" s="278"/>
      <c r="E4" s="279"/>
      <c r="F4" s="280">
        <f>SUM(F6:F29)</f>
        <v>92.68</v>
      </c>
      <c r="G4" s="281"/>
      <c r="H4" s="280">
        <f>SUM(H6:H29)</f>
        <v>94.9998</v>
      </c>
      <c r="I4" s="282"/>
      <c r="J4" s="280">
        <f>SUM(J6:J29)</f>
        <v>70.59660000000001</v>
      </c>
      <c r="K4" s="282"/>
      <c r="L4" s="283">
        <f>SUM(L6:L29)</f>
        <v>131.0832</v>
      </c>
      <c r="M4" s="284">
        <f>+L4-F4</f>
        <v>38.4032</v>
      </c>
      <c r="P4" s="285" t="s">
        <v>349</v>
      </c>
      <c r="Q4" s="286" t="s">
        <v>350</v>
      </c>
      <c r="R4" s="287"/>
    </row>
    <row r="5" spans="1:18" ht="13.5" customHeight="1">
      <c r="A5" s="288"/>
      <c r="B5" s="289"/>
      <c r="C5" s="290" t="s">
        <v>351</v>
      </c>
      <c r="D5" s="291"/>
      <c r="E5" s="290" t="s">
        <v>352</v>
      </c>
      <c r="F5" s="292" t="s">
        <v>353</v>
      </c>
      <c r="G5" s="293" t="s">
        <v>352</v>
      </c>
      <c r="H5" s="292" t="s">
        <v>353</v>
      </c>
      <c r="I5" s="294" t="s">
        <v>352</v>
      </c>
      <c r="J5" s="295" t="s">
        <v>353</v>
      </c>
      <c r="K5" s="293" t="s">
        <v>352</v>
      </c>
      <c r="L5" s="296" t="s">
        <v>353</v>
      </c>
      <c r="M5" s="297"/>
      <c r="P5" s="298" t="s">
        <v>354</v>
      </c>
      <c r="Q5" s="35">
        <v>13.3</v>
      </c>
      <c r="R5" s="16" t="s">
        <v>355</v>
      </c>
    </row>
    <row r="6" spans="1:18" ht="13.5" customHeight="1">
      <c r="A6" s="288">
        <v>1</v>
      </c>
      <c r="B6" s="289" t="s">
        <v>356</v>
      </c>
      <c r="C6" s="299">
        <v>0.47</v>
      </c>
      <c r="D6" s="300">
        <v>1.5</v>
      </c>
      <c r="E6" s="301"/>
      <c r="F6" s="302">
        <f aca="true" t="shared" si="0" ref="F6:F29">IF(($C6*E6)=0,"",$C6*E6)</f>
      </c>
      <c r="G6" s="301"/>
      <c r="H6" s="302">
        <f aca="true" t="shared" si="1" ref="H6:H29">IF(($C6*G6)=0,"",$C6*G6)</f>
      </c>
      <c r="I6" s="303">
        <f>IF((+E6+G6-K6)=0,"",(+E6+G6-K6))</f>
      </c>
      <c r="J6" s="304">
        <f aca="true" t="shared" si="2" ref="J6:J29">IF(I6="","",+I6*$C6)</f>
      </c>
      <c r="K6" s="301"/>
      <c r="L6" s="305">
        <f aca="true" t="shared" si="3" ref="L6:L29">IF(($C6*K6)=0,"",$C6*K6)</f>
      </c>
      <c r="M6" s="306"/>
      <c r="N6" s="307"/>
      <c r="P6" s="298"/>
      <c r="Q6" s="35"/>
      <c r="R6" s="16"/>
    </row>
    <row r="7" spans="1:18" ht="13.5" customHeight="1">
      <c r="A7" s="288">
        <v>2</v>
      </c>
      <c r="B7" s="289" t="s">
        <v>357</v>
      </c>
      <c r="C7" s="299">
        <v>0.38</v>
      </c>
      <c r="D7" s="300">
        <v>1.5</v>
      </c>
      <c r="E7" s="301"/>
      <c r="F7" s="302">
        <f t="shared" si="0"/>
      </c>
      <c r="G7" s="301"/>
      <c r="H7" s="302">
        <f t="shared" si="1"/>
      </c>
      <c r="I7" s="303">
        <f>IF((+E7+G7-K7)=0,"",(+E7+G7-K7))</f>
      </c>
      <c r="J7" s="304">
        <f t="shared" si="2"/>
      </c>
      <c r="K7" s="301"/>
      <c r="L7" s="305">
        <f t="shared" si="3"/>
      </c>
      <c r="M7" s="306"/>
      <c r="P7" s="308" t="s">
        <v>354</v>
      </c>
      <c r="Q7" s="309">
        <v>80</v>
      </c>
      <c r="R7" s="310" t="s">
        <v>358</v>
      </c>
    </row>
    <row r="8" spans="1:13" ht="13.5" customHeight="1">
      <c r="A8" s="288">
        <v>3</v>
      </c>
      <c r="B8" s="289" t="s">
        <v>359</v>
      </c>
      <c r="C8" s="299">
        <v>15.8333</v>
      </c>
      <c r="D8" s="300">
        <v>2</v>
      </c>
      <c r="E8" s="301"/>
      <c r="F8" s="302">
        <f t="shared" si="0"/>
      </c>
      <c r="G8" s="301">
        <v>6</v>
      </c>
      <c r="H8" s="302">
        <f t="shared" si="1"/>
        <v>94.9998</v>
      </c>
      <c r="I8" s="303">
        <v>2</v>
      </c>
      <c r="J8" s="304">
        <f t="shared" si="2"/>
        <v>31.6666</v>
      </c>
      <c r="K8" s="301">
        <v>4</v>
      </c>
      <c r="L8" s="305">
        <f t="shared" si="3"/>
        <v>63.3332</v>
      </c>
      <c r="M8" s="306"/>
    </row>
    <row r="9" spans="1:13" ht="13.5" customHeight="1">
      <c r="A9" s="288">
        <v>4</v>
      </c>
      <c r="B9" s="289" t="s">
        <v>360</v>
      </c>
      <c r="C9" s="299">
        <v>3.5</v>
      </c>
      <c r="D9" s="300">
        <v>0.8</v>
      </c>
      <c r="E9" s="301">
        <v>16</v>
      </c>
      <c r="F9" s="302">
        <f t="shared" si="0"/>
        <v>56</v>
      </c>
      <c r="G9" s="301"/>
      <c r="H9" s="302">
        <f t="shared" si="1"/>
      </c>
      <c r="I9" s="303">
        <v>8</v>
      </c>
      <c r="J9" s="304">
        <f t="shared" si="2"/>
        <v>28</v>
      </c>
      <c r="K9" s="301">
        <v>12</v>
      </c>
      <c r="L9" s="305">
        <f t="shared" si="3"/>
        <v>42</v>
      </c>
      <c r="M9" s="306"/>
    </row>
    <row r="10" spans="1:18" ht="13.5" customHeight="1">
      <c r="A10" s="288">
        <v>5</v>
      </c>
      <c r="B10" s="289" t="s">
        <v>361</v>
      </c>
      <c r="C10" s="299">
        <v>1.9734</v>
      </c>
      <c r="D10" s="300">
        <v>0.8</v>
      </c>
      <c r="E10" s="301"/>
      <c r="F10" s="302">
        <f t="shared" si="0"/>
      </c>
      <c r="G10" s="301"/>
      <c r="H10" s="302">
        <f t="shared" si="1"/>
      </c>
      <c r="I10" s="303">
        <f>IF((+E10+G10-K10)=0,"",(+E10+G10-K10))</f>
      </c>
      <c r="J10" s="304">
        <f t="shared" si="2"/>
      </c>
      <c r="K10" s="301"/>
      <c r="L10" s="305">
        <f t="shared" si="3"/>
      </c>
      <c r="M10" s="306"/>
      <c r="N10" s="307"/>
      <c r="P10" s="425"/>
      <c r="Q10" s="425"/>
      <c r="R10" s="425"/>
    </row>
    <row r="11" spans="1:18" ht="13.5" customHeight="1">
      <c r="A11" s="288">
        <v>6</v>
      </c>
      <c r="B11" s="289" t="s">
        <v>362</v>
      </c>
      <c r="C11" s="299">
        <v>1.32</v>
      </c>
      <c r="D11" s="300">
        <v>0.8</v>
      </c>
      <c r="E11" s="311">
        <v>10</v>
      </c>
      <c r="F11" s="302">
        <f t="shared" si="0"/>
        <v>13.200000000000001</v>
      </c>
      <c r="G11" s="301"/>
      <c r="H11" s="302">
        <f t="shared" si="1"/>
      </c>
      <c r="I11" s="303">
        <v>6</v>
      </c>
      <c r="J11" s="304">
        <f t="shared" si="2"/>
        <v>7.92</v>
      </c>
      <c r="K11" s="301">
        <v>4</v>
      </c>
      <c r="L11" s="305">
        <f t="shared" si="3"/>
        <v>5.28</v>
      </c>
      <c r="M11" s="306"/>
      <c r="R11" s="26"/>
    </row>
    <row r="12" spans="1:18" ht="13.5" customHeight="1">
      <c r="A12" s="288">
        <v>7</v>
      </c>
      <c r="B12" s="289" t="s">
        <v>363</v>
      </c>
      <c r="C12" s="299">
        <v>1.33</v>
      </c>
      <c r="D12" s="300">
        <v>0.5</v>
      </c>
      <c r="E12" s="311"/>
      <c r="F12" s="302">
        <f t="shared" si="0"/>
      </c>
      <c r="G12" s="301"/>
      <c r="H12" s="302">
        <f t="shared" si="1"/>
      </c>
      <c r="I12" s="303">
        <f>IF((+E12+G12-K12)=0,"",(+E12+G12-K12))</f>
      </c>
      <c r="J12" s="304">
        <f t="shared" si="2"/>
      </c>
      <c r="K12" s="311"/>
      <c r="L12" s="305">
        <f t="shared" si="3"/>
      </c>
      <c r="M12" s="306"/>
      <c r="Q12" s="312"/>
      <c r="R12" s="262"/>
    </row>
    <row r="13" spans="1:18" ht="13.5" customHeight="1">
      <c r="A13" s="288">
        <v>8</v>
      </c>
      <c r="B13" s="289" t="s">
        <v>364</v>
      </c>
      <c r="C13" s="299">
        <v>1.6</v>
      </c>
      <c r="D13" s="300"/>
      <c r="E13" s="301"/>
      <c r="F13" s="302">
        <f t="shared" si="0"/>
      </c>
      <c r="G13" s="301"/>
      <c r="H13" s="302">
        <f t="shared" si="1"/>
      </c>
      <c r="I13" s="303">
        <f>IF((+E13+G13-K13)=0,"",(+E13+G13-K13))</f>
      </c>
      <c r="J13" s="304">
        <f t="shared" si="2"/>
      </c>
      <c r="K13" s="301"/>
      <c r="L13" s="305">
        <f t="shared" si="3"/>
      </c>
      <c r="M13" s="306"/>
      <c r="N13" s="313"/>
      <c r="Q13" s="312"/>
      <c r="R13" s="262"/>
    </row>
    <row r="14" spans="1:18" ht="13.5" customHeight="1">
      <c r="A14" s="288">
        <v>9</v>
      </c>
      <c r="B14" s="289" t="s">
        <v>365</v>
      </c>
      <c r="C14" s="299">
        <v>1.29</v>
      </c>
      <c r="D14" s="300">
        <v>0.8</v>
      </c>
      <c r="E14" s="301">
        <v>3</v>
      </c>
      <c r="F14" s="302">
        <f t="shared" si="0"/>
        <v>3.87</v>
      </c>
      <c r="G14" s="301"/>
      <c r="H14" s="302">
        <f t="shared" si="1"/>
      </c>
      <c r="I14" s="303">
        <v>1</v>
      </c>
      <c r="J14" s="304">
        <f t="shared" si="2"/>
        <v>1.29</v>
      </c>
      <c r="K14" s="301">
        <v>2</v>
      </c>
      <c r="L14" s="305">
        <f t="shared" si="3"/>
        <v>2.58</v>
      </c>
      <c r="M14" s="306"/>
      <c r="Q14" s="312"/>
      <c r="R14" s="262"/>
    </row>
    <row r="15" spans="1:18" ht="13.5" customHeight="1">
      <c r="A15" s="288">
        <v>10</v>
      </c>
      <c r="B15" s="289" t="s">
        <v>366</v>
      </c>
      <c r="C15" s="299">
        <v>1.3</v>
      </c>
      <c r="D15" s="300">
        <v>0.8</v>
      </c>
      <c r="E15" s="301">
        <v>2</v>
      </c>
      <c r="F15" s="302">
        <f t="shared" si="0"/>
        <v>2.6</v>
      </c>
      <c r="G15" s="301"/>
      <c r="H15" s="302">
        <f t="shared" si="1"/>
      </c>
      <c r="I15" s="303">
        <v>1</v>
      </c>
      <c r="J15" s="304">
        <f t="shared" si="2"/>
        <v>1.3</v>
      </c>
      <c r="K15" s="301">
        <v>1</v>
      </c>
      <c r="L15" s="305">
        <f t="shared" si="3"/>
        <v>1.3</v>
      </c>
      <c r="M15" s="306"/>
      <c r="Q15" s="312"/>
      <c r="R15" s="262"/>
    </row>
    <row r="16" spans="1:18" ht="13.5" customHeight="1">
      <c r="A16" s="288">
        <v>11</v>
      </c>
      <c r="B16" s="289" t="s">
        <v>367</v>
      </c>
      <c r="C16" s="299">
        <v>0.21</v>
      </c>
      <c r="D16" s="300"/>
      <c r="E16" s="301">
        <v>81</v>
      </c>
      <c r="F16" s="302">
        <f t="shared" si="0"/>
        <v>17.009999999999998</v>
      </c>
      <c r="G16" s="301"/>
      <c r="H16" s="302">
        <f t="shared" si="1"/>
      </c>
      <c r="I16" s="303">
        <v>2</v>
      </c>
      <c r="J16" s="304">
        <f t="shared" si="2"/>
        <v>0.42</v>
      </c>
      <c r="K16" s="301">
        <v>79</v>
      </c>
      <c r="L16" s="305">
        <f t="shared" si="3"/>
        <v>16.59</v>
      </c>
      <c r="M16" s="306"/>
      <c r="Q16" s="312"/>
      <c r="R16" s="262"/>
    </row>
    <row r="17" spans="1:13" ht="13.5" customHeight="1">
      <c r="A17" s="288">
        <v>12</v>
      </c>
      <c r="B17" s="289" t="s">
        <v>368</v>
      </c>
      <c r="C17" s="299">
        <v>0.0932</v>
      </c>
      <c r="D17" s="300">
        <v>0.8</v>
      </c>
      <c r="E17" s="301"/>
      <c r="F17" s="302">
        <f t="shared" si="0"/>
      </c>
      <c r="G17" s="301"/>
      <c r="H17" s="302">
        <f t="shared" si="1"/>
      </c>
      <c r="I17" s="303">
        <f aca="true" t="shared" si="4" ref="I17:I26">IF((+E17+G17-K17)=0,"",(+E17+G17-K17))</f>
      </c>
      <c r="J17" s="304">
        <f t="shared" si="2"/>
      </c>
      <c r="K17" s="301"/>
      <c r="L17" s="305">
        <f t="shared" si="3"/>
      </c>
      <c r="M17" s="306"/>
    </row>
    <row r="18" spans="1:14" ht="13.5" customHeight="1">
      <c r="A18" s="288">
        <v>13</v>
      </c>
      <c r="B18" s="289" t="s">
        <v>369</v>
      </c>
      <c r="C18" s="299">
        <v>0.151</v>
      </c>
      <c r="D18" s="300">
        <v>0.8</v>
      </c>
      <c r="E18" s="301"/>
      <c r="F18" s="302">
        <f t="shared" si="0"/>
      </c>
      <c r="G18" s="301"/>
      <c r="H18" s="302">
        <f t="shared" si="1"/>
      </c>
      <c r="I18" s="303">
        <f t="shared" si="4"/>
      </c>
      <c r="J18" s="304">
        <f t="shared" si="2"/>
      </c>
      <c r="K18" s="301"/>
      <c r="L18" s="305">
        <f t="shared" si="3"/>
      </c>
      <c r="M18" s="306"/>
      <c r="N18" s="307"/>
    </row>
    <row r="19" spans="1:13" ht="13.5" customHeight="1">
      <c r="A19" s="288">
        <v>14</v>
      </c>
      <c r="B19" s="289" t="s">
        <v>370</v>
      </c>
      <c r="C19" s="299">
        <v>0.0154</v>
      </c>
      <c r="D19" s="314"/>
      <c r="E19" s="301"/>
      <c r="F19" s="302">
        <f t="shared" si="0"/>
      </c>
      <c r="G19" s="301"/>
      <c r="H19" s="302">
        <f t="shared" si="1"/>
      </c>
      <c r="I19" s="303">
        <f t="shared" si="4"/>
      </c>
      <c r="J19" s="304">
        <f t="shared" si="2"/>
      </c>
      <c r="K19" s="301"/>
      <c r="L19" s="305">
        <f t="shared" si="3"/>
      </c>
      <c r="M19" s="306"/>
    </row>
    <row r="20" spans="1:14" ht="13.5" customHeight="1">
      <c r="A20" s="288">
        <v>15</v>
      </c>
      <c r="B20" s="289" t="s">
        <v>371</v>
      </c>
      <c r="C20" s="299">
        <v>1.7</v>
      </c>
      <c r="D20" s="300">
        <v>0.5</v>
      </c>
      <c r="E20" s="311"/>
      <c r="F20" s="302">
        <f t="shared" si="0"/>
      </c>
      <c r="G20" s="311"/>
      <c r="H20" s="302">
        <f t="shared" si="1"/>
      </c>
      <c r="I20" s="303">
        <f t="shared" si="4"/>
      </c>
      <c r="J20" s="304">
        <f t="shared" si="2"/>
      </c>
      <c r="K20" s="311"/>
      <c r="L20" s="305">
        <f t="shared" si="3"/>
      </c>
      <c r="M20" s="306"/>
      <c r="N20" s="307"/>
    </row>
    <row r="21" spans="1:13" ht="13.5" customHeight="1">
      <c r="A21" s="288">
        <v>12</v>
      </c>
      <c r="B21" s="289" t="s">
        <v>372</v>
      </c>
      <c r="C21" s="299"/>
      <c r="D21" s="314"/>
      <c r="E21" s="301"/>
      <c r="F21" s="302">
        <f t="shared" si="0"/>
      </c>
      <c r="G21" s="301"/>
      <c r="H21" s="302">
        <f t="shared" si="1"/>
      </c>
      <c r="I21" s="303">
        <f t="shared" si="4"/>
      </c>
      <c r="J21" s="304">
        <f t="shared" si="2"/>
      </c>
      <c r="K21" s="301"/>
      <c r="L21" s="305">
        <f t="shared" si="3"/>
      </c>
      <c r="M21" s="306"/>
    </row>
    <row r="22" spans="1:13" ht="13.5" customHeight="1">
      <c r="A22" s="288">
        <v>13</v>
      </c>
      <c r="B22" s="289" t="s">
        <v>373</v>
      </c>
      <c r="C22" s="299">
        <v>0.40775</v>
      </c>
      <c r="D22" s="314"/>
      <c r="E22" s="301"/>
      <c r="F22" s="302">
        <f t="shared" si="0"/>
      </c>
      <c r="G22" s="301"/>
      <c r="H22" s="302">
        <f t="shared" si="1"/>
      </c>
      <c r="I22" s="303">
        <f t="shared" si="4"/>
      </c>
      <c r="J22" s="304">
        <f t="shared" si="2"/>
      </c>
      <c r="K22" s="301"/>
      <c r="L22" s="305">
        <f t="shared" si="3"/>
      </c>
      <c r="M22" s="315"/>
    </row>
    <row r="23" spans="1:14" ht="13.5" customHeight="1">
      <c r="A23" s="288">
        <v>14</v>
      </c>
      <c r="B23" s="289" t="s">
        <v>374</v>
      </c>
      <c r="C23" s="299">
        <v>1</v>
      </c>
      <c r="D23" s="314"/>
      <c r="E23" s="301"/>
      <c r="F23" s="302">
        <f t="shared" si="0"/>
      </c>
      <c r="G23" s="316"/>
      <c r="H23" s="302">
        <f t="shared" si="1"/>
      </c>
      <c r="I23" s="303">
        <f t="shared" si="4"/>
      </c>
      <c r="J23" s="304">
        <f t="shared" si="2"/>
      </c>
      <c r="K23" s="301"/>
      <c r="L23" s="305">
        <f t="shared" si="3"/>
      </c>
      <c r="M23" s="317"/>
      <c r="N23" s="307"/>
    </row>
    <row r="24" spans="1:13" ht="13.5" customHeight="1">
      <c r="A24" s="288">
        <v>15</v>
      </c>
      <c r="B24" s="289" t="s">
        <v>375</v>
      </c>
      <c r="C24" s="299"/>
      <c r="D24" s="314"/>
      <c r="E24" s="301"/>
      <c r="F24" s="302">
        <f t="shared" si="0"/>
      </c>
      <c r="G24" s="301"/>
      <c r="H24" s="302">
        <f t="shared" si="1"/>
      </c>
      <c r="I24" s="303">
        <f t="shared" si="4"/>
      </c>
      <c r="J24" s="304">
        <f t="shared" si="2"/>
      </c>
      <c r="K24" s="301"/>
      <c r="L24" s="305">
        <f t="shared" si="3"/>
      </c>
      <c r="M24" s="315"/>
    </row>
    <row r="25" spans="1:13" ht="13.5" customHeight="1">
      <c r="A25" s="288">
        <v>16</v>
      </c>
      <c r="B25" s="289" t="s">
        <v>376</v>
      </c>
      <c r="C25" s="299">
        <v>1</v>
      </c>
      <c r="D25" s="314"/>
      <c r="E25" s="301"/>
      <c r="F25" s="302">
        <f t="shared" si="0"/>
      </c>
      <c r="G25" s="301"/>
      <c r="H25" s="302">
        <f t="shared" si="1"/>
      </c>
      <c r="I25" s="303">
        <f t="shared" si="4"/>
      </c>
      <c r="J25" s="304">
        <f t="shared" si="2"/>
      </c>
      <c r="K25" s="301"/>
      <c r="L25" s="305">
        <f t="shared" si="3"/>
      </c>
      <c r="M25" s="315"/>
    </row>
    <row r="26" spans="1:13" ht="13.5" customHeight="1">
      <c r="A26" s="288"/>
      <c r="B26" s="289"/>
      <c r="C26" s="318"/>
      <c r="D26" s="314"/>
      <c r="E26" s="301"/>
      <c r="F26" s="302">
        <f t="shared" si="0"/>
      </c>
      <c r="G26" s="301"/>
      <c r="H26" s="302">
        <f t="shared" si="1"/>
      </c>
      <c r="I26" s="303">
        <f t="shared" si="4"/>
      </c>
      <c r="J26" s="304">
        <f t="shared" si="2"/>
      </c>
      <c r="K26" s="301"/>
      <c r="L26" s="305">
        <f t="shared" si="3"/>
      </c>
      <c r="M26" s="315"/>
    </row>
    <row r="27" spans="1:13" ht="13.5" customHeight="1">
      <c r="A27" s="288"/>
      <c r="B27" s="289"/>
      <c r="C27" s="318"/>
      <c r="D27" s="314"/>
      <c r="E27" s="301"/>
      <c r="F27" s="302">
        <f t="shared" si="0"/>
      </c>
      <c r="G27" s="301"/>
      <c r="H27" s="302">
        <f t="shared" si="1"/>
      </c>
      <c r="I27" s="303"/>
      <c r="J27" s="304">
        <f t="shared" si="2"/>
      </c>
      <c r="K27" s="301"/>
      <c r="L27" s="305">
        <f t="shared" si="3"/>
      </c>
      <c r="M27" s="315"/>
    </row>
    <row r="28" spans="1:13" ht="13.5" customHeight="1">
      <c r="A28" s="288"/>
      <c r="B28" s="289"/>
      <c r="C28" s="318"/>
      <c r="D28" s="314"/>
      <c r="E28" s="301"/>
      <c r="F28" s="302">
        <f t="shared" si="0"/>
      </c>
      <c r="G28" s="301"/>
      <c r="H28" s="302">
        <f t="shared" si="1"/>
      </c>
      <c r="I28" s="303"/>
      <c r="J28" s="304">
        <f t="shared" si="2"/>
      </c>
      <c r="K28" s="301"/>
      <c r="L28" s="305">
        <f t="shared" si="3"/>
      </c>
      <c r="M28" s="315"/>
    </row>
    <row r="29" spans="1:13" ht="13.5" customHeight="1">
      <c r="A29" s="288">
        <v>17</v>
      </c>
      <c r="B29" s="319" t="s">
        <v>377</v>
      </c>
      <c r="C29" s="320">
        <v>1</v>
      </c>
      <c r="D29" s="321"/>
      <c r="E29" s="322"/>
      <c r="F29" s="323">
        <f t="shared" si="0"/>
      </c>
      <c r="G29" s="322"/>
      <c r="H29" s="323">
        <f t="shared" si="1"/>
      </c>
      <c r="I29" s="324">
        <f>IF((+E29+G29-K29)=0,"",(+E29+G29-K29))</f>
      </c>
      <c r="J29" s="325">
        <f t="shared" si="2"/>
      </c>
      <c r="K29" s="322"/>
      <c r="L29" s="323">
        <f t="shared" si="3"/>
      </c>
      <c r="M29" s="326"/>
    </row>
    <row r="30" spans="1:13" ht="12">
      <c r="A30" s="263"/>
      <c r="B30" s="225"/>
      <c r="C30" s="225"/>
      <c r="D30" s="225"/>
      <c r="E30" s="225"/>
      <c r="F30" s="264"/>
      <c r="G30" s="264"/>
      <c r="H30" s="264"/>
      <c r="I30" s="225"/>
      <c r="J30" s="225"/>
      <c r="K30" s="225"/>
      <c r="L30" s="264"/>
      <c r="M30" s="225"/>
    </row>
    <row r="31" spans="1:13" ht="20.25" customHeight="1">
      <c r="A31" s="268"/>
      <c r="B31" s="420" t="str">
        <f>critères!B29</f>
        <v>belote</v>
      </c>
      <c r="C31" s="420"/>
      <c r="D31" s="420"/>
      <c r="E31" s="420"/>
      <c r="F31" s="420"/>
      <c r="G31" s="420"/>
      <c r="H31" s="420"/>
      <c r="I31" s="420"/>
      <c r="J31" s="420"/>
      <c r="K31" s="420"/>
      <c r="L31" s="420"/>
      <c r="M31" s="269">
        <f ca="1">TODAY()</f>
        <v>44111</v>
      </c>
    </row>
    <row r="32" spans="1:15" ht="36.75" customHeight="1">
      <c r="A32" s="270"/>
      <c r="B32" s="271" t="s">
        <v>378</v>
      </c>
      <c r="C32" s="272"/>
      <c r="D32" s="273" t="s">
        <v>342</v>
      </c>
      <c r="E32" s="421" t="s">
        <v>343</v>
      </c>
      <c r="F32" s="421"/>
      <c r="G32" s="422" t="s">
        <v>344</v>
      </c>
      <c r="H32" s="422"/>
      <c r="I32" s="423" t="s">
        <v>345</v>
      </c>
      <c r="J32" s="423"/>
      <c r="K32" s="424" t="s">
        <v>346</v>
      </c>
      <c r="L32" s="424"/>
      <c r="M32" s="274" t="s">
        <v>347</v>
      </c>
      <c r="N32" s="275"/>
      <c r="O32" s="275"/>
    </row>
    <row r="33" spans="1:18" ht="13.5" customHeight="1">
      <c r="A33" s="270"/>
      <c r="B33" s="276"/>
      <c r="C33" s="277"/>
      <c r="D33" s="278"/>
      <c r="E33" s="279"/>
      <c r="F33" s="280">
        <f>SUM(F35:F59)</f>
        <v>133.6558</v>
      </c>
      <c r="G33" s="281"/>
      <c r="H33" s="280">
        <f>SUM(H35:H59)</f>
        <v>312.54</v>
      </c>
      <c r="I33" s="282"/>
      <c r="J33" s="280">
        <f>SUM(J35:J59)</f>
        <v>227.3944</v>
      </c>
      <c r="K33" s="282"/>
      <c r="L33" s="283">
        <f>SUM(L35:L59)</f>
        <v>153.2214</v>
      </c>
      <c r="M33" s="284">
        <f>+L33-F33</f>
        <v>19.56559999999999</v>
      </c>
      <c r="P33" s="285" t="s">
        <v>349</v>
      </c>
      <c r="Q33" s="286" t="s">
        <v>350</v>
      </c>
      <c r="R33" s="287"/>
    </row>
    <row r="34" spans="1:18" ht="13.5" customHeight="1">
      <c r="A34" s="288"/>
      <c r="B34" s="289"/>
      <c r="C34" s="290" t="s">
        <v>351</v>
      </c>
      <c r="D34" s="291"/>
      <c r="E34" s="290" t="s">
        <v>352</v>
      </c>
      <c r="F34" s="292" t="s">
        <v>353</v>
      </c>
      <c r="G34" s="293" t="s">
        <v>352</v>
      </c>
      <c r="H34" s="292" t="s">
        <v>353</v>
      </c>
      <c r="I34" s="294" t="s">
        <v>352</v>
      </c>
      <c r="J34" s="295" t="s">
        <v>353</v>
      </c>
      <c r="K34" s="293" t="s">
        <v>352</v>
      </c>
      <c r="L34" s="296" t="s">
        <v>353</v>
      </c>
      <c r="M34" s="297"/>
      <c r="P34" s="298" t="s">
        <v>354</v>
      </c>
      <c r="Q34" s="35">
        <v>13.3</v>
      </c>
      <c r="R34" s="16" t="s">
        <v>355</v>
      </c>
    </row>
    <row r="35" spans="1:18" ht="13.5" customHeight="1">
      <c r="A35" s="288">
        <v>1</v>
      </c>
      <c r="B35" s="289" t="s">
        <v>356</v>
      </c>
      <c r="C35" s="327">
        <v>0.42</v>
      </c>
      <c r="D35" s="300">
        <v>1.5</v>
      </c>
      <c r="E35" s="301"/>
      <c r="F35" s="302">
        <f aca="true" t="shared" si="5" ref="F35:F59">IF(($C35*E35)=0,"",$C35*E35)</f>
      </c>
      <c r="G35" s="301">
        <v>12</v>
      </c>
      <c r="H35" s="302">
        <f aca="true" t="shared" si="6" ref="H35:H47">IF(($C35*G35)=0,"",$C35*G35)</f>
        <v>5.04</v>
      </c>
      <c r="I35" s="303">
        <v>3</v>
      </c>
      <c r="J35" s="304">
        <f aca="true" t="shared" si="7" ref="J35:J47">IF(I35="","",+I35*$C35)</f>
        <v>1.26</v>
      </c>
      <c r="K35" s="301">
        <v>9</v>
      </c>
      <c r="L35" s="305">
        <f aca="true" t="shared" si="8" ref="L35:L59">IF(($C35*K35)=0,"",$C35*K35)</f>
        <v>3.78</v>
      </c>
      <c r="M35" s="306"/>
      <c r="N35" s="307"/>
      <c r="P35" s="298"/>
      <c r="Q35" s="35"/>
      <c r="R35" s="16"/>
    </row>
    <row r="36" spans="1:18" ht="13.5" customHeight="1">
      <c r="A36" s="288">
        <v>2</v>
      </c>
      <c r="B36" s="289" t="s">
        <v>357</v>
      </c>
      <c r="C36" s="327">
        <v>0.38</v>
      </c>
      <c r="D36" s="300">
        <v>1.5</v>
      </c>
      <c r="E36" s="301"/>
      <c r="F36" s="302">
        <f t="shared" si="5"/>
      </c>
      <c r="G36" s="301"/>
      <c r="H36" s="302">
        <f t="shared" si="6"/>
      </c>
      <c r="I36" s="303">
        <f>IF((+E36+G36-K36)=0,"",(+E36+G36-K36))</f>
      </c>
      <c r="J36" s="304">
        <f t="shared" si="7"/>
      </c>
      <c r="K36" s="301"/>
      <c r="L36" s="305">
        <f t="shared" si="8"/>
      </c>
      <c r="M36" s="306"/>
      <c r="P36" s="308" t="s">
        <v>354</v>
      </c>
      <c r="Q36" s="309">
        <v>80</v>
      </c>
      <c r="R36" s="310" t="s">
        <v>358</v>
      </c>
    </row>
    <row r="37" spans="1:13" ht="13.5" customHeight="1">
      <c r="A37" s="288">
        <v>3</v>
      </c>
      <c r="B37" s="289" t="s">
        <v>379</v>
      </c>
      <c r="C37" s="327">
        <v>15.94</v>
      </c>
      <c r="D37" s="300">
        <v>2</v>
      </c>
      <c r="E37" s="301">
        <v>4</v>
      </c>
      <c r="F37" s="302">
        <f t="shared" si="5"/>
        <v>63.76</v>
      </c>
      <c r="G37" s="301">
        <v>8</v>
      </c>
      <c r="H37" s="302">
        <f t="shared" si="6"/>
        <v>127.52</v>
      </c>
      <c r="I37" s="303">
        <v>10</v>
      </c>
      <c r="J37" s="304">
        <f t="shared" si="7"/>
        <v>159.4</v>
      </c>
      <c r="K37" s="328">
        <v>0</v>
      </c>
      <c r="L37" s="305">
        <f t="shared" si="8"/>
      </c>
      <c r="M37" s="329">
        <v>-15.94</v>
      </c>
    </row>
    <row r="38" spans="1:18" ht="13.5" customHeight="1">
      <c r="A38" s="288">
        <v>4</v>
      </c>
      <c r="B38" s="289" t="s">
        <v>360</v>
      </c>
      <c r="C38" s="327">
        <v>3.1</v>
      </c>
      <c r="D38" s="300">
        <v>0.8</v>
      </c>
      <c r="E38" s="301">
        <v>10</v>
      </c>
      <c r="F38" s="302">
        <f t="shared" si="5"/>
        <v>31</v>
      </c>
      <c r="G38" s="301">
        <v>40</v>
      </c>
      <c r="H38" s="302">
        <f t="shared" si="6"/>
        <v>124</v>
      </c>
      <c r="I38" s="303">
        <v>10</v>
      </c>
      <c r="J38" s="304">
        <f t="shared" si="7"/>
        <v>31</v>
      </c>
      <c r="K38" s="301">
        <v>30</v>
      </c>
      <c r="L38" s="305">
        <f t="shared" si="8"/>
        <v>93</v>
      </c>
      <c r="M38" s="306"/>
      <c r="P38" s="330" t="s">
        <v>380</v>
      </c>
      <c r="Q38" s="331" t="s">
        <v>381</v>
      </c>
      <c r="R38" s="287"/>
    </row>
    <row r="39" spans="1:18" ht="13.5" customHeight="1">
      <c r="A39" s="288">
        <v>5</v>
      </c>
      <c r="B39" s="289" t="s">
        <v>361</v>
      </c>
      <c r="C39" s="327">
        <v>2.57</v>
      </c>
      <c r="D39" s="300">
        <v>0.8</v>
      </c>
      <c r="E39" s="301">
        <v>4</v>
      </c>
      <c r="F39" s="302">
        <f t="shared" si="5"/>
        <v>10.28</v>
      </c>
      <c r="G39" s="301">
        <v>3</v>
      </c>
      <c r="H39" s="302">
        <f t="shared" si="6"/>
        <v>7.709999999999999</v>
      </c>
      <c r="I39" s="303">
        <v>1</v>
      </c>
      <c r="J39" s="304">
        <f t="shared" si="7"/>
        <v>2.57</v>
      </c>
      <c r="K39" s="301">
        <v>6</v>
      </c>
      <c r="L39" s="305">
        <f t="shared" si="8"/>
        <v>15.419999999999998</v>
      </c>
      <c r="M39" s="306"/>
      <c r="N39" s="307"/>
      <c r="P39" s="17" t="s">
        <v>382</v>
      </c>
      <c r="Q39" s="332"/>
      <c r="R39" s="333"/>
    </row>
    <row r="40" spans="1:18" ht="13.5" customHeight="1">
      <c r="A40" s="288">
        <v>6</v>
      </c>
      <c r="B40" s="289" t="s">
        <v>362</v>
      </c>
      <c r="C40" s="299">
        <v>2.91</v>
      </c>
      <c r="D40" s="300">
        <v>0.8</v>
      </c>
      <c r="E40" s="311"/>
      <c r="F40" s="302">
        <f t="shared" si="5"/>
      </c>
      <c r="G40" s="301"/>
      <c r="H40" s="302">
        <f t="shared" si="6"/>
      </c>
      <c r="I40" s="303">
        <f>IF((+E40+G40-K40)=0,"",(+E40+G40-K40))</f>
      </c>
      <c r="J40" s="304">
        <f t="shared" si="7"/>
      </c>
      <c r="K40" s="301"/>
      <c r="L40" s="305">
        <f t="shared" si="8"/>
      </c>
      <c r="M40" s="306"/>
      <c r="P40" s="298" t="s">
        <v>354</v>
      </c>
      <c r="Q40" s="41">
        <v>15</v>
      </c>
      <c r="R40" s="334" t="s">
        <v>358</v>
      </c>
    </row>
    <row r="41" spans="1:18" ht="13.5" customHeight="1">
      <c r="A41" s="288">
        <v>7</v>
      </c>
      <c r="B41" s="289" t="s">
        <v>363</v>
      </c>
      <c r="C41" s="299">
        <v>1.33</v>
      </c>
      <c r="D41" s="300">
        <v>0.5</v>
      </c>
      <c r="E41" s="311"/>
      <c r="F41" s="302">
        <f t="shared" si="5"/>
      </c>
      <c r="G41" s="301"/>
      <c r="H41" s="302">
        <f t="shared" si="6"/>
      </c>
      <c r="I41" s="303">
        <f>IF((+E41+G41-K41)=0,"",(+E41+G41-K41))</f>
      </c>
      <c r="J41" s="304">
        <f t="shared" si="7"/>
      </c>
      <c r="K41" s="311"/>
      <c r="L41" s="305">
        <f t="shared" si="8"/>
      </c>
      <c r="M41" s="306"/>
      <c r="P41" s="335"/>
      <c r="Q41" s="336"/>
      <c r="R41" s="337"/>
    </row>
    <row r="42" spans="1:18" ht="13.5" customHeight="1">
      <c r="A42" s="288">
        <v>8</v>
      </c>
      <c r="B42" s="289" t="s">
        <v>364</v>
      </c>
      <c r="C42" s="327">
        <v>1.6</v>
      </c>
      <c r="D42" s="300"/>
      <c r="E42" s="301"/>
      <c r="F42" s="302">
        <f t="shared" si="5"/>
      </c>
      <c r="G42" s="301"/>
      <c r="H42" s="302">
        <f t="shared" si="6"/>
      </c>
      <c r="I42" s="303">
        <f>IF((+E42+G42-K42)=0,"",(+E42+G42-K42))</f>
      </c>
      <c r="J42" s="304">
        <f t="shared" si="7"/>
      </c>
      <c r="K42" s="301"/>
      <c r="L42" s="305">
        <f t="shared" si="8"/>
      </c>
      <c r="M42" s="306"/>
      <c r="N42" s="313"/>
      <c r="Q42" s="312"/>
      <c r="R42" s="262"/>
    </row>
    <row r="43" spans="1:18" ht="13.5" customHeight="1">
      <c r="A43" s="288">
        <v>9</v>
      </c>
      <c r="B43" s="289" t="s">
        <v>383</v>
      </c>
      <c r="C43" s="299">
        <v>1.2</v>
      </c>
      <c r="D43" s="300">
        <v>0.8</v>
      </c>
      <c r="E43" s="301">
        <v>2</v>
      </c>
      <c r="F43" s="302">
        <f t="shared" si="5"/>
        <v>2.4</v>
      </c>
      <c r="G43" s="301">
        <v>8.5</v>
      </c>
      <c r="H43" s="302">
        <f t="shared" si="6"/>
        <v>10.2</v>
      </c>
      <c r="I43" s="303">
        <f>IF((+E43+G43-K43)=0,"",(+E43+G43-K43))</f>
        <v>3.5</v>
      </c>
      <c r="J43" s="304">
        <f t="shared" si="7"/>
        <v>4.2</v>
      </c>
      <c r="K43" s="301">
        <v>7</v>
      </c>
      <c r="L43" s="305">
        <f t="shared" si="8"/>
        <v>8.4</v>
      </c>
      <c r="M43" s="306"/>
      <c r="Q43" s="312"/>
      <c r="R43" s="262"/>
    </row>
    <row r="44" spans="1:20" ht="13.5" customHeight="1">
      <c r="A44" s="288">
        <v>10</v>
      </c>
      <c r="B44" s="289" t="s">
        <v>366</v>
      </c>
      <c r="C44" s="299">
        <v>1.04</v>
      </c>
      <c r="D44" s="300">
        <v>0.8</v>
      </c>
      <c r="E44" s="301">
        <v>2</v>
      </c>
      <c r="F44" s="302">
        <f t="shared" si="5"/>
        <v>2.08</v>
      </c>
      <c r="G44" s="301">
        <v>12</v>
      </c>
      <c r="H44" s="302">
        <f t="shared" si="6"/>
        <v>12.48</v>
      </c>
      <c r="I44" s="303">
        <f>IF((+E44+G44-K44)=0,"",(+E44+G44-K44))</f>
        <v>14</v>
      </c>
      <c r="J44" s="304">
        <f t="shared" si="7"/>
        <v>14.56</v>
      </c>
      <c r="K44" s="301"/>
      <c r="L44" s="305">
        <f t="shared" si="8"/>
      </c>
      <c r="M44" s="306"/>
      <c r="P44" s="338" t="s">
        <v>384</v>
      </c>
      <c r="Q44" s="339"/>
      <c r="R44" s="340"/>
      <c r="S44" s="338"/>
      <c r="T44" s="338"/>
    </row>
    <row r="45" spans="1:20" ht="13.5" customHeight="1">
      <c r="A45" s="288">
        <v>11</v>
      </c>
      <c r="B45" s="289" t="s">
        <v>385</v>
      </c>
      <c r="C45" s="299">
        <v>0.46</v>
      </c>
      <c r="D45" s="300"/>
      <c r="E45" s="301">
        <v>39</v>
      </c>
      <c r="F45" s="302">
        <f t="shared" si="5"/>
        <v>17.94</v>
      </c>
      <c r="G45" s="301"/>
      <c r="H45" s="302">
        <f t="shared" si="6"/>
      </c>
      <c r="I45" s="303">
        <v>5</v>
      </c>
      <c r="J45" s="304">
        <f t="shared" si="7"/>
        <v>2.3000000000000003</v>
      </c>
      <c r="K45" s="301">
        <v>34</v>
      </c>
      <c r="L45" s="305">
        <f t="shared" si="8"/>
        <v>15.64</v>
      </c>
      <c r="M45" s="306"/>
      <c r="P45" s="338" t="s">
        <v>386</v>
      </c>
      <c r="Q45" s="339"/>
      <c r="R45" s="340"/>
      <c r="S45" s="338"/>
      <c r="T45" s="338"/>
    </row>
    <row r="46" spans="1:13" ht="13.5" customHeight="1">
      <c r="A46" s="288">
        <v>12</v>
      </c>
      <c r="B46" s="289" t="s">
        <v>368</v>
      </c>
      <c r="C46" s="299">
        <v>0.0932</v>
      </c>
      <c r="D46" s="300">
        <v>0.8</v>
      </c>
      <c r="E46" s="301"/>
      <c r="F46" s="302">
        <f t="shared" si="5"/>
      </c>
      <c r="G46" s="301"/>
      <c r="H46" s="302">
        <f t="shared" si="6"/>
      </c>
      <c r="I46" s="303">
        <f>IF((+E46+G46-K46)=0,"",(+E46+G46-K46))</f>
      </c>
      <c r="J46" s="304">
        <f t="shared" si="7"/>
      </c>
      <c r="K46" s="301"/>
      <c r="L46" s="305">
        <f t="shared" si="8"/>
      </c>
      <c r="M46" s="306"/>
    </row>
    <row r="47" spans="1:14" ht="13.5" customHeight="1">
      <c r="A47" s="288">
        <v>13</v>
      </c>
      <c r="B47" s="289" t="s">
        <v>387</v>
      </c>
      <c r="C47" s="327">
        <v>0.18</v>
      </c>
      <c r="D47" s="300">
        <v>0.8</v>
      </c>
      <c r="E47" s="301"/>
      <c r="F47" s="302">
        <f t="shared" si="5"/>
      </c>
      <c r="G47" s="301">
        <v>60</v>
      </c>
      <c r="H47" s="302">
        <f t="shared" si="6"/>
        <v>10.799999999999999</v>
      </c>
      <c r="I47" s="303">
        <v>1</v>
      </c>
      <c r="J47" s="304">
        <f t="shared" si="7"/>
        <v>0.18</v>
      </c>
      <c r="K47" s="301">
        <v>59</v>
      </c>
      <c r="L47" s="305">
        <f t="shared" si="8"/>
        <v>10.62</v>
      </c>
      <c r="M47" s="306"/>
      <c r="N47" s="307"/>
    </row>
    <row r="48" spans="1:14" ht="13.5" customHeight="1">
      <c r="A48" s="288"/>
      <c r="B48" s="289" t="s">
        <v>388</v>
      </c>
      <c r="C48" s="327">
        <v>0.15</v>
      </c>
      <c r="D48" s="300"/>
      <c r="E48" s="301">
        <v>18</v>
      </c>
      <c r="F48" s="302">
        <f t="shared" si="5"/>
        <v>2.6999999999999997</v>
      </c>
      <c r="G48" s="301"/>
      <c r="H48" s="302"/>
      <c r="I48" s="303">
        <v>18</v>
      </c>
      <c r="J48" s="304"/>
      <c r="K48" s="301">
        <v>0</v>
      </c>
      <c r="L48" s="305">
        <f t="shared" si="8"/>
      </c>
      <c r="M48" s="306"/>
      <c r="N48" s="307"/>
    </row>
    <row r="49" spans="1:13" ht="13.5" customHeight="1">
      <c r="A49" s="288">
        <v>14</v>
      </c>
      <c r="B49" s="289" t="s">
        <v>370</v>
      </c>
      <c r="C49" s="327">
        <v>0.0154</v>
      </c>
      <c r="D49" s="314"/>
      <c r="E49" s="301">
        <v>227</v>
      </c>
      <c r="F49" s="302">
        <f t="shared" si="5"/>
        <v>3.4958</v>
      </c>
      <c r="G49" s="301"/>
      <c r="H49" s="302">
        <f aca="true" t="shared" si="9" ref="H49:H59">IF(($C49*G49)=0,"",$C49*G49)</f>
      </c>
      <c r="I49" s="303">
        <v>36</v>
      </c>
      <c r="J49" s="304">
        <f aca="true" t="shared" si="10" ref="J49:J59">IF(I49="","",+I49*$C49)</f>
        <v>0.5544</v>
      </c>
      <c r="K49" s="301">
        <v>191</v>
      </c>
      <c r="L49" s="305">
        <f t="shared" si="8"/>
        <v>2.9414000000000002</v>
      </c>
      <c r="M49" s="306"/>
    </row>
    <row r="50" spans="1:14" ht="13.5" customHeight="1">
      <c r="A50" s="288">
        <v>15</v>
      </c>
      <c r="B50" s="289" t="s">
        <v>389</v>
      </c>
      <c r="C50" s="327">
        <v>3.79</v>
      </c>
      <c r="D50" s="300">
        <v>0.5</v>
      </c>
      <c r="E50" s="311"/>
      <c r="F50" s="302">
        <f t="shared" si="5"/>
      </c>
      <c r="G50" s="311">
        <v>3</v>
      </c>
      <c r="H50" s="302">
        <f t="shared" si="9"/>
        <v>11.370000000000001</v>
      </c>
      <c r="I50" s="303">
        <f>IF((+E50+G50-K50)=0,"",(+E50+G50-K50))</f>
        <v>3</v>
      </c>
      <c r="J50" s="304">
        <f t="shared" si="10"/>
        <v>11.370000000000001</v>
      </c>
      <c r="K50" s="311"/>
      <c r="L50" s="305">
        <f t="shared" si="8"/>
      </c>
      <c r="M50" s="306"/>
      <c r="N50" s="307"/>
    </row>
    <row r="51" spans="1:13" ht="13.5" customHeight="1">
      <c r="A51" s="288">
        <v>12</v>
      </c>
      <c r="B51" s="289"/>
      <c r="C51" s="327"/>
      <c r="D51" s="314"/>
      <c r="E51" s="301"/>
      <c r="F51" s="302">
        <f t="shared" si="5"/>
      </c>
      <c r="G51" s="301"/>
      <c r="H51" s="302">
        <f t="shared" si="9"/>
      </c>
      <c r="I51" s="303">
        <f>IF((+E51+G51-K51)=0,"",(+E51+G51-K51))</f>
      </c>
      <c r="J51" s="304">
        <f t="shared" si="10"/>
      </c>
      <c r="K51" s="301"/>
      <c r="L51" s="305">
        <f t="shared" si="8"/>
      </c>
      <c r="M51" s="306"/>
    </row>
    <row r="52" spans="1:13" ht="13.5" customHeight="1">
      <c r="A52" s="288">
        <v>13</v>
      </c>
      <c r="B52" s="289" t="s">
        <v>390</v>
      </c>
      <c r="C52" s="299">
        <v>0.57</v>
      </c>
      <c r="D52" s="314"/>
      <c r="E52" s="301"/>
      <c r="F52" s="302">
        <f t="shared" si="5"/>
      </c>
      <c r="G52" s="301">
        <v>6</v>
      </c>
      <c r="H52" s="302">
        <f t="shared" si="9"/>
        <v>3.42</v>
      </c>
      <c r="I52" s="303">
        <v>0</v>
      </c>
      <c r="J52" s="304">
        <f t="shared" si="10"/>
        <v>0</v>
      </c>
      <c r="K52" s="301">
        <v>6</v>
      </c>
      <c r="L52" s="305">
        <f t="shared" si="8"/>
        <v>3.42</v>
      </c>
      <c r="M52" s="315"/>
    </row>
    <row r="53" spans="1:14" ht="13.5" customHeight="1">
      <c r="A53" s="288">
        <v>14</v>
      </c>
      <c r="B53" s="289" t="s">
        <v>374</v>
      </c>
      <c r="C53" s="318">
        <v>1</v>
      </c>
      <c r="D53" s="314"/>
      <c r="E53" s="301"/>
      <c r="F53" s="302">
        <f t="shared" si="5"/>
      </c>
      <c r="G53" s="316"/>
      <c r="H53" s="302">
        <f t="shared" si="9"/>
      </c>
      <c r="I53" s="303">
        <f>IF((+E53+G53-K53)=0,"",(+E53+G53-K53))</f>
      </c>
      <c r="J53" s="304">
        <f t="shared" si="10"/>
      </c>
      <c r="K53" s="301"/>
      <c r="L53" s="305">
        <f t="shared" si="8"/>
      </c>
      <c r="M53" s="317"/>
      <c r="N53" s="307"/>
    </row>
    <row r="54" spans="1:13" ht="13.5" customHeight="1">
      <c r="A54" s="288">
        <v>15</v>
      </c>
      <c r="B54" s="289" t="s">
        <v>375</v>
      </c>
      <c r="C54" s="318"/>
      <c r="D54" s="314"/>
      <c r="E54" s="301"/>
      <c r="F54" s="302">
        <f t="shared" si="5"/>
      </c>
      <c r="G54" s="301"/>
      <c r="H54" s="302">
        <f t="shared" si="9"/>
      </c>
      <c r="I54" s="303">
        <f>IF((+E54+G54-K54)=0,"",(+E54+G54-K54))</f>
      </c>
      <c r="J54" s="304">
        <f t="shared" si="10"/>
      </c>
      <c r="K54" s="301"/>
      <c r="L54" s="305">
        <f t="shared" si="8"/>
      </c>
      <c r="M54" s="315"/>
    </row>
    <row r="55" spans="1:13" ht="13.5" customHeight="1">
      <c r="A55" s="288">
        <v>16</v>
      </c>
      <c r="B55" s="289" t="s">
        <v>376</v>
      </c>
      <c r="C55" s="318">
        <v>1</v>
      </c>
      <c r="D55" s="314"/>
      <c r="E55" s="301"/>
      <c r="F55" s="302">
        <f t="shared" si="5"/>
      </c>
      <c r="G55" s="301"/>
      <c r="H55" s="302">
        <f t="shared" si="9"/>
      </c>
      <c r="I55" s="303">
        <f>IF((+E55+G55-K55)=0,"",(+E55+G55-K55))</f>
      </c>
      <c r="J55" s="304">
        <f t="shared" si="10"/>
      </c>
      <c r="K55" s="301"/>
      <c r="L55" s="305">
        <f t="shared" si="8"/>
      </c>
      <c r="M55" s="315"/>
    </row>
    <row r="56" spans="1:13" ht="13.5" customHeight="1">
      <c r="A56" s="288"/>
      <c r="B56" s="289" t="s">
        <v>391</v>
      </c>
      <c r="C56" s="318"/>
      <c r="D56" s="314"/>
      <c r="E56" s="301"/>
      <c r="F56" s="302">
        <f t="shared" si="5"/>
      </c>
      <c r="G56" s="301"/>
      <c r="H56" s="302">
        <f t="shared" si="9"/>
      </c>
      <c r="I56" s="303">
        <f>IF((+E56+G56-K56)=0,"",(+E56+G56-K56))</f>
      </c>
      <c r="J56" s="304">
        <f t="shared" si="10"/>
      </c>
      <c r="K56" s="301"/>
      <c r="L56" s="305">
        <f t="shared" si="8"/>
      </c>
      <c r="M56" s="315"/>
    </row>
    <row r="57" spans="1:13" ht="13.5" customHeight="1">
      <c r="A57" s="288"/>
      <c r="B57" s="289"/>
      <c r="C57" s="318"/>
      <c r="D57" s="314"/>
      <c r="E57" s="301"/>
      <c r="F57" s="302">
        <f t="shared" si="5"/>
      </c>
      <c r="G57" s="301"/>
      <c r="H57" s="302">
        <f t="shared" si="9"/>
      </c>
      <c r="I57" s="303"/>
      <c r="J57" s="304">
        <f t="shared" si="10"/>
      </c>
      <c r="K57" s="301"/>
      <c r="L57" s="305">
        <f t="shared" si="8"/>
      </c>
      <c r="M57" s="315"/>
    </row>
    <row r="58" spans="1:13" ht="13.5" customHeight="1">
      <c r="A58" s="288"/>
      <c r="B58" s="289"/>
      <c r="C58" s="318"/>
      <c r="D58" s="314"/>
      <c r="E58" s="301"/>
      <c r="F58" s="302">
        <f t="shared" si="5"/>
      </c>
      <c r="G58" s="301"/>
      <c r="H58" s="302">
        <f t="shared" si="9"/>
      </c>
      <c r="I58" s="303"/>
      <c r="J58" s="304">
        <f t="shared" si="10"/>
      </c>
      <c r="K58" s="301"/>
      <c r="L58" s="305">
        <f t="shared" si="8"/>
      </c>
      <c r="M58" s="315"/>
    </row>
    <row r="59" spans="1:13" ht="13.5" customHeight="1">
      <c r="A59" s="288">
        <v>17</v>
      </c>
      <c r="B59" s="319" t="s">
        <v>377</v>
      </c>
      <c r="C59" s="320">
        <v>1</v>
      </c>
      <c r="D59" s="321"/>
      <c r="E59" s="322"/>
      <c r="F59" s="323">
        <f t="shared" si="5"/>
      </c>
      <c r="G59" s="322"/>
      <c r="H59" s="323">
        <f t="shared" si="9"/>
      </c>
      <c r="I59" s="324">
        <f>IF((+E59+G59-K59)=0,"",(+E59+G59-K59))</f>
      </c>
      <c r="J59" s="325">
        <f t="shared" si="10"/>
      </c>
      <c r="K59" s="322"/>
      <c r="L59" s="341">
        <f t="shared" si="8"/>
      </c>
      <c r="M59" s="326"/>
    </row>
    <row r="60" spans="1:13" ht="12">
      <c r="A60" s="263"/>
      <c r="B60" s="225"/>
      <c r="C60" s="225"/>
      <c r="D60" s="225"/>
      <c r="E60" s="225"/>
      <c r="F60" s="264"/>
      <c r="G60" s="264"/>
      <c r="H60" s="264"/>
      <c r="I60" s="225"/>
      <c r="J60" s="225"/>
      <c r="K60" s="225"/>
      <c r="L60" s="264"/>
      <c r="M60" s="225"/>
    </row>
    <row r="61" spans="1:13" ht="20.25" customHeight="1">
      <c r="A61" s="268"/>
      <c r="B61" s="420" t="str">
        <f>critères!B30</f>
        <v>concours vétérans mars</v>
      </c>
      <c r="C61" s="420"/>
      <c r="D61" s="420"/>
      <c r="E61" s="420"/>
      <c r="F61" s="420"/>
      <c r="G61" s="420"/>
      <c r="H61" s="420"/>
      <c r="I61" s="420"/>
      <c r="J61" s="420"/>
      <c r="K61" s="420"/>
      <c r="L61" s="420"/>
      <c r="M61" s="269">
        <f ca="1">TODAY()</f>
        <v>44111</v>
      </c>
    </row>
    <row r="62" spans="1:13" ht="36.75" customHeight="1">
      <c r="A62" s="270"/>
      <c r="B62" s="271" t="s">
        <v>392</v>
      </c>
      <c r="C62" s="272">
        <v>360</v>
      </c>
      <c r="D62" s="273" t="s">
        <v>342</v>
      </c>
      <c r="E62" s="421" t="s">
        <v>343</v>
      </c>
      <c r="F62" s="421"/>
      <c r="G62" s="422" t="s">
        <v>344</v>
      </c>
      <c r="H62" s="422"/>
      <c r="I62" s="423" t="s">
        <v>345</v>
      </c>
      <c r="J62" s="423"/>
      <c r="K62" s="424" t="s">
        <v>346</v>
      </c>
      <c r="L62" s="424"/>
      <c r="M62" s="274" t="s">
        <v>347</v>
      </c>
    </row>
    <row r="63" spans="1:16" ht="13.5" customHeight="1">
      <c r="A63" s="270"/>
      <c r="B63" s="276" t="s">
        <v>393</v>
      </c>
      <c r="C63" s="277">
        <v>54</v>
      </c>
      <c r="D63" s="278"/>
      <c r="E63" s="279"/>
      <c r="F63" s="280">
        <f>SUM(F65:F88)</f>
        <v>286.134</v>
      </c>
      <c r="G63" s="281"/>
      <c r="H63" s="280">
        <f>SUM(H65:H88)</f>
        <v>118.72500000000001</v>
      </c>
      <c r="I63" s="282"/>
      <c r="J63" s="280">
        <f>SUM(J65:J88)</f>
        <v>245.39640000000003</v>
      </c>
      <c r="K63" s="282"/>
      <c r="L63" s="283">
        <f>SUM(L65:L88)</f>
        <v>159.4626</v>
      </c>
      <c r="M63" s="284">
        <f>+L63-F63</f>
        <v>-126.6714</v>
      </c>
      <c r="N63" s="307" t="s">
        <v>394</v>
      </c>
      <c r="P63" s="15"/>
    </row>
    <row r="64" spans="1:16" ht="13.5" customHeight="1">
      <c r="A64" s="288"/>
      <c r="B64" s="289" t="s">
        <v>395</v>
      </c>
      <c r="C64" s="290" t="s">
        <v>351</v>
      </c>
      <c r="D64" s="291"/>
      <c r="E64" s="290" t="s">
        <v>352</v>
      </c>
      <c r="F64" s="292" t="s">
        <v>353</v>
      </c>
      <c r="G64" s="293" t="s">
        <v>352</v>
      </c>
      <c r="H64" s="292" t="s">
        <v>353</v>
      </c>
      <c r="I64" s="294" t="s">
        <v>352</v>
      </c>
      <c r="J64" s="295" t="s">
        <v>353</v>
      </c>
      <c r="K64" s="293" t="s">
        <v>352</v>
      </c>
      <c r="L64" s="296" t="s">
        <v>353</v>
      </c>
      <c r="M64" s="297"/>
      <c r="N64" s="41" t="s">
        <v>396</v>
      </c>
      <c r="P64" s="15"/>
    </row>
    <row r="65" spans="1:16" ht="13.5" customHeight="1">
      <c r="A65" s="288">
        <v>1</v>
      </c>
      <c r="B65" s="289" t="s">
        <v>356</v>
      </c>
      <c r="C65" s="327">
        <v>0.473</v>
      </c>
      <c r="D65" s="300">
        <v>1.5</v>
      </c>
      <c r="E65" s="301">
        <v>6</v>
      </c>
      <c r="F65" s="302">
        <f aca="true" t="shared" si="11" ref="F65:F88">IF(($C65*E65)=0,"",$C65*E65)</f>
        <v>2.838</v>
      </c>
      <c r="G65" s="301"/>
      <c r="H65" s="302">
        <f aca="true" t="shared" si="12" ref="H65:H88">IF(($C65*G65)=0,"",$C65*G65)</f>
      </c>
      <c r="I65" s="303">
        <f>IF((+E65+G65-K65)=0,"",(+E65+G65-K65))</f>
      </c>
      <c r="J65" s="304">
        <f aca="true" t="shared" si="13" ref="J65:J81">IF(I65="","",+I65*$C65)</f>
      </c>
      <c r="K65" s="301">
        <v>6</v>
      </c>
      <c r="L65" s="305">
        <f aca="true" t="shared" si="14" ref="L65:L87">IF(($C65*K65)=0,"",$C65*K65)</f>
        <v>2.838</v>
      </c>
      <c r="M65" s="306"/>
      <c r="N65" s="41" t="s">
        <v>397</v>
      </c>
      <c r="P65" s="15"/>
    </row>
    <row r="66" spans="1:16" ht="13.5" customHeight="1">
      <c r="A66" s="288">
        <v>2</v>
      </c>
      <c r="B66" s="289" t="s">
        <v>398</v>
      </c>
      <c r="C66" s="327">
        <v>0.43</v>
      </c>
      <c r="D66" s="300">
        <v>1.5</v>
      </c>
      <c r="E66" s="301">
        <v>100</v>
      </c>
      <c r="F66" s="302">
        <f t="shared" si="11"/>
        <v>43</v>
      </c>
      <c r="G66" s="301"/>
      <c r="H66" s="302">
        <f t="shared" si="12"/>
      </c>
      <c r="I66" s="303">
        <f>IF((+E66+G66-K66)=0,"",(+E66+G66-K66))</f>
        <v>11</v>
      </c>
      <c r="J66" s="304">
        <f t="shared" si="13"/>
        <v>4.7299999999999995</v>
      </c>
      <c r="K66" s="301">
        <v>89</v>
      </c>
      <c r="L66" s="305">
        <f t="shared" si="14"/>
        <v>38.269999999999996</v>
      </c>
      <c r="M66" s="306"/>
      <c r="N66" s="307" t="s">
        <v>399</v>
      </c>
      <c r="P66" s="15"/>
    </row>
    <row r="67" spans="1:16" ht="13.5" customHeight="1">
      <c r="A67" s="288">
        <v>3</v>
      </c>
      <c r="B67" s="289" t="s">
        <v>400</v>
      </c>
      <c r="C67" s="327">
        <v>4</v>
      </c>
      <c r="D67" s="300">
        <v>2</v>
      </c>
      <c r="E67" s="301"/>
      <c r="F67" s="302">
        <f t="shared" si="11"/>
      </c>
      <c r="G67" s="301"/>
      <c r="H67" s="302">
        <f t="shared" si="12"/>
      </c>
      <c r="I67" s="303">
        <f>IF((+E67+G67-K67)=0,"",(+E67+G67-K67))</f>
      </c>
      <c r="J67" s="304">
        <f t="shared" si="13"/>
      </c>
      <c r="K67" s="301"/>
      <c r="L67" s="305">
        <f t="shared" si="14"/>
      </c>
      <c r="M67" s="306"/>
      <c r="N67" s="41" t="s">
        <v>401</v>
      </c>
      <c r="P67" s="15"/>
    </row>
    <row r="68" spans="1:16" ht="13.5" customHeight="1">
      <c r="A68" s="288">
        <v>4</v>
      </c>
      <c r="B68" s="289" t="s">
        <v>360</v>
      </c>
      <c r="C68" s="327">
        <v>3.1</v>
      </c>
      <c r="D68" s="300">
        <v>0.8</v>
      </c>
      <c r="E68" s="301">
        <v>25</v>
      </c>
      <c r="F68" s="302">
        <f t="shared" si="11"/>
        <v>77.5</v>
      </c>
      <c r="G68" s="301">
        <v>0</v>
      </c>
      <c r="H68" s="302">
        <f t="shared" si="12"/>
      </c>
      <c r="I68" s="303">
        <f>IF((+E68+G68-K68)=0,"",(+E68+G68-K68))</f>
        <v>15</v>
      </c>
      <c r="J68" s="304">
        <f t="shared" si="13"/>
        <v>46.5</v>
      </c>
      <c r="K68" s="301">
        <v>10</v>
      </c>
      <c r="L68" s="305">
        <f t="shared" si="14"/>
        <v>31</v>
      </c>
      <c r="M68" s="306"/>
      <c r="N68" s="41" t="s">
        <v>402</v>
      </c>
      <c r="P68" s="15"/>
    </row>
    <row r="69" spans="1:16" ht="13.5" customHeight="1">
      <c r="A69" s="288">
        <v>5</v>
      </c>
      <c r="B69" s="289" t="s">
        <v>361</v>
      </c>
      <c r="C69" s="327">
        <v>3.1</v>
      </c>
      <c r="D69" s="300">
        <v>0.8</v>
      </c>
      <c r="E69" s="301">
        <v>10</v>
      </c>
      <c r="F69" s="302">
        <f t="shared" si="11"/>
        <v>31</v>
      </c>
      <c r="G69" s="301"/>
      <c r="H69" s="302">
        <f t="shared" si="12"/>
      </c>
      <c r="I69" s="303">
        <v>6</v>
      </c>
      <c r="J69" s="304">
        <f t="shared" si="13"/>
        <v>18.6</v>
      </c>
      <c r="K69" s="301">
        <v>4</v>
      </c>
      <c r="L69" s="305">
        <f t="shared" si="14"/>
        <v>12.4</v>
      </c>
      <c r="M69" s="306"/>
      <c r="N69" s="41" t="s">
        <v>403</v>
      </c>
      <c r="P69" s="15"/>
    </row>
    <row r="70" spans="1:16" ht="13.5" customHeight="1">
      <c r="A70" s="288">
        <v>6</v>
      </c>
      <c r="B70" s="289" t="s">
        <v>362</v>
      </c>
      <c r="C70" s="299">
        <v>2.35</v>
      </c>
      <c r="D70" s="300">
        <v>0.8</v>
      </c>
      <c r="E70" s="311">
        <v>9</v>
      </c>
      <c r="F70" s="302">
        <f t="shared" si="11"/>
        <v>21.150000000000002</v>
      </c>
      <c r="G70" s="301">
        <v>18</v>
      </c>
      <c r="H70" s="302">
        <f t="shared" si="12"/>
        <v>42.300000000000004</v>
      </c>
      <c r="I70" s="303">
        <f aca="true" t="shared" si="15" ref="I70:I76">IF((+E70+G70-K70)=0,"",(+E70+G70-K70))</f>
        <v>24</v>
      </c>
      <c r="J70" s="304">
        <f t="shared" si="13"/>
        <v>56.400000000000006</v>
      </c>
      <c r="K70" s="301">
        <v>3</v>
      </c>
      <c r="L70" s="305">
        <f t="shared" si="14"/>
        <v>7.050000000000001</v>
      </c>
      <c r="M70" s="306"/>
      <c r="N70" s="41" t="s">
        <v>404</v>
      </c>
      <c r="P70" s="15"/>
    </row>
    <row r="71" spans="1:16" ht="13.5" customHeight="1">
      <c r="A71" s="288">
        <v>7</v>
      </c>
      <c r="B71" s="289" t="s">
        <v>363</v>
      </c>
      <c r="C71" s="299">
        <v>2.09</v>
      </c>
      <c r="D71" s="300">
        <v>0.5</v>
      </c>
      <c r="E71" s="311">
        <v>5</v>
      </c>
      <c r="F71" s="302">
        <f t="shared" si="11"/>
        <v>10.45</v>
      </c>
      <c r="G71" s="301"/>
      <c r="H71" s="302">
        <f t="shared" si="12"/>
      </c>
      <c r="I71" s="303">
        <f t="shared" si="15"/>
        <v>2</v>
      </c>
      <c r="J71" s="304">
        <f t="shared" si="13"/>
        <v>4.18</v>
      </c>
      <c r="K71" s="311">
        <v>3</v>
      </c>
      <c r="L71" s="305">
        <f t="shared" si="14"/>
        <v>6.27</v>
      </c>
      <c r="M71" s="306"/>
      <c r="N71" s="41" t="s">
        <v>405</v>
      </c>
      <c r="P71" s="15"/>
    </row>
    <row r="72" spans="1:16" ht="13.5" customHeight="1">
      <c r="A72" s="288">
        <v>8</v>
      </c>
      <c r="B72" s="289" t="s">
        <v>364</v>
      </c>
      <c r="C72" s="327">
        <v>2.01</v>
      </c>
      <c r="D72" s="300"/>
      <c r="E72" s="301">
        <v>5</v>
      </c>
      <c r="F72" s="302">
        <f t="shared" si="11"/>
        <v>10.049999999999999</v>
      </c>
      <c r="G72" s="301"/>
      <c r="H72" s="302">
        <f t="shared" si="12"/>
      </c>
      <c r="I72" s="303">
        <f t="shared" si="15"/>
        <v>2</v>
      </c>
      <c r="J72" s="304">
        <f t="shared" si="13"/>
        <v>4.02</v>
      </c>
      <c r="K72" s="301">
        <v>3</v>
      </c>
      <c r="L72" s="305">
        <f t="shared" si="14"/>
        <v>6.029999999999999</v>
      </c>
      <c r="M72" s="306"/>
      <c r="N72" s="313" t="s">
        <v>406</v>
      </c>
      <c r="P72" s="15"/>
    </row>
    <row r="73" spans="1:16" ht="13.5" customHeight="1">
      <c r="A73" s="288">
        <v>9</v>
      </c>
      <c r="B73" s="289" t="s">
        <v>365</v>
      </c>
      <c r="C73" s="299">
        <v>1.39</v>
      </c>
      <c r="D73" s="300">
        <v>0.8</v>
      </c>
      <c r="E73" s="301">
        <v>17</v>
      </c>
      <c r="F73" s="302">
        <f t="shared" si="11"/>
        <v>23.63</v>
      </c>
      <c r="G73" s="301"/>
      <c r="H73" s="302">
        <f t="shared" si="12"/>
      </c>
      <c r="I73" s="303">
        <f t="shared" si="15"/>
        <v>5</v>
      </c>
      <c r="J73" s="304">
        <f t="shared" si="13"/>
        <v>6.949999999999999</v>
      </c>
      <c r="K73" s="301">
        <v>12</v>
      </c>
      <c r="L73" s="305">
        <f t="shared" si="14"/>
        <v>16.68</v>
      </c>
      <c r="M73" s="306"/>
      <c r="P73" s="15"/>
    </row>
    <row r="74" spans="1:16" ht="13.5" customHeight="1">
      <c r="A74" s="288">
        <v>10</v>
      </c>
      <c r="B74" s="289" t="s">
        <v>366</v>
      </c>
      <c r="C74" s="299">
        <v>1.82</v>
      </c>
      <c r="D74" s="300">
        <v>0.8</v>
      </c>
      <c r="E74" s="301">
        <v>11</v>
      </c>
      <c r="F74" s="302">
        <f t="shared" si="11"/>
        <v>20.02</v>
      </c>
      <c r="G74" s="301"/>
      <c r="H74" s="302">
        <f t="shared" si="12"/>
      </c>
      <c r="I74" s="303">
        <f t="shared" si="15"/>
        <v>8</v>
      </c>
      <c r="J74" s="304">
        <f t="shared" si="13"/>
        <v>14.56</v>
      </c>
      <c r="K74" s="301">
        <v>3</v>
      </c>
      <c r="L74" s="305">
        <f t="shared" si="14"/>
        <v>5.46</v>
      </c>
      <c r="M74" s="306"/>
      <c r="P74" s="15"/>
    </row>
    <row r="75" spans="1:16" ht="13.5" customHeight="1">
      <c r="A75" s="288">
        <v>11</v>
      </c>
      <c r="B75" s="289" t="s">
        <v>407</v>
      </c>
      <c r="C75" s="299">
        <v>0.225</v>
      </c>
      <c r="D75" s="300"/>
      <c r="E75" s="301">
        <v>36</v>
      </c>
      <c r="F75" s="302">
        <f t="shared" si="11"/>
        <v>8.1</v>
      </c>
      <c r="G75" s="301">
        <v>153</v>
      </c>
      <c r="H75" s="302">
        <f t="shared" si="12"/>
        <v>34.425000000000004</v>
      </c>
      <c r="I75" s="303">
        <f t="shared" si="15"/>
        <v>153</v>
      </c>
      <c r="J75" s="304">
        <f t="shared" si="13"/>
        <v>34.425000000000004</v>
      </c>
      <c r="K75" s="301">
        <v>36</v>
      </c>
      <c r="L75" s="305">
        <f t="shared" si="14"/>
        <v>8.1</v>
      </c>
      <c r="M75" s="306"/>
      <c r="P75" s="15"/>
    </row>
    <row r="76" spans="1:16" ht="13.5" customHeight="1">
      <c r="A76" s="288">
        <v>12</v>
      </c>
      <c r="B76" s="289" t="s">
        <v>368</v>
      </c>
      <c r="C76" s="299">
        <v>0.0696</v>
      </c>
      <c r="D76" s="300">
        <v>0.8</v>
      </c>
      <c r="E76" s="301">
        <v>135</v>
      </c>
      <c r="F76" s="302">
        <f t="shared" si="11"/>
        <v>9.395999999999999</v>
      </c>
      <c r="G76" s="301"/>
      <c r="H76" s="302">
        <f t="shared" si="12"/>
      </c>
      <c r="I76" s="303">
        <f t="shared" si="15"/>
        <v>18</v>
      </c>
      <c r="J76" s="304">
        <f t="shared" si="13"/>
        <v>1.2528</v>
      </c>
      <c r="K76" s="301">
        <v>117</v>
      </c>
      <c r="L76" s="305">
        <f t="shared" si="14"/>
        <v>8.1432</v>
      </c>
      <c r="M76" s="306"/>
      <c r="N76" s="307" t="s">
        <v>408</v>
      </c>
      <c r="P76" s="15"/>
    </row>
    <row r="77" spans="1:16" ht="13.5" customHeight="1">
      <c r="A77" s="288">
        <v>13</v>
      </c>
      <c r="B77" s="289" t="s">
        <v>409</v>
      </c>
      <c r="C77" s="327">
        <v>0.38</v>
      </c>
      <c r="D77" s="300">
        <v>0.8</v>
      </c>
      <c r="E77" s="301">
        <v>67</v>
      </c>
      <c r="F77" s="302">
        <f t="shared" si="11"/>
        <v>25.46</v>
      </c>
      <c r="G77" s="301"/>
      <c r="H77" s="302">
        <f t="shared" si="12"/>
      </c>
      <c r="I77" s="303">
        <v>28</v>
      </c>
      <c r="J77" s="304">
        <f t="shared" si="13"/>
        <v>10.64</v>
      </c>
      <c r="K77" s="301">
        <v>39</v>
      </c>
      <c r="L77" s="305">
        <f t="shared" si="14"/>
        <v>14.82</v>
      </c>
      <c r="M77" s="306"/>
      <c r="N77" s="313" t="s">
        <v>410</v>
      </c>
      <c r="P77" s="15"/>
    </row>
    <row r="78" spans="1:16" ht="13.5" customHeight="1">
      <c r="A78" s="288">
        <v>14</v>
      </c>
      <c r="B78" s="289" t="s">
        <v>370</v>
      </c>
      <c r="C78" s="327">
        <v>0.0154</v>
      </c>
      <c r="D78" s="314"/>
      <c r="E78" s="301">
        <v>100</v>
      </c>
      <c r="F78" s="302">
        <f t="shared" si="11"/>
        <v>1.54</v>
      </c>
      <c r="G78" s="301"/>
      <c r="H78" s="302">
        <f t="shared" si="12"/>
      </c>
      <c r="I78" s="303">
        <f>IF((+E78+G78-K78)=0,"",(+E78+G78-K78))</f>
        <v>9</v>
      </c>
      <c r="J78" s="304">
        <f t="shared" si="13"/>
        <v>0.1386</v>
      </c>
      <c r="K78" s="301">
        <v>91</v>
      </c>
      <c r="L78" s="305">
        <f t="shared" si="14"/>
        <v>1.4014</v>
      </c>
      <c r="M78" s="306"/>
      <c r="P78" s="15"/>
    </row>
    <row r="79" spans="1:16" ht="13.5" customHeight="1">
      <c r="A79" s="288">
        <v>15</v>
      </c>
      <c r="B79" s="289" t="s">
        <v>371</v>
      </c>
      <c r="C79" s="327">
        <v>1.7</v>
      </c>
      <c r="D79" s="300">
        <v>0.5</v>
      </c>
      <c r="E79" s="311"/>
      <c r="F79" s="302">
        <f t="shared" si="11"/>
      </c>
      <c r="G79" s="311"/>
      <c r="H79" s="302">
        <f t="shared" si="12"/>
      </c>
      <c r="I79" s="303">
        <f>IF((+E79+G79-K79)=0,"",(+E79+G79-K79))</f>
      </c>
      <c r="J79" s="304">
        <f t="shared" si="13"/>
      </c>
      <c r="K79" s="311"/>
      <c r="L79" s="305">
        <f t="shared" si="14"/>
      </c>
      <c r="M79" s="306"/>
      <c r="P79" s="15"/>
    </row>
    <row r="80" spans="1:16" ht="13.5" customHeight="1">
      <c r="A80" s="288">
        <v>12</v>
      </c>
      <c r="B80" s="289" t="s">
        <v>372</v>
      </c>
      <c r="C80" s="327"/>
      <c r="D80" s="314"/>
      <c r="E80" s="301">
        <v>0</v>
      </c>
      <c r="F80" s="302">
        <f t="shared" si="11"/>
      </c>
      <c r="G80" s="301"/>
      <c r="H80" s="302">
        <f t="shared" si="12"/>
      </c>
      <c r="I80" s="303">
        <f>IF((+E80+G80-K80)=0,"",(+E80+G80-K80))</f>
      </c>
      <c r="J80" s="304">
        <f t="shared" si="13"/>
      </c>
      <c r="K80" s="301"/>
      <c r="L80" s="305">
        <f t="shared" si="14"/>
      </c>
      <c r="M80" s="306"/>
      <c r="P80" s="15"/>
    </row>
    <row r="81" spans="1:16" ht="13.5" customHeight="1">
      <c r="A81" s="288">
        <v>13</v>
      </c>
      <c r="B81" s="289" t="s">
        <v>373</v>
      </c>
      <c r="C81" s="299">
        <v>0.41</v>
      </c>
      <c r="D81" s="314"/>
      <c r="E81" s="301">
        <v>0</v>
      </c>
      <c r="F81" s="302">
        <f t="shared" si="11"/>
      </c>
      <c r="G81" s="301"/>
      <c r="H81" s="302">
        <f t="shared" si="12"/>
      </c>
      <c r="I81" s="303">
        <f>IF((+E81+G81-K81)=0,"",(+E81+G81-K81))</f>
      </c>
      <c r="J81" s="304">
        <f t="shared" si="13"/>
      </c>
      <c r="K81" s="301">
        <v>0</v>
      </c>
      <c r="L81" s="305">
        <f t="shared" si="14"/>
      </c>
      <c r="M81" s="315"/>
      <c r="N81" s="313"/>
      <c r="P81" s="15"/>
    </row>
    <row r="82" spans="1:16" ht="13.5" customHeight="1">
      <c r="A82" s="288">
        <v>14</v>
      </c>
      <c r="B82" s="289" t="s">
        <v>374</v>
      </c>
      <c r="C82" s="318">
        <v>1</v>
      </c>
      <c r="D82" s="314"/>
      <c r="E82" s="301"/>
      <c r="F82" s="302">
        <f t="shared" si="11"/>
      </c>
      <c r="G82" s="316"/>
      <c r="H82" s="302">
        <f t="shared" si="12"/>
      </c>
      <c r="I82" s="303" t="s">
        <v>61</v>
      </c>
      <c r="J82" s="304">
        <v>0</v>
      </c>
      <c r="K82" s="301">
        <v>0</v>
      </c>
      <c r="L82" s="305">
        <f t="shared" si="14"/>
      </c>
      <c r="M82" s="317"/>
      <c r="P82" s="15"/>
    </row>
    <row r="83" spans="1:16" ht="13.5" customHeight="1">
      <c r="A83" s="288">
        <v>15</v>
      </c>
      <c r="B83" s="289" t="s">
        <v>375</v>
      </c>
      <c r="C83" s="318"/>
      <c r="D83" s="314"/>
      <c r="E83" s="301">
        <v>0</v>
      </c>
      <c r="F83" s="302">
        <f t="shared" si="11"/>
      </c>
      <c r="G83" s="301"/>
      <c r="H83" s="302">
        <f t="shared" si="12"/>
      </c>
      <c r="I83" s="303">
        <f>IF((+E83+G83-K83)=0,"",(+E83+G83-K83))</f>
      </c>
      <c r="J83" s="304">
        <f aca="true" t="shared" si="16" ref="J83:J88">IF(I83="","",+I83*$C83)</f>
      </c>
      <c r="K83" s="301"/>
      <c r="L83" s="305">
        <f t="shared" si="14"/>
      </c>
      <c r="M83" s="315"/>
      <c r="P83" s="15"/>
    </row>
    <row r="84" spans="1:16" ht="13.5" customHeight="1">
      <c r="A84" s="288">
        <v>16</v>
      </c>
      <c r="B84" s="289" t="s">
        <v>376</v>
      </c>
      <c r="C84" s="318">
        <v>1</v>
      </c>
      <c r="D84" s="314"/>
      <c r="E84" s="301">
        <v>2</v>
      </c>
      <c r="F84" s="302">
        <f t="shared" si="11"/>
        <v>2</v>
      </c>
      <c r="G84" s="301">
        <v>0</v>
      </c>
      <c r="H84" s="302">
        <f t="shared" si="12"/>
      </c>
      <c r="I84" s="303">
        <v>1</v>
      </c>
      <c r="J84" s="304">
        <f t="shared" si="16"/>
        <v>1</v>
      </c>
      <c r="K84" s="301">
        <v>1</v>
      </c>
      <c r="L84" s="305">
        <f t="shared" si="14"/>
        <v>1</v>
      </c>
      <c r="M84" s="315"/>
      <c r="P84" s="15"/>
    </row>
    <row r="85" spans="1:16" ht="13.5" customHeight="1">
      <c r="A85" s="288"/>
      <c r="B85" s="289"/>
      <c r="C85" s="318"/>
      <c r="D85" s="314"/>
      <c r="E85" s="301"/>
      <c r="F85" s="302">
        <f t="shared" si="11"/>
      </c>
      <c r="G85" s="301"/>
      <c r="H85" s="302">
        <f t="shared" si="12"/>
      </c>
      <c r="I85" s="303"/>
      <c r="J85" s="304">
        <f t="shared" si="16"/>
      </c>
      <c r="K85" s="301"/>
      <c r="L85" s="305">
        <f t="shared" si="14"/>
      </c>
      <c r="M85" s="315"/>
      <c r="P85" s="15"/>
    </row>
    <row r="86" spans="1:16" ht="13.5" customHeight="1">
      <c r="A86" s="288"/>
      <c r="B86" s="289"/>
      <c r="C86" s="318"/>
      <c r="D86" s="314"/>
      <c r="E86" s="301"/>
      <c r="F86" s="302">
        <f t="shared" si="11"/>
      </c>
      <c r="G86" s="301"/>
      <c r="H86" s="302">
        <f t="shared" si="12"/>
      </c>
      <c r="I86" s="303"/>
      <c r="J86" s="304">
        <f t="shared" si="16"/>
      </c>
      <c r="K86" s="301"/>
      <c r="L86" s="305">
        <f t="shared" si="14"/>
      </c>
      <c r="M86" s="315"/>
      <c r="P86" s="15"/>
    </row>
    <row r="87" spans="1:16" ht="13.5" customHeight="1">
      <c r="A87" s="288"/>
      <c r="B87" s="289"/>
      <c r="C87" s="318"/>
      <c r="D87" s="314"/>
      <c r="E87" s="301"/>
      <c r="F87" s="302">
        <f t="shared" si="11"/>
      </c>
      <c r="G87" s="301"/>
      <c r="H87" s="302">
        <f t="shared" si="12"/>
      </c>
      <c r="I87" s="303"/>
      <c r="J87" s="304">
        <f t="shared" si="16"/>
      </c>
      <c r="K87" s="301"/>
      <c r="L87" s="305">
        <f t="shared" si="14"/>
      </c>
      <c r="M87" s="315"/>
      <c r="P87" s="15"/>
    </row>
    <row r="88" spans="1:16" ht="13.5" customHeight="1">
      <c r="A88" s="288">
        <v>17</v>
      </c>
      <c r="B88" s="319" t="s">
        <v>377</v>
      </c>
      <c r="C88" s="320">
        <v>1</v>
      </c>
      <c r="D88" s="321"/>
      <c r="E88" s="322"/>
      <c r="F88" s="323">
        <f t="shared" si="11"/>
      </c>
      <c r="G88" s="322">
        <v>42</v>
      </c>
      <c r="H88" s="323">
        <f t="shared" si="12"/>
        <v>42</v>
      </c>
      <c r="I88" s="324">
        <f>IF((+E88+G88-K88)=0,"",(+E88+G88-K88))</f>
        <v>42</v>
      </c>
      <c r="J88" s="325">
        <f t="shared" si="16"/>
        <v>42</v>
      </c>
      <c r="K88" s="322"/>
      <c r="L88" s="341"/>
      <c r="M88" s="326"/>
      <c r="P88" s="15"/>
    </row>
    <row r="89" spans="1:16" ht="12">
      <c r="A89" s="263"/>
      <c r="B89" s="342"/>
      <c r="C89" s="318"/>
      <c r="D89" s="318"/>
      <c r="E89" s="343"/>
      <c r="F89" s="264"/>
      <c r="G89" s="225"/>
      <c r="H89" s="225"/>
      <c r="I89" s="225"/>
      <c r="J89" s="225"/>
      <c r="K89" s="225"/>
      <c r="L89" s="225"/>
      <c r="M89" s="225"/>
      <c r="P89" s="15"/>
    </row>
    <row r="90" spans="1:16" ht="20.25" customHeight="1">
      <c r="A90" s="268"/>
      <c r="B90" s="420" t="str">
        <f>critères!B31</f>
        <v>coupe de m&amp;l 55 ans</v>
      </c>
      <c r="C90" s="420"/>
      <c r="D90" s="420"/>
      <c r="E90" s="420"/>
      <c r="F90" s="420"/>
      <c r="G90" s="420"/>
      <c r="H90" s="420"/>
      <c r="I90" s="420"/>
      <c r="J90" s="420"/>
      <c r="K90" s="420"/>
      <c r="L90" s="420"/>
      <c r="M90" s="269">
        <f ca="1">TODAY()</f>
        <v>44111</v>
      </c>
      <c r="P90" s="15"/>
    </row>
    <row r="91" spans="1:16" ht="36.75" customHeight="1">
      <c r="A91" s="270"/>
      <c r="B91" s="271"/>
      <c r="C91" s="272"/>
      <c r="D91" s="273" t="s">
        <v>342</v>
      </c>
      <c r="E91" s="421" t="s">
        <v>343</v>
      </c>
      <c r="F91" s="421"/>
      <c r="G91" s="422" t="s">
        <v>344</v>
      </c>
      <c r="H91" s="422"/>
      <c r="I91" s="423" t="s">
        <v>345</v>
      </c>
      <c r="J91" s="423"/>
      <c r="K91" s="424" t="s">
        <v>346</v>
      </c>
      <c r="L91" s="424"/>
      <c r="M91" s="274" t="s">
        <v>347</v>
      </c>
      <c r="P91" s="15"/>
    </row>
    <row r="92" spans="1:16" ht="13.5" customHeight="1">
      <c r="A92" s="270"/>
      <c r="B92" s="276"/>
      <c r="C92" s="277"/>
      <c r="D92" s="278"/>
      <c r="E92" s="279"/>
      <c r="F92" s="280">
        <f>SUM(F94:F117)</f>
        <v>0</v>
      </c>
      <c r="G92" s="281"/>
      <c r="H92" s="280">
        <f>SUM(H94:H117)</f>
        <v>0</v>
      </c>
      <c r="I92" s="282"/>
      <c r="J92" s="280">
        <f>SUM(J94:J117)</f>
        <v>0</v>
      </c>
      <c r="K92" s="282"/>
      <c r="L92" s="283">
        <f>SUM(L94:L117)</f>
        <v>0</v>
      </c>
      <c r="M92" s="284">
        <f>+L92-F92</f>
        <v>0</v>
      </c>
      <c r="P92" s="15"/>
    </row>
    <row r="93" spans="1:16" ht="13.5" customHeight="1">
      <c r="A93" s="288"/>
      <c r="B93" s="289"/>
      <c r="C93" s="290" t="s">
        <v>351</v>
      </c>
      <c r="D93" s="291"/>
      <c r="E93" s="290" t="s">
        <v>352</v>
      </c>
      <c r="F93" s="292" t="s">
        <v>353</v>
      </c>
      <c r="G93" s="293" t="s">
        <v>352</v>
      </c>
      <c r="H93" s="292" t="s">
        <v>353</v>
      </c>
      <c r="I93" s="294" t="s">
        <v>352</v>
      </c>
      <c r="J93" s="295" t="s">
        <v>353</v>
      </c>
      <c r="K93" s="293" t="s">
        <v>352</v>
      </c>
      <c r="L93" s="296" t="s">
        <v>353</v>
      </c>
      <c r="M93" s="297"/>
      <c r="P93" s="15"/>
    </row>
    <row r="94" spans="1:16" ht="13.5" customHeight="1">
      <c r="A94" s="288">
        <v>1</v>
      </c>
      <c r="B94" s="289" t="s">
        <v>356</v>
      </c>
      <c r="C94" s="327">
        <v>0.47</v>
      </c>
      <c r="D94" s="300">
        <v>1.5</v>
      </c>
      <c r="E94" s="301"/>
      <c r="F94" s="302">
        <f aca="true" t="shared" si="17" ref="F94:F117">IF(($C94*E94)=0,"",$C94*E94)</f>
      </c>
      <c r="G94" s="301"/>
      <c r="H94" s="302">
        <f aca="true" t="shared" si="18" ref="H94:H117">IF(($C94*G94)=0,"",$C94*G94)</f>
      </c>
      <c r="I94" s="303">
        <f aca="true" t="shared" si="19" ref="I94:I114">IF((+E94+G94-K94)=0,"",(+E94+G94-K94))</f>
      </c>
      <c r="J94" s="304">
        <f aca="true" t="shared" si="20" ref="J94:J114">IF(I94="","",+I94*$C94)</f>
      </c>
      <c r="K94" s="301"/>
      <c r="L94" s="305">
        <f aca="true" t="shared" si="21" ref="L94:L117">IF(($C94*K94)=0,"",$C94*K94)</f>
      </c>
      <c r="M94" s="306"/>
      <c r="N94" s="307"/>
      <c r="P94" s="15"/>
    </row>
    <row r="95" spans="1:16" ht="13.5" customHeight="1">
      <c r="A95" s="288">
        <v>2</v>
      </c>
      <c r="B95" s="289" t="s">
        <v>357</v>
      </c>
      <c r="C95" s="327">
        <v>0.38</v>
      </c>
      <c r="D95" s="300">
        <v>1.5</v>
      </c>
      <c r="E95" s="301"/>
      <c r="F95" s="302">
        <f t="shared" si="17"/>
      </c>
      <c r="G95" s="301"/>
      <c r="H95" s="302">
        <f t="shared" si="18"/>
      </c>
      <c r="I95" s="303">
        <f t="shared" si="19"/>
      </c>
      <c r="J95" s="304">
        <f t="shared" si="20"/>
      </c>
      <c r="K95" s="301"/>
      <c r="L95" s="305">
        <f t="shared" si="21"/>
      </c>
      <c r="M95" s="306"/>
      <c r="P95" s="15"/>
    </row>
    <row r="96" spans="1:16" ht="13.5" customHeight="1">
      <c r="A96" s="288">
        <v>3</v>
      </c>
      <c r="B96" s="289" t="s">
        <v>400</v>
      </c>
      <c r="C96" s="327">
        <v>4</v>
      </c>
      <c r="D96" s="300">
        <v>2</v>
      </c>
      <c r="E96" s="301"/>
      <c r="F96" s="302">
        <f t="shared" si="17"/>
      </c>
      <c r="G96" s="301"/>
      <c r="H96" s="302">
        <f t="shared" si="18"/>
      </c>
      <c r="I96" s="303">
        <f t="shared" si="19"/>
      </c>
      <c r="J96" s="304">
        <f t="shared" si="20"/>
      </c>
      <c r="K96" s="301"/>
      <c r="L96" s="305">
        <f t="shared" si="21"/>
      </c>
      <c r="M96" s="306"/>
      <c r="P96" s="15"/>
    </row>
    <row r="97" spans="1:16" ht="13.5" customHeight="1">
      <c r="A97" s="288">
        <v>4</v>
      </c>
      <c r="B97" s="289" t="s">
        <v>360</v>
      </c>
      <c r="C97" s="327">
        <v>3.5</v>
      </c>
      <c r="D97" s="300">
        <v>0.8</v>
      </c>
      <c r="E97" s="301"/>
      <c r="F97" s="302">
        <f t="shared" si="17"/>
      </c>
      <c r="G97" s="301"/>
      <c r="H97" s="302">
        <f t="shared" si="18"/>
      </c>
      <c r="I97" s="303">
        <f t="shared" si="19"/>
      </c>
      <c r="J97" s="304">
        <f t="shared" si="20"/>
      </c>
      <c r="K97" s="301"/>
      <c r="L97" s="305">
        <f t="shared" si="21"/>
      </c>
      <c r="M97" s="306"/>
      <c r="N97" s="307"/>
      <c r="P97" s="15"/>
    </row>
    <row r="98" spans="1:16" ht="13.5" customHeight="1">
      <c r="A98" s="288">
        <v>5</v>
      </c>
      <c r="B98" s="289" t="s">
        <v>361</v>
      </c>
      <c r="C98" s="327">
        <v>1.9734</v>
      </c>
      <c r="D98" s="300">
        <v>0.8</v>
      </c>
      <c r="E98" s="301"/>
      <c r="F98" s="302">
        <f t="shared" si="17"/>
      </c>
      <c r="G98" s="301"/>
      <c r="H98" s="302">
        <f t="shared" si="18"/>
      </c>
      <c r="I98" s="303">
        <f t="shared" si="19"/>
      </c>
      <c r="J98" s="304">
        <f t="shared" si="20"/>
      </c>
      <c r="K98" s="301"/>
      <c r="L98" s="305">
        <f t="shared" si="21"/>
      </c>
      <c r="M98" s="306"/>
      <c r="P98" s="15"/>
    </row>
    <row r="99" spans="1:16" ht="13.5" customHeight="1">
      <c r="A99" s="288">
        <v>6</v>
      </c>
      <c r="B99" s="289" t="s">
        <v>362</v>
      </c>
      <c r="C99" s="299">
        <v>1.32</v>
      </c>
      <c r="D99" s="300">
        <v>0.8</v>
      </c>
      <c r="E99" s="311"/>
      <c r="F99" s="302">
        <f t="shared" si="17"/>
      </c>
      <c r="G99" s="301"/>
      <c r="H99" s="302">
        <f t="shared" si="18"/>
      </c>
      <c r="I99" s="303">
        <f t="shared" si="19"/>
      </c>
      <c r="J99" s="304">
        <f t="shared" si="20"/>
      </c>
      <c r="K99" s="301"/>
      <c r="L99" s="305">
        <f t="shared" si="21"/>
      </c>
      <c r="M99" s="306"/>
      <c r="P99" s="15"/>
    </row>
    <row r="100" spans="1:16" ht="13.5" customHeight="1">
      <c r="A100" s="288">
        <v>7</v>
      </c>
      <c r="B100" s="289" t="s">
        <v>363</v>
      </c>
      <c r="C100" s="299">
        <v>1.33</v>
      </c>
      <c r="D100" s="300">
        <v>0.5</v>
      </c>
      <c r="E100" s="311"/>
      <c r="F100" s="302">
        <f t="shared" si="17"/>
      </c>
      <c r="G100" s="301"/>
      <c r="H100" s="302">
        <f t="shared" si="18"/>
      </c>
      <c r="I100" s="303">
        <f t="shared" si="19"/>
      </c>
      <c r="J100" s="304">
        <f t="shared" si="20"/>
      </c>
      <c r="K100" s="311"/>
      <c r="L100" s="305">
        <f t="shared" si="21"/>
      </c>
      <c r="M100" s="306"/>
      <c r="P100" s="15"/>
    </row>
    <row r="101" spans="1:16" ht="13.5" customHeight="1">
      <c r="A101" s="288">
        <v>8</v>
      </c>
      <c r="B101" s="289" t="s">
        <v>364</v>
      </c>
      <c r="C101" s="327">
        <v>1.6</v>
      </c>
      <c r="D101" s="300"/>
      <c r="E101" s="301"/>
      <c r="F101" s="302">
        <f t="shared" si="17"/>
      </c>
      <c r="G101" s="301"/>
      <c r="H101" s="302">
        <f t="shared" si="18"/>
      </c>
      <c r="I101" s="303">
        <f t="shared" si="19"/>
      </c>
      <c r="J101" s="304">
        <f t="shared" si="20"/>
      </c>
      <c r="K101" s="301"/>
      <c r="L101" s="305">
        <f t="shared" si="21"/>
      </c>
      <c r="M101" s="306"/>
      <c r="N101" s="307"/>
      <c r="P101" s="15"/>
    </row>
    <row r="102" spans="1:16" ht="13.5" customHeight="1">
      <c r="A102" s="288">
        <v>9</v>
      </c>
      <c r="B102" s="289" t="s">
        <v>365</v>
      </c>
      <c r="C102" s="299">
        <v>1.29</v>
      </c>
      <c r="D102" s="300">
        <v>0.8</v>
      </c>
      <c r="E102" s="301"/>
      <c r="F102" s="302">
        <f t="shared" si="17"/>
      </c>
      <c r="G102" s="301"/>
      <c r="H102" s="302">
        <f t="shared" si="18"/>
      </c>
      <c r="I102" s="303">
        <f t="shared" si="19"/>
      </c>
      <c r="J102" s="304">
        <f t="shared" si="20"/>
      </c>
      <c r="K102" s="301"/>
      <c r="L102" s="305">
        <f t="shared" si="21"/>
      </c>
      <c r="M102" s="306"/>
      <c r="N102" s="307"/>
      <c r="P102" s="15"/>
    </row>
    <row r="103" spans="1:16" ht="13.5" customHeight="1">
      <c r="A103" s="288">
        <v>10</v>
      </c>
      <c r="B103" s="289" t="s">
        <v>366</v>
      </c>
      <c r="C103" s="299">
        <v>1.04</v>
      </c>
      <c r="D103" s="300">
        <v>0.8</v>
      </c>
      <c r="E103" s="301"/>
      <c r="F103" s="302">
        <f t="shared" si="17"/>
      </c>
      <c r="G103" s="301"/>
      <c r="H103" s="302">
        <f t="shared" si="18"/>
      </c>
      <c r="I103" s="303">
        <f t="shared" si="19"/>
      </c>
      <c r="J103" s="304">
        <f t="shared" si="20"/>
      </c>
      <c r="K103" s="301"/>
      <c r="L103" s="305">
        <f t="shared" si="21"/>
      </c>
      <c r="M103" s="306"/>
      <c r="P103" s="15"/>
    </row>
    <row r="104" spans="1:16" ht="13.5" customHeight="1">
      <c r="A104" s="288">
        <v>11</v>
      </c>
      <c r="B104" s="289" t="s">
        <v>385</v>
      </c>
      <c r="C104" s="299">
        <v>0.46</v>
      </c>
      <c r="D104" s="300"/>
      <c r="E104" s="301"/>
      <c r="F104" s="302">
        <f t="shared" si="17"/>
      </c>
      <c r="G104" s="301"/>
      <c r="H104" s="302">
        <f t="shared" si="18"/>
      </c>
      <c r="I104" s="303">
        <f t="shared" si="19"/>
      </c>
      <c r="J104" s="304">
        <f t="shared" si="20"/>
      </c>
      <c r="K104" s="301"/>
      <c r="L104" s="305">
        <f t="shared" si="21"/>
      </c>
      <c r="M104" s="306"/>
      <c r="P104" s="15"/>
    </row>
    <row r="105" spans="1:16" ht="13.5" customHeight="1">
      <c r="A105" s="288">
        <v>12</v>
      </c>
      <c r="B105" s="289" t="s">
        <v>368</v>
      </c>
      <c r="C105" s="299">
        <v>0.0932</v>
      </c>
      <c r="D105" s="300">
        <v>0.8</v>
      </c>
      <c r="E105" s="301"/>
      <c r="F105" s="302">
        <f t="shared" si="17"/>
      </c>
      <c r="G105" s="301"/>
      <c r="H105" s="302">
        <f t="shared" si="18"/>
      </c>
      <c r="I105" s="303">
        <f t="shared" si="19"/>
      </c>
      <c r="J105" s="304">
        <f t="shared" si="20"/>
      </c>
      <c r="K105" s="301"/>
      <c r="L105" s="305">
        <f t="shared" si="21"/>
      </c>
      <c r="M105" s="306"/>
      <c r="P105" s="15"/>
    </row>
    <row r="106" spans="1:16" ht="13.5" customHeight="1">
      <c r="A106" s="288">
        <v>13</v>
      </c>
      <c r="B106" s="289" t="s">
        <v>369</v>
      </c>
      <c r="C106" s="327">
        <v>0.151</v>
      </c>
      <c r="D106" s="300">
        <v>0.8</v>
      </c>
      <c r="E106" s="301"/>
      <c r="F106" s="302">
        <f t="shared" si="17"/>
      </c>
      <c r="G106" s="301"/>
      <c r="H106" s="302">
        <f t="shared" si="18"/>
      </c>
      <c r="I106" s="303">
        <f t="shared" si="19"/>
      </c>
      <c r="J106" s="304">
        <f t="shared" si="20"/>
      </c>
      <c r="K106" s="301"/>
      <c r="L106" s="305">
        <f t="shared" si="21"/>
      </c>
      <c r="M106" s="306"/>
      <c r="P106" s="15"/>
    </row>
    <row r="107" spans="1:16" ht="13.5" customHeight="1">
      <c r="A107" s="288">
        <v>14</v>
      </c>
      <c r="B107" s="289" t="s">
        <v>370</v>
      </c>
      <c r="C107" s="327">
        <v>0.0154</v>
      </c>
      <c r="D107" s="314"/>
      <c r="E107" s="301"/>
      <c r="F107" s="302">
        <f t="shared" si="17"/>
      </c>
      <c r="G107" s="301"/>
      <c r="H107" s="302">
        <f t="shared" si="18"/>
      </c>
      <c r="I107" s="303">
        <f t="shared" si="19"/>
      </c>
      <c r="J107" s="304">
        <f t="shared" si="20"/>
      </c>
      <c r="K107" s="301"/>
      <c r="L107" s="305">
        <f t="shared" si="21"/>
      </c>
      <c r="M107" s="306"/>
      <c r="P107" s="15"/>
    </row>
    <row r="108" spans="1:16" ht="13.5" customHeight="1">
      <c r="A108" s="288">
        <v>15</v>
      </c>
      <c r="B108" s="289" t="s">
        <v>371</v>
      </c>
      <c r="C108" s="327">
        <v>1.7</v>
      </c>
      <c r="D108" s="300">
        <v>0.5</v>
      </c>
      <c r="E108" s="311"/>
      <c r="F108" s="302">
        <f t="shared" si="17"/>
      </c>
      <c r="G108" s="311"/>
      <c r="H108" s="302">
        <f t="shared" si="18"/>
      </c>
      <c r="I108" s="303">
        <f t="shared" si="19"/>
      </c>
      <c r="J108" s="304">
        <f t="shared" si="20"/>
      </c>
      <c r="K108" s="311"/>
      <c r="L108" s="305">
        <f t="shared" si="21"/>
      </c>
      <c r="M108" s="306"/>
      <c r="P108" s="15"/>
    </row>
    <row r="109" spans="1:16" ht="13.5" customHeight="1">
      <c r="A109" s="288">
        <v>12</v>
      </c>
      <c r="B109" s="289" t="s">
        <v>372</v>
      </c>
      <c r="C109" s="327"/>
      <c r="D109" s="314"/>
      <c r="E109" s="301"/>
      <c r="F109" s="302">
        <f t="shared" si="17"/>
      </c>
      <c r="G109" s="301"/>
      <c r="H109" s="302">
        <f t="shared" si="18"/>
      </c>
      <c r="I109" s="303">
        <f t="shared" si="19"/>
      </c>
      <c r="J109" s="304">
        <f t="shared" si="20"/>
      </c>
      <c r="K109" s="301"/>
      <c r="L109" s="305">
        <f t="shared" si="21"/>
      </c>
      <c r="M109" s="306"/>
      <c r="P109" s="15"/>
    </row>
    <row r="110" spans="1:16" ht="13.5" customHeight="1">
      <c r="A110" s="288">
        <v>13</v>
      </c>
      <c r="B110" s="289" t="s">
        <v>373</v>
      </c>
      <c r="C110" s="299">
        <v>0.40775</v>
      </c>
      <c r="D110" s="314"/>
      <c r="E110" s="301"/>
      <c r="F110" s="302">
        <f t="shared" si="17"/>
      </c>
      <c r="G110" s="301"/>
      <c r="H110" s="302">
        <f t="shared" si="18"/>
      </c>
      <c r="I110" s="303">
        <f t="shared" si="19"/>
      </c>
      <c r="J110" s="304">
        <f t="shared" si="20"/>
      </c>
      <c r="K110" s="301"/>
      <c r="L110" s="305">
        <f t="shared" si="21"/>
      </c>
      <c r="M110" s="315"/>
      <c r="P110" s="15"/>
    </row>
    <row r="111" spans="1:16" ht="13.5" customHeight="1">
      <c r="A111" s="288">
        <v>14</v>
      </c>
      <c r="B111" s="289" t="s">
        <v>374</v>
      </c>
      <c r="C111" s="318">
        <v>1</v>
      </c>
      <c r="D111" s="314"/>
      <c r="E111" s="301"/>
      <c r="F111" s="302">
        <f t="shared" si="17"/>
      </c>
      <c r="G111" s="316"/>
      <c r="H111" s="302">
        <f t="shared" si="18"/>
      </c>
      <c r="I111" s="303">
        <f t="shared" si="19"/>
      </c>
      <c r="J111" s="304">
        <f t="shared" si="20"/>
      </c>
      <c r="K111" s="301"/>
      <c r="L111" s="305">
        <f t="shared" si="21"/>
      </c>
      <c r="M111" s="317"/>
      <c r="N111" s="307"/>
      <c r="P111" s="15"/>
    </row>
    <row r="112" spans="1:16" ht="13.5" customHeight="1">
      <c r="A112" s="288">
        <v>15</v>
      </c>
      <c r="B112" s="289" t="s">
        <v>375</v>
      </c>
      <c r="C112" s="318"/>
      <c r="D112" s="314"/>
      <c r="E112" s="301"/>
      <c r="F112" s="302">
        <f t="shared" si="17"/>
      </c>
      <c r="G112" s="301"/>
      <c r="H112" s="302">
        <f t="shared" si="18"/>
      </c>
      <c r="I112" s="303">
        <f t="shared" si="19"/>
      </c>
      <c r="J112" s="304">
        <f t="shared" si="20"/>
      </c>
      <c r="K112" s="301"/>
      <c r="L112" s="305">
        <f t="shared" si="21"/>
      </c>
      <c r="M112" s="315"/>
      <c r="P112" s="15"/>
    </row>
    <row r="113" spans="1:16" ht="13.5" customHeight="1">
      <c r="A113" s="288">
        <v>16</v>
      </c>
      <c r="B113" s="289" t="s">
        <v>376</v>
      </c>
      <c r="C113" s="318">
        <v>1</v>
      </c>
      <c r="D113" s="314"/>
      <c r="E113" s="301"/>
      <c r="F113" s="302">
        <f t="shared" si="17"/>
      </c>
      <c r="G113" s="301"/>
      <c r="H113" s="302">
        <f t="shared" si="18"/>
      </c>
      <c r="I113" s="303">
        <f t="shared" si="19"/>
      </c>
      <c r="J113" s="304">
        <f t="shared" si="20"/>
      </c>
      <c r="K113" s="301"/>
      <c r="L113" s="305">
        <f t="shared" si="21"/>
      </c>
      <c r="M113" s="315"/>
      <c r="P113" s="15"/>
    </row>
    <row r="114" spans="1:16" ht="13.5" customHeight="1">
      <c r="A114" s="288"/>
      <c r="B114" s="289"/>
      <c r="C114" s="318"/>
      <c r="D114" s="314"/>
      <c r="E114" s="301"/>
      <c r="F114" s="302">
        <f t="shared" si="17"/>
      </c>
      <c r="G114" s="301"/>
      <c r="H114" s="302">
        <f t="shared" si="18"/>
      </c>
      <c r="I114" s="303">
        <f t="shared" si="19"/>
      </c>
      <c r="J114" s="304">
        <f t="shared" si="20"/>
      </c>
      <c r="K114" s="301"/>
      <c r="L114" s="305">
        <f t="shared" si="21"/>
      </c>
      <c r="M114" s="315"/>
      <c r="P114" s="15"/>
    </row>
    <row r="115" spans="1:16" ht="13.5" customHeight="1">
      <c r="A115" s="288"/>
      <c r="B115" s="289"/>
      <c r="C115" s="318"/>
      <c r="D115" s="314"/>
      <c r="E115" s="301"/>
      <c r="F115" s="302">
        <f t="shared" si="17"/>
      </c>
      <c r="G115" s="301"/>
      <c r="H115" s="302">
        <f t="shared" si="18"/>
      </c>
      <c r="I115" s="303"/>
      <c r="J115" s="304"/>
      <c r="K115" s="301"/>
      <c r="L115" s="305">
        <f t="shared" si="21"/>
      </c>
      <c r="M115" s="315"/>
      <c r="P115" s="15"/>
    </row>
    <row r="116" spans="1:16" ht="13.5" customHeight="1">
      <c r="A116" s="288"/>
      <c r="B116" s="289"/>
      <c r="C116" s="318"/>
      <c r="D116" s="314"/>
      <c r="E116" s="301"/>
      <c r="F116" s="302">
        <f t="shared" si="17"/>
      </c>
      <c r="G116" s="301"/>
      <c r="H116" s="302">
        <f t="shared" si="18"/>
      </c>
      <c r="I116" s="303"/>
      <c r="J116" s="304"/>
      <c r="K116" s="301"/>
      <c r="L116" s="305">
        <f t="shared" si="21"/>
      </c>
      <c r="M116" s="315"/>
      <c r="P116" s="15"/>
    </row>
    <row r="117" spans="1:16" ht="13.5" customHeight="1">
      <c r="A117" s="288">
        <v>17</v>
      </c>
      <c r="B117" s="319" t="s">
        <v>377</v>
      </c>
      <c r="C117" s="320">
        <v>1</v>
      </c>
      <c r="D117" s="321"/>
      <c r="E117" s="322"/>
      <c r="F117" s="323">
        <f t="shared" si="17"/>
      </c>
      <c r="G117" s="322"/>
      <c r="H117" s="323">
        <f t="shared" si="18"/>
      </c>
      <c r="I117" s="324">
        <f>IF((+E117+G117-K117)=0,"",(+E117+G117-K117))</f>
      </c>
      <c r="J117" s="325">
        <f>IF(I117="","",+I117*$C117)</f>
      </c>
      <c r="K117" s="322"/>
      <c r="L117" s="341">
        <f t="shared" si="21"/>
      </c>
      <c r="M117" s="326"/>
      <c r="P117" s="15"/>
    </row>
    <row r="118" spans="1:16" ht="12">
      <c r="A118" s="263"/>
      <c r="B118" s="225"/>
      <c r="C118" s="225"/>
      <c r="D118" s="225"/>
      <c r="E118" s="225"/>
      <c r="F118" s="264"/>
      <c r="G118" s="225"/>
      <c r="H118" s="225"/>
      <c r="I118" s="225"/>
      <c r="J118" s="225"/>
      <c r="K118" s="225"/>
      <c r="L118" s="225"/>
      <c r="M118" s="225"/>
      <c r="P118" s="15"/>
    </row>
    <row r="119" spans="1:16" ht="20.25" customHeight="1">
      <c r="A119" s="268"/>
      <c r="B119" s="420" t="str">
        <f>critères!B32</f>
        <v>concours vétérans septembre</v>
      </c>
      <c r="C119" s="420"/>
      <c r="D119" s="420"/>
      <c r="E119" s="420"/>
      <c r="F119" s="420"/>
      <c r="G119" s="420"/>
      <c r="H119" s="420"/>
      <c r="I119" s="420"/>
      <c r="J119" s="420"/>
      <c r="K119" s="420"/>
      <c r="L119" s="420"/>
      <c r="M119" s="269">
        <f ca="1">TODAY()</f>
        <v>44111</v>
      </c>
      <c r="P119" s="15"/>
    </row>
    <row r="120" spans="1:16" ht="36.75" customHeight="1">
      <c r="A120" s="270"/>
      <c r="B120" s="271"/>
      <c r="C120" s="272"/>
      <c r="D120" s="273" t="s">
        <v>342</v>
      </c>
      <c r="E120" s="421" t="s">
        <v>343</v>
      </c>
      <c r="F120" s="421"/>
      <c r="G120" s="422" t="s">
        <v>344</v>
      </c>
      <c r="H120" s="422"/>
      <c r="I120" s="423" t="s">
        <v>345</v>
      </c>
      <c r="J120" s="423"/>
      <c r="K120" s="424" t="s">
        <v>346</v>
      </c>
      <c r="L120" s="424"/>
      <c r="M120" s="274" t="s">
        <v>347</v>
      </c>
      <c r="P120" s="15"/>
    </row>
    <row r="121" spans="1:16" ht="13.5" customHeight="1">
      <c r="A121" s="270"/>
      <c r="B121" s="276"/>
      <c r="C121" s="277"/>
      <c r="D121" s="278"/>
      <c r="E121" s="279"/>
      <c r="F121" s="280">
        <f>SUM(F123:F146)</f>
        <v>104.53300000000002</v>
      </c>
      <c r="G121" s="281"/>
      <c r="H121" s="280">
        <f>SUM(H123:H146)</f>
        <v>276</v>
      </c>
      <c r="I121" s="282"/>
      <c r="J121" s="280">
        <f>SUM(J123:J146)</f>
        <v>213.17819999999995</v>
      </c>
      <c r="K121" s="282"/>
      <c r="L121" s="283">
        <f>SUM(L123:L146)</f>
        <v>136.3548</v>
      </c>
      <c r="M121" s="284">
        <f>+L121-F121</f>
        <v>31.821799999999996</v>
      </c>
      <c r="P121" s="15"/>
    </row>
    <row r="122" spans="1:16" ht="13.5" customHeight="1">
      <c r="A122" s="288"/>
      <c r="B122" s="289"/>
      <c r="C122" s="290" t="s">
        <v>351</v>
      </c>
      <c r="D122" s="291"/>
      <c r="E122" s="290" t="s">
        <v>352</v>
      </c>
      <c r="F122" s="292" t="s">
        <v>353</v>
      </c>
      <c r="G122" s="293" t="s">
        <v>352</v>
      </c>
      <c r="H122" s="292" t="s">
        <v>353</v>
      </c>
      <c r="I122" s="294" t="s">
        <v>352</v>
      </c>
      <c r="J122" s="295" t="s">
        <v>353</v>
      </c>
      <c r="K122" s="293" t="s">
        <v>352</v>
      </c>
      <c r="L122" s="296" t="s">
        <v>353</v>
      </c>
      <c r="M122" s="297"/>
      <c r="P122" s="15"/>
    </row>
    <row r="123" spans="1:16" ht="13.5" customHeight="1">
      <c r="A123" s="288">
        <v>1</v>
      </c>
      <c r="B123" s="289" t="s">
        <v>356</v>
      </c>
      <c r="C123" s="327">
        <v>0.47</v>
      </c>
      <c r="D123" s="300">
        <v>1.5</v>
      </c>
      <c r="E123" s="301"/>
      <c r="F123" s="302">
        <f aca="true" t="shared" si="22" ref="F123:F146">IF(($C123*E123)=0,"",$C123*E123)</f>
      </c>
      <c r="G123" s="301"/>
      <c r="H123" s="302">
        <f aca="true" t="shared" si="23" ref="H123:H146">IF(($C123*G123)=0,"",$C123*G123)</f>
      </c>
      <c r="I123" s="303">
        <f>IF((+E123+G123-K123)=0,"",(+E123+G123-K123))</f>
      </c>
      <c r="J123" s="304">
        <f aca="true" t="shared" si="24" ref="J123:J146">IF(I123="","",+I123*$C123)</f>
      </c>
      <c r="K123" s="301"/>
      <c r="L123" s="305">
        <f aca="true" t="shared" si="25" ref="L123:L146">IF(($C123*K123)=0,"",$C123*K123)</f>
      </c>
      <c r="M123" s="306"/>
      <c r="N123" s="307"/>
      <c r="P123" s="15"/>
    </row>
    <row r="124" spans="1:16" ht="13.5" customHeight="1">
      <c r="A124" s="288">
        <v>2</v>
      </c>
      <c r="B124" s="289" t="s">
        <v>357</v>
      </c>
      <c r="C124" s="327">
        <v>0.4</v>
      </c>
      <c r="D124" s="300">
        <v>1.5</v>
      </c>
      <c r="E124" s="301">
        <v>4</v>
      </c>
      <c r="F124" s="302">
        <f t="shared" si="22"/>
        <v>1.6</v>
      </c>
      <c r="G124" s="301">
        <v>104</v>
      </c>
      <c r="H124" s="302">
        <f t="shared" si="23"/>
        <v>41.6</v>
      </c>
      <c r="I124" s="303">
        <v>79</v>
      </c>
      <c r="J124" s="304">
        <f t="shared" si="24"/>
        <v>31.6</v>
      </c>
      <c r="K124" s="301">
        <v>29</v>
      </c>
      <c r="L124" s="305">
        <f t="shared" si="25"/>
        <v>11.600000000000001</v>
      </c>
      <c r="M124" s="306"/>
      <c r="P124" s="15"/>
    </row>
    <row r="125" spans="1:16" ht="13.5" customHeight="1">
      <c r="A125" s="288">
        <v>3</v>
      </c>
      <c r="B125" s="289" t="s">
        <v>400</v>
      </c>
      <c r="C125" s="327">
        <v>4</v>
      </c>
      <c r="D125" s="300">
        <v>2</v>
      </c>
      <c r="E125" s="301"/>
      <c r="F125" s="302">
        <f t="shared" si="22"/>
      </c>
      <c r="G125" s="301"/>
      <c r="H125" s="302">
        <f t="shared" si="23"/>
      </c>
      <c r="I125" s="303">
        <f>IF((+E125+G125-K125)=0,"",(+E125+G125-K125))</f>
      </c>
      <c r="J125" s="304">
        <f t="shared" si="24"/>
      </c>
      <c r="K125" s="301"/>
      <c r="L125" s="305">
        <f t="shared" si="25"/>
      </c>
      <c r="M125" s="306"/>
      <c r="P125" s="15"/>
    </row>
    <row r="126" spans="1:16" ht="13.5" customHeight="1">
      <c r="A126" s="288">
        <v>4</v>
      </c>
      <c r="B126" s="289" t="s">
        <v>360</v>
      </c>
      <c r="C126" s="327">
        <v>3.1</v>
      </c>
      <c r="D126" s="300">
        <v>0.8</v>
      </c>
      <c r="E126" s="301">
        <v>10</v>
      </c>
      <c r="F126" s="302">
        <f t="shared" si="22"/>
        <v>31</v>
      </c>
      <c r="G126" s="301">
        <v>30</v>
      </c>
      <c r="H126" s="302">
        <f t="shared" si="23"/>
        <v>93</v>
      </c>
      <c r="I126" s="303">
        <v>20</v>
      </c>
      <c r="J126" s="304">
        <f t="shared" si="24"/>
        <v>62</v>
      </c>
      <c r="K126" s="301">
        <v>10</v>
      </c>
      <c r="L126" s="305">
        <f t="shared" si="25"/>
        <v>31</v>
      </c>
      <c r="M126" s="306"/>
      <c r="N126" s="307"/>
      <c r="P126" s="15"/>
    </row>
    <row r="127" spans="1:16" ht="13.5" customHeight="1">
      <c r="A127" s="288">
        <v>5</v>
      </c>
      <c r="B127" s="289" t="s">
        <v>361</v>
      </c>
      <c r="C127" s="327">
        <v>1.9734</v>
      </c>
      <c r="D127" s="300">
        <v>0.8</v>
      </c>
      <c r="E127" s="301">
        <v>10</v>
      </c>
      <c r="F127" s="302">
        <f t="shared" si="22"/>
        <v>19.734</v>
      </c>
      <c r="G127" s="301"/>
      <c r="H127" s="302">
        <f t="shared" si="23"/>
      </c>
      <c r="I127" s="303">
        <v>3</v>
      </c>
      <c r="J127" s="304">
        <f t="shared" si="24"/>
        <v>5.9202</v>
      </c>
      <c r="K127" s="301">
        <v>7</v>
      </c>
      <c r="L127" s="305">
        <f t="shared" si="25"/>
        <v>13.8138</v>
      </c>
      <c r="M127" s="306"/>
      <c r="P127" s="15"/>
    </row>
    <row r="128" spans="1:16" ht="13.5" customHeight="1">
      <c r="A128" s="288">
        <v>6</v>
      </c>
      <c r="B128" s="289" t="s">
        <v>362</v>
      </c>
      <c r="C128" s="299">
        <v>2.45</v>
      </c>
      <c r="D128" s="300">
        <v>0.8</v>
      </c>
      <c r="E128" s="311">
        <v>10</v>
      </c>
      <c r="F128" s="302">
        <f t="shared" si="22"/>
        <v>24.5</v>
      </c>
      <c r="G128" s="301">
        <v>22</v>
      </c>
      <c r="H128" s="302">
        <f t="shared" si="23"/>
        <v>53.900000000000006</v>
      </c>
      <c r="I128" s="303">
        <v>20</v>
      </c>
      <c r="J128" s="304">
        <f t="shared" si="24"/>
        <v>49</v>
      </c>
      <c r="K128" s="301">
        <v>12</v>
      </c>
      <c r="L128" s="305">
        <f t="shared" si="25"/>
        <v>29.400000000000002</v>
      </c>
      <c r="M128" s="306"/>
      <c r="P128" s="15"/>
    </row>
    <row r="129" spans="1:16" ht="13.5" customHeight="1">
      <c r="A129" s="288">
        <v>7</v>
      </c>
      <c r="B129" s="289" t="s">
        <v>363</v>
      </c>
      <c r="C129" s="299">
        <v>1.33</v>
      </c>
      <c r="D129" s="300">
        <v>0.5</v>
      </c>
      <c r="E129" s="311"/>
      <c r="F129" s="302">
        <f t="shared" si="22"/>
      </c>
      <c r="G129" s="301"/>
      <c r="H129" s="302">
        <f t="shared" si="23"/>
      </c>
      <c r="I129" s="303">
        <f>IF((+E129+G129-K129)=0,"",(+E129+G129-K129))</f>
      </c>
      <c r="J129" s="304">
        <f t="shared" si="24"/>
      </c>
      <c r="K129" s="311"/>
      <c r="L129" s="305">
        <f t="shared" si="25"/>
      </c>
      <c r="M129" s="306"/>
      <c r="P129" s="15"/>
    </row>
    <row r="130" spans="1:16" ht="13.5" customHeight="1">
      <c r="A130" s="288">
        <v>8</v>
      </c>
      <c r="B130" s="289" t="s">
        <v>364</v>
      </c>
      <c r="C130" s="327">
        <v>1.6</v>
      </c>
      <c r="D130" s="300"/>
      <c r="E130" s="301"/>
      <c r="F130" s="302">
        <f t="shared" si="22"/>
      </c>
      <c r="G130" s="301"/>
      <c r="H130" s="302">
        <f t="shared" si="23"/>
      </c>
      <c r="I130" s="303">
        <f>IF((+E130+G130-K130)=0,"",(+E130+G130-K130))</f>
      </c>
      <c r="J130" s="304">
        <f t="shared" si="24"/>
      </c>
      <c r="K130" s="301"/>
      <c r="L130" s="305">
        <f t="shared" si="25"/>
      </c>
      <c r="M130" s="306"/>
      <c r="N130" s="307"/>
      <c r="P130" s="15"/>
    </row>
    <row r="131" spans="1:16" ht="13.5" customHeight="1">
      <c r="A131" s="288">
        <v>9</v>
      </c>
      <c r="B131" s="289" t="s">
        <v>365</v>
      </c>
      <c r="C131" s="299">
        <v>1.29</v>
      </c>
      <c r="D131" s="300">
        <v>0.8</v>
      </c>
      <c r="E131" s="301"/>
      <c r="F131" s="302">
        <f t="shared" si="22"/>
      </c>
      <c r="G131" s="301"/>
      <c r="H131" s="302">
        <f t="shared" si="23"/>
      </c>
      <c r="I131" s="303">
        <f>IF((+E131+G131-K131)=0,"",(+E131+G131-K131))</f>
      </c>
      <c r="J131" s="304">
        <f t="shared" si="24"/>
      </c>
      <c r="K131" s="301"/>
      <c r="L131" s="305">
        <f t="shared" si="25"/>
      </c>
      <c r="M131" s="306"/>
      <c r="N131" s="307"/>
      <c r="P131" s="15"/>
    </row>
    <row r="132" spans="1:16" ht="13.5" customHeight="1">
      <c r="A132" s="288">
        <v>10</v>
      </c>
      <c r="B132" s="289" t="s">
        <v>366</v>
      </c>
      <c r="C132" s="299">
        <v>1.3</v>
      </c>
      <c r="D132" s="300">
        <v>0.8</v>
      </c>
      <c r="E132" s="301">
        <v>8</v>
      </c>
      <c r="F132" s="302">
        <f t="shared" si="22"/>
        <v>10.4</v>
      </c>
      <c r="G132" s="301">
        <v>8</v>
      </c>
      <c r="H132" s="302">
        <f t="shared" si="23"/>
        <v>10.4</v>
      </c>
      <c r="I132" s="303">
        <v>9</v>
      </c>
      <c r="J132" s="304">
        <f t="shared" si="24"/>
        <v>11.700000000000001</v>
      </c>
      <c r="K132" s="301">
        <v>7</v>
      </c>
      <c r="L132" s="305">
        <f t="shared" si="25"/>
        <v>9.1</v>
      </c>
      <c r="M132" s="306"/>
      <c r="P132" s="15"/>
    </row>
    <row r="133" spans="1:16" ht="13.5" customHeight="1">
      <c r="A133" s="288">
        <v>11</v>
      </c>
      <c r="B133" s="289" t="s">
        <v>411</v>
      </c>
      <c r="C133" s="299">
        <v>0.21</v>
      </c>
      <c r="D133" s="300"/>
      <c r="E133" s="301">
        <v>30</v>
      </c>
      <c r="F133" s="302">
        <f t="shared" si="22"/>
        <v>6.3</v>
      </c>
      <c r="G133" s="301">
        <v>150</v>
      </c>
      <c r="H133" s="302">
        <f t="shared" si="23"/>
        <v>31.5</v>
      </c>
      <c r="I133" s="303">
        <v>99</v>
      </c>
      <c r="J133" s="304">
        <f t="shared" si="24"/>
        <v>20.79</v>
      </c>
      <c r="K133" s="301">
        <v>81</v>
      </c>
      <c r="L133" s="305">
        <f t="shared" si="25"/>
        <v>17.009999999999998</v>
      </c>
      <c r="M133" s="306"/>
      <c r="P133" s="15"/>
    </row>
    <row r="134" spans="1:16" ht="13.5" customHeight="1">
      <c r="A134" s="288">
        <v>12</v>
      </c>
      <c r="B134" s="289" t="s">
        <v>412</v>
      </c>
      <c r="C134" s="299">
        <v>0.19</v>
      </c>
      <c r="D134" s="300">
        <v>0.8</v>
      </c>
      <c r="E134" s="301">
        <v>11</v>
      </c>
      <c r="F134" s="302">
        <f t="shared" si="22"/>
        <v>2.09</v>
      </c>
      <c r="G134" s="301">
        <v>240</v>
      </c>
      <c r="H134" s="302">
        <f t="shared" si="23"/>
        <v>45.6</v>
      </c>
      <c r="I134" s="303">
        <v>155</v>
      </c>
      <c r="J134" s="304">
        <f t="shared" si="24"/>
        <v>29.45</v>
      </c>
      <c r="K134" s="301">
        <v>96</v>
      </c>
      <c r="L134" s="305">
        <f t="shared" si="25"/>
        <v>18.240000000000002</v>
      </c>
      <c r="M134" s="306"/>
      <c r="P134" s="15"/>
    </row>
    <row r="135" spans="1:16" ht="13.5" customHeight="1">
      <c r="A135" s="288">
        <v>13</v>
      </c>
      <c r="B135" s="289" t="s">
        <v>369</v>
      </c>
      <c r="C135" s="327">
        <v>0.151</v>
      </c>
      <c r="D135" s="300">
        <v>0.8</v>
      </c>
      <c r="E135" s="301">
        <v>59</v>
      </c>
      <c r="F135" s="302">
        <f t="shared" si="22"/>
        <v>8.908999999999999</v>
      </c>
      <c r="G135" s="301"/>
      <c r="H135" s="302">
        <f t="shared" si="23"/>
      </c>
      <c r="I135" s="303">
        <v>18</v>
      </c>
      <c r="J135" s="304">
        <f t="shared" si="24"/>
        <v>2.718</v>
      </c>
      <c r="K135" s="301">
        <v>41</v>
      </c>
      <c r="L135" s="305">
        <f t="shared" si="25"/>
        <v>6.191</v>
      </c>
      <c r="M135" s="306"/>
      <c r="P135" s="15"/>
    </row>
    <row r="136" spans="1:16" ht="13.5" customHeight="1">
      <c r="A136" s="288">
        <v>14</v>
      </c>
      <c r="B136" s="289" t="s">
        <v>370</v>
      </c>
      <c r="C136" s="327">
        <v>0.0154</v>
      </c>
      <c r="D136" s="314"/>
      <c r="E136" s="301"/>
      <c r="F136" s="302">
        <f t="shared" si="22"/>
      </c>
      <c r="G136" s="301"/>
      <c r="H136" s="302">
        <f t="shared" si="23"/>
      </c>
      <c r="I136" s="303">
        <f aca="true" t="shared" si="26" ref="I136:I143">IF((+E136+G136-K136)=0,"",(+E136+G136-K136))</f>
      </c>
      <c r="J136" s="304">
        <f t="shared" si="24"/>
      </c>
      <c r="K136" s="301"/>
      <c r="L136" s="305">
        <f t="shared" si="25"/>
      </c>
      <c r="M136" s="306"/>
      <c r="P136" s="15"/>
    </row>
    <row r="137" spans="1:16" ht="13.5" customHeight="1">
      <c r="A137" s="288">
        <v>15</v>
      </c>
      <c r="B137" s="289" t="s">
        <v>371</v>
      </c>
      <c r="C137" s="327">
        <v>1.7</v>
      </c>
      <c r="D137" s="300">
        <v>0.5</v>
      </c>
      <c r="E137" s="311"/>
      <c r="F137" s="302">
        <f t="shared" si="22"/>
      </c>
      <c r="G137" s="311"/>
      <c r="H137" s="302">
        <f t="shared" si="23"/>
      </c>
      <c r="I137" s="303">
        <f t="shared" si="26"/>
      </c>
      <c r="J137" s="304">
        <f t="shared" si="24"/>
      </c>
      <c r="K137" s="311"/>
      <c r="L137" s="305">
        <f t="shared" si="25"/>
      </c>
      <c r="M137" s="306"/>
      <c r="P137" s="15"/>
    </row>
    <row r="138" spans="1:16" ht="13.5" customHeight="1">
      <c r="A138" s="288">
        <v>12</v>
      </c>
      <c r="B138" s="289" t="s">
        <v>372</v>
      </c>
      <c r="C138" s="327"/>
      <c r="D138" s="314"/>
      <c r="E138" s="301"/>
      <c r="F138" s="302">
        <f t="shared" si="22"/>
      </c>
      <c r="G138" s="301"/>
      <c r="H138" s="302">
        <f t="shared" si="23"/>
      </c>
      <c r="I138" s="303">
        <f t="shared" si="26"/>
      </c>
      <c r="J138" s="304">
        <f t="shared" si="24"/>
      </c>
      <c r="K138" s="301"/>
      <c r="L138" s="305">
        <f t="shared" si="25"/>
      </c>
      <c r="M138" s="306"/>
      <c r="P138" s="15"/>
    </row>
    <row r="139" spans="1:16" ht="13.5" customHeight="1">
      <c r="A139" s="288">
        <v>13</v>
      </c>
      <c r="B139" s="289" t="s">
        <v>373</v>
      </c>
      <c r="C139" s="299">
        <v>0.40775</v>
      </c>
      <c r="D139" s="314"/>
      <c r="E139" s="301"/>
      <c r="F139" s="302">
        <f t="shared" si="22"/>
      </c>
      <c r="G139" s="301"/>
      <c r="H139" s="302">
        <f t="shared" si="23"/>
      </c>
      <c r="I139" s="303">
        <f t="shared" si="26"/>
      </c>
      <c r="J139" s="304">
        <f t="shared" si="24"/>
      </c>
      <c r="K139" s="301"/>
      <c r="L139" s="305">
        <f t="shared" si="25"/>
      </c>
      <c r="M139" s="315"/>
      <c r="P139" s="15"/>
    </row>
    <row r="140" spans="1:16" ht="13.5" customHeight="1">
      <c r="A140" s="288">
        <v>14</v>
      </c>
      <c r="B140" s="289" t="s">
        <v>374</v>
      </c>
      <c r="C140" s="318">
        <v>1</v>
      </c>
      <c r="D140" s="314"/>
      <c r="E140" s="301"/>
      <c r="F140" s="302">
        <f t="shared" si="22"/>
      </c>
      <c r="G140" s="316"/>
      <c r="H140" s="302">
        <f t="shared" si="23"/>
      </c>
      <c r="I140" s="303">
        <f t="shared" si="26"/>
      </c>
      <c r="J140" s="304">
        <f t="shared" si="24"/>
      </c>
      <c r="K140" s="301"/>
      <c r="L140" s="305">
        <f t="shared" si="25"/>
      </c>
      <c r="M140" s="317"/>
      <c r="N140" s="307"/>
      <c r="P140" s="15"/>
    </row>
    <row r="141" spans="1:16" ht="13.5" customHeight="1">
      <c r="A141" s="288">
        <v>15</v>
      </c>
      <c r="B141" s="289" t="s">
        <v>375</v>
      </c>
      <c r="C141" s="318"/>
      <c r="D141" s="314"/>
      <c r="E141" s="301"/>
      <c r="F141" s="302">
        <f t="shared" si="22"/>
      </c>
      <c r="G141" s="301"/>
      <c r="H141" s="302">
        <f t="shared" si="23"/>
      </c>
      <c r="I141" s="303">
        <f t="shared" si="26"/>
      </c>
      <c r="J141" s="304">
        <f t="shared" si="24"/>
      </c>
      <c r="K141" s="301"/>
      <c r="L141" s="305">
        <f t="shared" si="25"/>
      </c>
      <c r="M141" s="315"/>
      <c r="P141" s="15"/>
    </row>
    <row r="142" spans="1:16" ht="13.5" customHeight="1">
      <c r="A142" s="288">
        <v>16</v>
      </c>
      <c r="B142" s="289" t="s">
        <v>376</v>
      </c>
      <c r="C142" s="318">
        <v>1</v>
      </c>
      <c r="D142" s="314"/>
      <c r="E142" s="301"/>
      <c r="F142" s="302">
        <f t="shared" si="22"/>
      </c>
      <c r="G142" s="301"/>
      <c r="H142" s="302">
        <f t="shared" si="23"/>
      </c>
      <c r="I142" s="303">
        <f t="shared" si="26"/>
      </c>
      <c r="J142" s="304">
        <f t="shared" si="24"/>
      </c>
      <c r="K142" s="301"/>
      <c r="L142" s="305">
        <f t="shared" si="25"/>
      </c>
      <c r="M142" s="315"/>
      <c r="P142" s="15"/>
    </row>
    <row r="143" spans="1:16" ht="13.5" customHeight="1">
      <c r="A143" s="288"/>
      <c r="B143" s="289"/>
      <c r="C143" s="318"/>
      <c r="D143" s="314"/>
      <c r="E143" s="301"/>
      <c r="F143" s="302">
        <f t="shared" si="22"/>
      </c>
      <c r="G143" s="301"/>
      <c r="H143" s="302">
        <f t="shared" si="23"/>
      </c>
      <c r="I143" s="303">
        <f t="shared" si="26"/>
      </c>
      <c r="J143" s="304">
        <f t="shared" si="24"/>
      </c>
      <c r="K143" s="301"/>
      <c r="L143" s="305">
        <f t="shared" si="25"/>
      </c>
      <c r="M143" s="315"/>
      <c r="P143" s="15"/>
    </row>
    <row r="144" spans="1:16" ht="13.5" customHeight="1">
      <c r="A144" s="288"/>
      <c r="B144" s="289"/>
      <c r="C144" s="318"/>
      <c r="D144" s="314"/>
      <c r="E144" s="301"/>
      <c r="F144" s="302">
        <f t="shared" si="22"/>
      </c>
      <c r="G144" s="301"/>
      <c r="H144" s="302">
        <f t="shared" si="23"/>
      </c>
      <c r="I144" s="303"/>
      <c r="J144" s="304">
        <f t="shared" si="24"/>
      </c>
      <c r="K144" s="301"/>
      <c r="L144" s="305">
        <f t="shared" si="25"/>
      </c>
      <c r="M144" s="315"/>
      <c r="P144" s="15"/>
    </row>
    <row r="145" spans="1:16" ht="13.5" customHeight="1">
      <c r="A145" s="288"/>
      <c r="B145" s="289"/>
      <c r="C145" s="318"/>
      <c r="D145" s="314"/>
      <c r="E145" s="301"/>
      <c r="F145" s="302">
        <f t="shared" si="22"/>
      </c>
      <c r="G145" s="301"/>
      <c r="H145" s="302">
        <f t="shared" si="23"/>
      </c>
      <c r="I145" s="303"/>
      <c r="J145" s="304">
        <f t="shared" si="24"/>
      </c>
      <c r="K145" s="301"/>
      <c r="L145" s="305">
        <f t="shared" si="25"/>
      </c>
      <c r="M145" s="315"/>
      <c r="P145" s="15"/>
    </row>
    <row r="146" spans="1:16" ht="13.5" customHeight="1">
      <c r="A146" s="288">
        <v>17</v>
      </c>
      <c r="B146" s="319" t="s">
        <v>377</v>
      </c>
      <c r="C146" s="320">
        <v>1</v>
      </c>
      <c r="D146" s="321"/>
      <c r="E146" s="322"/>
      <c r="F146" s="323">
        <f t="shared" si="22"/>
      </c>
      <c r="G146" s="322"/>
      <c r="H146" s="323">
        <f t="shared" si="23"/>
      </c>
      <c r="I146" s="324">
        <f>IF((+E146+G146-K146)=0,"",(+E146+G146-K146))</f>
      </c>
      <c r="J146" s="325">
        <f t="shared" si="24"/>
      </c>
      <c r="K146" s="322"/>
      <c r="L146" s="341">
        <f t="shared" si="25"/>
      </c>
      <c r="M146" s="326"/>
      <c r="P146" s="15"/>
    </row>
    <row r="147" spans="1:16" ht="12">
      <c r="A147" s="263"/>
      <c r="B147" s="225"/>
      <c r="C147" s="225"/>
      <c r="D147" s="225"/>
      <c r="E147" s="225"/>
      <c r="F147" s="264"/>
      <c r="G147" s="225"/>
      <c r="H147" s="225"/>
      <c r="I147" s="225"/>
      <c r="J147" s="225"/>
      <c r="K147" s="225"/>
      <c r="L147" s="225"/>
      <c r="M147" s="225"/>
      <c r="P147" s="15"/>
    </row>
    <row r="148" spans="1:16" ht="20.25" customHeight="1">
      <c r="A148" s="268"/>
      <c r="B148" s="420" t="str">
        <f>critères!B33</f>
        <v>manifestation6</v>
      </c>
      <c r="C148" s="420"/>
      <c r="D148" s="420"/>
      <c r="E148" s="420"/>
      <c r="F148" s="420"/>
      <c r="G148" s="420"/>
      <c r="H148" s="420"/>
      <c r="I148" s="420"/>
      <c r="J148" s="420"/>
      <c r="K148" s="420"/>
      <c r="L148" s="420"/>
      <c r="M148" s="269">
        <f ca="1">TODAY()</f>
        <v>44111</v>
      </c>
      <c r="P148" s="15"/>
    </row>
    <row r="149" spans="1:16" ht="36.75" customHeight="1">
      <c r="A149" s="270"/>
      <c r="B149" s="271" t="s">
        <v>413</v>
      </c>
      <c r="C149" s="272">
        <v>360</v>
      </c>
      <c r="D149" s="273"/>
      <c r="E149" s="421" t="s">
        <v>343</v>
      </c>
      <c r="F149" s="421"/>
      <c r="G149" s="422" t="s">
        <v>344</v>
      </c>
      <c r="H149" s="422"/>
      <c r="I149" s="423" t="s">
        <v>345</v>
      </c>
      <c r="J149" s="423"/>
      <c r="K149" s="424" t="s">
        <v>346</v>
      </c>
      <c r="L149" s="424"/>
      <c r="M149" s="274" t="s">
        <v>347</v>
      </c>
      <c r="P149" s="15"/>
    </row>
    <row r="150" spans="1:16" ht="13.5" customHeight="1">
      <c r="A150" s="270"/>
      <c r="B150" s="276" t="s">
        <v>414</v>
      </c>
      <c r="C150" s="277">
        <v>54</v>
      </c>
      <c r="D150" s="278"/>
      <c r="E150" s="279"/>
      <c r="F150" s="280">
        <f>SUM(F152:F175)</f>
        <v>0</v>
      </c>
      <c r="G150" s="281"/>
      <c r="H150" s="280">
        <f>SUM(H152:H175)</f>
        <v>0</v>
      </c>
      <c r="I150" s="282"/>
      <c r="J150" s="280">
        <f>SUM(J152:J175)</f>
        <v>0</v>
      </c>
      <c r="K150" s="282"/>
      <c r="L150" s="283">
        <f>SUM(L152:L175)</f>
        <v>0</v>
      </c>
      <c r="M150" s="284">
        <f>+L150-F150</f>
        <v>0</v>
      </c>
      <c r="P150" s="15"/>
    </row>
    <row r="151" spans="1:16" ht="13.5" customHeight="1">
      <c r="A151" s="288"/>
      <c r="B151" s="289"/>
      <c r="C151" s="290" t="s">
        <v>351</v>
      </c>
      <c r="D151" s="291"/>
      <c r="E151" s="290" t="s">
        <v>352</v>
      </c>
      <c r="F151" s="292" t="s">
        <v>353</v>
      </c>
      <c r="G151" s="293" t="s">
        <v>352</v>
      </c>
      <c r="H151" s="292" t="s">
        <v>353</v>
      </c>
      <c r="I151" s="294" t="s">
        <v>352</v>
      </c>
      <c r="J151" s="295" t="s">
        <v>353</v>
      </c>
      <c r="K151" s="293" t="s">
        <v>352</v>
      </c>
      <c r="L151" s="296" t="s">
        <v>353</v>
      </c>
      <c r="M151" s="297"/>
      <c r="P151" s="15"/>
    </row>
    <row r="152" spans="1:16" ht="13.5" customHeight="1">
      <c r="A152" s="288">
        <v>1</v>
      </c>
      <c r="B152" s="289" t="s">
        <v>356</v>
      </c>
      <c r="C152" s="327">
        <v>0.473</v>
      </c>
      <c r="D152" s="300">
        <v>1.5</v>
      </c>
      <c r="E152" s="301"/>
      <c r="F152" s="302">
        <f aca="true" t="shared" si="27" ref="F152:F175">IF(($C152*E152)=0,"",$C152*E152)</f>
      </c>
      <c r="G152" s="301"/>
      <c r="H152" s="302">
        <f aca="true" t="shared" si="28" ref="H152:H175">IF(($C152*G152)=0,"",$C152*G152)</f>
      </c>
      <c r="I152" s="303">
        <f aca="true" t="shared" si="29" ref="I152:I170">IF((+E152+G152-K152)=0,"",(+E152+G152-K152))</f>
      </c>
      <c r="J152" s="304">
        <f aca="true" t="shared" si="30" ref="J152:J175">IF(I152="","",+I152*$C152)</f>
      </c>
      <c r="K152" s="301"/>
      <c r="L152" s="305">
        <f aca="true" t="shared" si="31" ref="L152:L173">IF(($C152*K152)=0,"",$C152*K152)</f>
      </c>
      <c r="M152" s="306"/>
      <c r="N152" s="307"/>
      <c r="P152" s="15"/>
    </row>
    <row r="153" spans="1:16" ht="13.5" customHeight="1">
      <c r="A153" s="288">
        <v>2</v>
      </c>
      <c r="B153" s="289" t="s">
        <v>357</v>
      </c>
      <c r="C153" s="327">
        <v>0.43</v>
      </c>
      <c r="D153" s="300">
        <v>1.5</v>
      </c>
      <c r="E153" s="301"/>
      <c r="F153" s="302">
        <f t="shared" si="27"/>
      </c>
      <c r="G153" s="301"/>
      <c r="H153" s="302">
        <f t="shared" si="28"/>
      </c>
      <c r="I153" s="303">
        <f t="shared" si="29"/>
      </c>
      <c r="J153" s="304">
        <f t="shared" si="30"/>
      </c>
      <c r="K153" s="301"/>
      <c r="L153" s="305">
        <f t="shared" si="31"/>
      </c>
      <c r="M153" s="306"/>
      <c r="P153" s="15"/>
    </row>
    <row r="154" spans="1:16" ht="13.5" customHeight="1">
      <c r="A154" s="288">
        <v>3</v>
      </c>
      <c r="B154" s="289" t="s">
        <v>400</v>
      </c>
      <c r="C154" s="327">
        <v>4</v>
      </c>
      <c r="D154" s="300"/>
      <c r="E154" s="301"/>
      <c r="F154" s="302">
        <f t="shared" si="27"/>
      </c>
      <c r="G154" s="301"/>
      <c r="H154" s="302">
        <f t="shared" si="28"/>
      </c>
      <c r="I154" s="303">
        <f t="shared" si="29"/>
      </c>
      <c r="J154" s="304">
        <f t="shared" si="30"/>
      </c>
      <c r="K154" s="301"/>
      <c r="L154" s="305">
        <f t="shared" si="31"/>
      </c>
      <c r="M154" s="306"/>
      <c r="P154" s="15"/>
    </row>
    <row r="155" spans="1:16" ht="13.5" customHeight="1">
      <c r="A155" s="288">
        <v>4</v>
      </c>
      <c r="B155" s="289" t="s">
        <v>360</v>
      </c>
      <c r="C155" s="327">
        <v>1.8299</v>
      </c>
      <c r="D155" s="300">
        <v>0.7</v>
      </c>
      <c r="E155" s="301"/>
      <c r="F155" s="302">
        <f t="shared" si="27"/>
      </c>
      <c r="G155" s="301"/>
      <c r="H155" s="302">
        <f t="shared" si="28"/>
      </c>
      <c r="I155" s="303">
        <f t="shared" si="29"/>
      </c>
      <c r="J155" s="304">
        <f t="shared" si="30"/>
      </c>
      <c r="K155" s="301"/>
      <c r="L155" s="305">
        <f t="shared" si="31"/>
      </c>
      <c r="M155" s="306"/>
      <c r="N155" s="307"/>
      <c r="P155" s="15"/>
    </row>
    <row r="156" spans="1:16" ht="13.5" customHeight="1">
      <c r="A156" s="288">
        <v>5</v>
      </c>
      <c r="B156" s="289" t="s">
        <v>361</v>
      </c>
      <c r="C156" s="327">
        <v>1.9734</v>
      </c>
      <c r="D156" s="300">
        <v>0.7</v>
      </c>
      <c r="E156" s="301"/>
      <c r="F156" s="302">
        <f t="shared" si="27"/>
      </c>
      <c r="G156" s="301"/>
      <c r="H156" s="302">
        <f t="shared" si="28"/>
      </c>
      <c r="I156" s="303">
        <f t="shared" si="29"/>
      </c>
      <c r="J156" s="304">
        <f t="shared" si="30"/>
      </c>
      <c r="K156" s="301"/>
      <c r="L156" s="305">
        <f t="shared" si="31"/>
      </c>
      <c r="M156" s="306"/>
      <c r="P156" s="15"/>
    </row>
    <row r="157" spans="1:16" ht="13.5" customHeight="1">
      <c r="A157" s="288">
        <v>6</v>
      </c>
      <c r="B157" s="289" t="s">
        <v>362</v>
      </c>
      <c r="C157" s="299">
        <v>1.45</v>
      </c>
      <c r="D157" s="300">
        <v>0.6</v>
      </c>
      <c r="E157" s="311"/>
      <c r="F157" s="302">
        <f t="shared" si="27"/>
      </c>
      <c r="G157" s="301"/>
      <c r="H157" s="302">
        <f t="shared" si="28"/>
      </c>
      <c r="I157" s="303">
        <f t="shared" si="29"/>
      </c>
      <c r="J157" s="304">
        <f t="shared" si="30"/>
      </c>
      <c r="K157" s="301"/>
      <c r="L157" s="305">
        <f t="shared" si="31"/>
      </c>
      <c r="M157" s="306"/>
      <c r="P157" s="15"/>
    </row>
    <row r="158" spans="1:16" ht="13.5" customHeight="1">
      <c r="A158" s="288">
        <v>7</v>
      </c>
      <c r="B158" s="289" t="s">
        <v>363</v>
      </c>
      <c r="C158" s="299">
        <v>2.09</v>
      </c>
      <c r="D158" s="300">
        <v>0.5</v>
      </c>
      <c r="E158" s="311"/>
      <c r="F158" s="302">
        <f t="shared" si="27"/>
      </c>
      <c r="G158" s="301"/>
      <c r="H158" s="302">
        <f t="shared" si="28"/>
      </c>
      <c r="I158" s="303">
        <f t="shared" si="29"/>
      </c>
      <c r="J158" s="304">
        <f t="shared" si="30"/>
      </c>
      <c r="K158" s="311"/>
      <c r="L158" s="305">
        <f t="shared" si="31"/>
      </c>
      <c r="M158" s="306"/>
      <c r="P158" s="15"/>
    </row>
    <row r="159" spans="1:16" ht="13.5" customHeight="1">
      <c r="A159" s="288">
        <v>8</v>
      </c>
      <c r="B159" s="289" t="s">
        <v>364</v>
      </c>
      <c r="C159" s="327">
        <v>2.01</v>
      </c>
      <c r="D159" s="300"/>
      <c r="E159" s="301"/>
      <c r="F159" s="302">
        <f t="shared" si="27"/>
      </c>
      <c r="G159" s="301"/>
      <c r="H159" s="302">
        <f t="shared" si="28"/>
      </c>
      <c r="I159" s="303">
        <f t="shared" si="29"/>
      </c>
      <c r="J159" s="304">
        <f t="shared" si="30"/>
      </c>
      <c r="K159" s="301"/>
      <c r="L159" s="305">
        <f t="shared" si="31"/>
      </c>
      <c r="M159" s="306"/>
      <c r="N159" s="307"/>
      <c r="P159" s="15"/>
    </row>
    <row r="160" spans="1:16" ht="13.5" customHeight="1">
      <c r="A160" s="288">
        <v>9</v>
      </c>
      <c r="B160" s="289" t="s">
        <v>365</v>
      </c>
      <c r="C160" s="299">
        <v>1.39</v>
      </c>
      <c r="D160" s="300">
        <v>0.6</v>
      </c>
      <c r="E160" s="301"/>
      <c r="F160" s="302">
        <f t="shared" si="27"/>
      </c>
      <c r="G160" s="301"/>
      <c r="H160" s="302">
        <f t="shared" si="28"/>
      </c>
      <c r="I160" s="303">
        <f t="shared" si="29"/>
      </c>
      <c r="J160" s="304">
        <f t="shared" si="30"/>
      </c>
      <c r="K160" s="301"/>
      <c r="L160" s="305">
        <f t="shared" si="31"/>
      </c>
      <c r="M160" s="306"/>
      <c r="N160" s="307"/>
      <c r="P160" s="15"/>
    </row>
    <row r="161" spans="1:16" ht="13.5" customHeight="1">
      <c r="A161" s="288">
        <v>10</v>
      </c>
      <c r="B161" s="289" t="s">
        <v>366</v>
      </c>
      <c r="C161" s="299">
        <v>1.82</v>
      </c>
      <c r="D161" s="300">
        <v>0.6</v>
      </c>
      <c r="E161" s="301"/>
      <c r="F161" s="302">
        <f t="shared" si="27"/>
      </c>
      <c r="G161" s="301"/>
      <c r="H161" s="302">
        <f t="shared" si="28"/>
      </c>
      <c r="I161" s="303">
        <f t="shared" si="29"/>
      </c>
      <c r="J161" s="304">
        <f t="shared" si="30"/>
      </c>
      <c r="K161" s="301"/>
      <c r="L161" s="305">
        <f t="shared" si="31"/>
      </c>
      <c r="M161" s="306"/>
      <c r="P161" s="15"/>
    </row>
    <row r="162" spans="1:16" ht="13.5" customHeight="1">
      <c r="A162" s="288">
        <v>11</v>
      </c>
      <c r="B162" s="289" t="s">
        <v>385</v>
      </c>
      <c r="C162" s="299">
        <v>0.29</v>
      </c>
      <c r="D162" s="300"/>
      <c r="E162" s="301"/>
      <c r="F162" s="302">
        <f t="shared" si="27"/>
      </c>
      <c r="G162" s="301"/>
      <c r="H162" s="302">
        <f t="shared" si="28"/>
      </c>
      <c r="I162" s="303">
        <f t="shared" si="29"/>
      </c>
      <c r="J162" s="304">
        <f t="shared" si="30"/>
      </c>
      <c r="K162" s="301"/>
      <c r="L162" s="305">
        <f t="shared" si="31"/>
      </c>
      <c r="M162" s="306"/>
      <c r="P162" s="15"/>
    </row>
    <row r="163" spans="1:16" ht="13.5" customHeight="1">
      <c r="A163" s="288">
        <v>12</v>
      </c>
      <c r="B163" s="289" t="s">
        <v>368</v>
      </c>
      <c r="C163" s="299">
        <v>0.0696</v>
      </c>
      <c r="D163" s="300">
        <v>0.6</v>
      </c>
      <c r="E163" s="301"/>
      <c r="F163" s="302">
        <f t="shared" si="27"/>
      </c>
      <c r="G163" s="301"/>
      <c r="H163" s="302">
        <f t="shared" si="28"/>
      </c>
      <c r="I163" s="303">
        <f t="shared" si="29"/>
      </c>
      <c r="J163" s="304">
        <f t="shared" si="30"/>
      </c>
      <c r="K163" s="301"/>
      <c r="L163" s="305">
        <f t="shared" si="31"/>
      </c>
      <c r="M163" s="306"/>
      <c r="P163" s="15"/>
    </row>
    <row r="164" spans="1:16" ht="13.5" customHeight="1">
      <c r="A164" s="288">
        <v>13</v>
      </c>
      <c r="B164" s="289" t="s">
        <v>415</v>
      </c>
      <c r="C164" s="327">
        <v>0.37</v>
      </c>
      <c r="D164" s="300">
        <v>0.6</v>
      </c>
      <c r="E164" s="301"/>
      <c r="F164" s="302">
        <f t="shared" si="27"/>
      </c>
      <c r="G164" s="301"/>
      <c r="H164" s="302">
        <f t="shared" si="28"/>
      </c>
      <c r="I164" s="303">
        <f t="shared" si="29"/>
      </c>
      <c r="J164" s="304">
        <f t="shared" si="30"/>
      </c>
      <c r="K164" s="301"/>
      <c r="L164" s="305">
        <f t="shared" si="31"/>
      </c>
      <c r="M164" s="306"/>
      <c r="P164" s="15"/>
    </row>
    <row r="165" spans="1:16" ht="13.5" customHeight="1">
      <c r="A165" s="288">
        <v>14</v>
      </c>
      <c r="B165" s="289" t="s">
        <v>370</v>
      </c>
      <c r="C165" s="327">
        <v>0.0154</v>
      </c>
      <c r="D165" s="314"/>
      <c r="E165" s="301"/>
      <c r="F165" s="302">
        <f t="shared" si="27"/>
      </c>
      <c r="G165" s="301"/>
      <c r="H165" s="302">
        <f t="shared" si="28"/>
      </c>
      <c r="I165" s="303">
        <f t="shared" si="29"/>
      </c>
      <c r="J165" s="304">
        <f t="shared" si="30"/>
      </c>
      <c r="K165" s="301"/>
      <c r="L165" s="305">
        <f t="shared" si="31"/>
      </c>
      <c r="M165" s="306"/>
      <c r="P165" s="15"/>
    </row>
    <row r="166" spans="1:16" ht="13.5" customHeight="1">
      <c r="A166" s="288">
        <v>15</v>
      </c>
      <c r="B166" s="289" t="s">
        <v>371</v>
      </c>
      <c r="C166" s="327">
        <v>1.7</v>
      </c>
      <c r="D166" s="300"/>
      <c r="E166" s="311"/>
      <c r="F166" s="302">
        <f t="shared" si="27"/>
      </c>
      <c r="G166" s="311"/>
      <c r="H166" s="302">
        <f t="shared" si="28"/>
      </c>
      <c r="I166" s="303">
        <f t="shared" si="29"/>
      </c>
      <c r="J166" s="304">
        <f t="shared" si="30"/>
      </c>
      <c r="K166" s="311"/>
      <c r="L166" s="305">
        <f t="shared" si="31"/>
      </c>
      <c r="M166" s="306"/>
      <c r="P166" s="15"/>
    </row>
    <row r="167" spans="1:16" ht="13.5" customHeight="1">
      <c r="A167" s="288">
        <v>12</v>
      </c>
      <c r="B167" s="289" t="s">
        <v>372</v>
      </c>
      <c r="C167" s="327"/>
      <c r="D167" s="314"/>
      <c r="E167" s="301"/>
      <c r="F167" s="302">
        <f t="shared" si="27"/>
      </c>
      <c r="G167" s="301"/>
      <c r="H167" s="302">
        <f t="shared" si="28"/>
      </c>
      <c r="I167" s="303">
        <f t="shared" si="29"/>
      </c>
      <c r="J167" s="304">
        <f t="shared" si="30"/>
      </c>
      <c r="K167" s="301"/>
      <c r="L167" s="305">
        <f t="shared" si="31"/>
      </c>
      <c r="M167" s="306"/>
      <c r="P167" s="15"/>
    </row>
    <row r="168" spans="1:16" ht="13.5" customHeight="1">
      <c r="A168" s="288">
        <v>13</v>
      </c>
      <c r="B168" s="289" t="s">
        <v>373</v>
      </c>
      <c r="C168" s="299">
        <v>0.41</v>
      </c>
      <c r="D168" s="314"/>
      <c r="E168" s="301"/>
      <c r="F168" s="302">
        <f t="shared" si="27"/>
      </c>
      <c r="G168" s="301"/>
      <c r="H168" s="302">
        <f t="shared" si="28"/>
      </c>
      <c r="I168" s="303">
        <f t="shared" si="29"/>
      </c>
      <c r="J168" s="304">
        <f t="shared" si="30"/>
      </c>
      <c r="K168" s="301"/>
      <c r="L168" s="305">
        <f t="shared" si="31"/>
      </c>
      <c r="M168" s="315"/>
      <c r="P168" s="15"/>
    </row>
    <row r="169" spans="1:16" ht="13.5" customHeight="1">
      <c r="A169" s="288">
        <v>14</v>
      </c>
      <c r="B169" s="289" t="s">
        <v>374</v>
      </c>
      <c r="C169" s="318">
        <v>1</v>
      </c>
      <c r="D169" s="314"/>
      <c r="E169" s="301"/>
      <c r="F169" s="302">
        <f t="shared" si="27"/>
      </c>
      <c r="G169" s="316"/>
      <c r="H169" s="302">
        <f t="shared" si="28"/>
      </c>
      <c r="I169" s="303">
        <f t="shared" si="29"/>
      </c>
      <c r="J169" s="304">
        <f t="shared" si="30"/>
      </c>
      <c r="K169" s="301"/>
      <c r="L169" s="305">
        <f t="shared" si="31"/>
      </c>
      <c r="M169" s="317"/>
      <c r="N169" s="307"/>
      <c r="P169" s="15"/>
    </row>
    <row r="170" spans="1:16" ht="13.5" customHeight="1">
      <c r="A170" s="288">
        <v>15</v>
      </c>
      <c r="B170" s="289" t="s">
        <v>375</v>
      </c>
      <c r="C170" s="318"/>
      <c r="D170" s="314"/>
      <c r="E170" s="301"/>
      <c r="F170" s="302">
        <f t="shared" si="27"/>
      </c>
      <c r="G170" s="301"/>
      <c r="H170" s="302">
        <f t="shared" si="28"/>
      </c>
      <c r="I170" s="303">
        <f t="shared" si="29"/>
      </c>
      <c r="J170" s="304">
        <f t="shared" si="30"/>
      </c>
      <c r="K170" s="301"/>
      <c r="L170" s="305">
        <f t="shared" si="31"/>
      </c>
      <c r="M170" s="315"/>
      <c r="P170" s="15"/>
    </row>
    <row r="171" spans="1:16" ht="13.5" customHeight="1">
      <c r="A171" s="288">
        <v>16</v>
      </c>
      <c r="B171" s="289" t="s">
        <v>376</v>
      </c>
      <c r="C171" s="318">
        <v>1</v>
      </c>
      <c r="D171" s="314"/>
      <c r="E171" s="301"/>
      <c r="F171" s="302">
        <f t="shared" si="27"/>
      </c>
      <c r="G171" s="301"/>
      <c r="H171" s="302">
        <f t="shared" si="28"/>
      </c>
      <c r="I171" s="303"/>
      <c r="J171" s="304">
        <f t="shared" si="30"/>
      </c>
      <c r="K171" s="301"/>
      <c r="L171" s="305">
        <f t="shared" si="31"/>
      </c>
      <c r="M171" s="315"/>
      <c r="P171" s="15"/>
    </row>
    <row r="172" spans="1:16" ht="13.5" customHeight="1">
      <c r="A172" s="288"/>
      <c r="B172" s="289"/>
      <c r="C172" s="318"/>
      <c r="D172" s="314"/>
      <c r="E172" s="301"/>
      <c r="F172" s="302">
        <f t="shared" si="27"/>
      </c>
      <c r="G172" s="301"/>
      <c r="H172" s="302">
        <f t="shared" si="28"/>
      </c>
      <c r="I172" s="303"/>
      <c r="J172" s="304">
        <f t="shared" si="30"/>
      </c>
      <c r="K172" s="301"/>
      <c r="L172" s="305">
        <f t="shared" si="31"/>
      </c>
      <c r="M172" s="315"/>
      <c r="P172" s="15"/>
    </row>
    <row r="173" spans="1:16" ht="13.5" customHeight="1">
      <c r="A173" s="288"/>
      <c r="B173" s="289"/>
      <c r="C173" s="318"/>
      <c r="D173" s="314"/>
      <c r="E173" s="301"/>
      <c r="F173" s="302">
        <f t="shared" si="27"/>
      </c>
      <c r="G173" s="301"/>
      <c r="H173" s="302">
        <f t="shared" si="28"/>
      </c>
      <c r="I173" s="303"/>
      <c r="J173" s="304">
        <f t="shared" si="30"/>
      </c>
      <c r="K173" s="301"/>
      <c r="L173" s="305">
        <f t="shared" si="31"/>
      </c>
      <c r="M173" s="315"/>
      <c r="P173" s="15"/>
    </row>
    <row r="174" spans="1:16" ht="13.5" customHeight="1">
      <c r="A174" s="288"/>
      <c r="B174" s="289"/>
      <c r="C174" s="318"/>
      <c r="D174" s="314"/>
      <c r="E174" s="301"/>
      <c r="F174" s="302">
        <f t="shared" si="27"/>
      </c>
      <c r="G174" s="301"/>
      <c r="H174" s="302">
        <f t="shared" si="28"/>
      </c>
      <c r="I174" s="303"/>
      <c r="J174" s="304">
        <f t="shared" si="30"/>
      </c>
      <c r="K174" s="301"/>
      <c r="L174" s="305"/>
      <c r="M174" s="315"/>
      <c r="P174" s="15"/>
    </row>
    <row r="175" spans="1:16" ht="13.5" customHeight="1">
      <c r="A175" s="288">
        <v>17</v>
      </c>
      <c r="B175" s="319" t="s">
        <v>377</v>
      </c>
      <c r="C175" s="320">
        <v>1</v>
      </c>
      <c r="D175" s="321"/>
      <c r="E175" s="322"/>
      <c r="F175" s="323">
        <f t="shared" si="27"/>
      </c>
      <c r="G175" s="322"/>
      <c r="H175" s="323">
        <f t="shared" si="28"/>
      </c>
      <c r="I175" s="324">
        <f>IF((+E175+G175-K175)=0,"",(+E175+G175-K175))</f>
      </c>
      <c r="J175" s="325">
        <f t="shared" si="30"/>
      </c>
      <c r="K175" s="322"/>
      <c r="L175" s="341"/>
      <c r="M175" s="326"/>
      <c r="P175" s="15"/>
    </row>
    <row r="176" spans="1:16" ht="12">
      <c r="A176" s="263"/>
      <c r="B176" s="225"/>
      <c r="C176" s="225"/>
      <c r="D176" s="225"/>
      <c r="E176" s="225"/>
      <c r="F176" s="264"/>
      <c r="G176" s="225"/>
      <c r="H176" s="225"/>
      <c r="I176" s="225"/>
      <c r="J176" s="225"/>
      <c r="K176" s="225"/>
      <c r="L176" s="225"/>
      <c r="M176" s="225"/>
      <c r="P176" s="15"/>
    </row>
    <row r="177" spans="1:16" ht="20.25" customHeight="1">
      <c r="A177" s="268"/>
      <c r="B177" s="420" t="str">
        <f>critères!B34</f>
        <v>manifestation7</v>
      </c>
      <c r="C177" s="420"/>
      <c r="D177" s="420"/>
      <c r="E177" s="420"/>
      <c r="F177" s="420"/>
      <c r="G177" s="420"/>
      <c r="H177" s="420"/>
      <c r="I177" s="420"/>
      <c r="J177" s="420"/>
      <c r="K177" s="420"/>
      <c r="L177" s="420"/>
      <c r="M177" s="269">
        <f ca="1">TODAY()</f>
        <v>44111</v>
      </c>
      <c r="P177" s="15"/>
    </row>
    <row r="178" spans="1:16" ht="36.75" customHeight="1">
      <c r="A178" s="270"/>
      <c r="B178" s="271" t="s">
        <v>416</v>
      </c>
      <c r="C178" s="272">
        <v>276</v>
      </c>
      <c r="D178" s="273"/>
      <c r="E178" s="421" t="s">
        <v>343</v>
      </c>
      <c r="F178" s="421"/>
      <c r="G178" s="422" t="s">
        <v>344</v>
      </c>
      <c r="H178" s="422"/>
      <c r="I178" s="423" t="s">
        <v>345</v>
      </c>
      <c r="J178" s="423"/>
      <c r="K178" s="424" t="s">
        <v>346</v>
      </c>
      <c r="L178" s="424"/>
      <c r="M178" s="274" t="s">
        <v>347</v>
      </c>
      <c r="P178" s="15"/>
    </row>
    <row r="179" spans="1:16" ht="13.5" customHeight="1">
      <c r="A179" s="270"/>
      <c r="B179" s="276" t="s">
        <v>414</v>
      </c>
      <c r="C179" s="277">
        <v>42</v>
      </c>
      <c r="D179" s="278"/>
      <c r="E179" s="279"/>
      <c r="F179" s="280">
        <f>SUM(F181:F204)</f>
        <v>0</v>
      </c>
      <c r="G179" s="281"/>
      <c r="H179" s="280">
        <f>SUM(H181:H204)</f>
        <v>0</v>
      </c>
      <c r="I179" s="282"/>
      <c r="J179" s="280">
        <f>SUM(J181:J204)</f>
        <v>0</v>
      </c>
      <c r="K179" s="282"/>
      <c r="L179" s="283">
        <f>SUM(L181:L204)</f>
        <v>0</v>
      </c>
      <c r="M179" s="284">
        <f>+L179-F179</f>
        <v>0</v>
      </c>
      <c r="N179" s="344"/>
      <c r="P179" s="15"/>
    </row>
    <row r="180" spans="1:16" ht="13.5" customHeight="1">
      <c r="A180" s="288"/>
      <c r="B180" s="289"/>
      <c r="C180" s="290" t="s">
        <v>351</v>
      </c>
      <c r="D180" s="291"/>
      <c r="E180" s="290" t="s">
        <v>352</v>
      </c>
      <c r="F180" s="292" t="s">
        <v>353</v>
      </c>
      <c r="G180" s="293" t="s">
        <v>352</v>
      </c>
      <c r="H180" s="292" t="s">
        <v>353</v>
      </c>
      <c r="I180" s="294" t="s">
        <v>352</v>
      </c>
      <c r="J180" s="295" t="s">
        <v>353</v>
      </c>
      <c r="K180" s="293" t="s">
        <v>352</v>
      </c>
      <c r="L180" s="296" t="s">
        <v>353</v>
      </c>
      <c r="M180" s="297"/>
      <c r="P180" s="15"/>
    </row>
    <row r="181" spans="1:16" ht="13.5" customHeight="1">
      <c r="A181" s="288">
        <v>1</v>
      </c>
      <c r="B181" s="289" t="s">
        <v>356</v>
      </c>
      <c r="C181" s="327">
        <v>0.473</v>
      </c>
      <c r="D181" s="300"/>
      <c r="E181" s="301"/>
      <c r="F181" s="302">
        <f aca="true" t="shared" si="32" ref="F181:F204">IF(($C181*E181)=0,"",$C181*E181)</f>
      </c>
      <c r="G181" s="301"/>
      <c r="H181" s="302">
        <f aca="true" t="shared" si="33" ref="H181:H204">IF(($C181*G181)=0,"",$C181*G181)</f>
      </c>
      <c r="I181" s="303">
        <f aca="true" t="shared" si="34" ref="I181:I200">IF((+E181+G181-K181)=0,"",(+E181+G181-K181))</f>
      </c>
      <c r="J181" s="304">
        <f aca="true" t="shared" si="35" ref="J181:J204">IF(I181="","",+I181*$C181)</f>
      </c>
      <c r="K181" s="301"/>
      <c r="L181" s="305">
        <f aca="true" t="shared" si="36" ref="L181:L203">IF(($C181*K181)=0,"",$C181*K181)</f>
      </c>
      <c r="M181" s="306"/>
      <c r="N181" s="307"/>
      <c r="P181" s="15"/>
    </row>
    <row r="182" spans="1:16" ht="13.5" customHeight="1">
      <c r="A182" s="288">
        <v>2</v>
      </c>
      <c r="B182" s="289" t="s">
        <v>357</v>
      </c>
      <c r="C182" s="327">
        <v>0.445</v>
      </c>
      <c r="D182" s="300"/>
      <c r="E182" s="301"/>
      <c r="F182" s="302">
        <f t="shared" si="32"/>
      </c>
      <c r="G182" s="301"/>
      <c r="H182" s="302">
        <f t="shared" si="33"/>
      </c>
      <c r="I182" s="303">
        <f t="shared" si="34"/>
      </c>
      <c r="J182" s="304">
        <f t="shared" si="35"/>
      </c>
      <c r="K182" s="301"/>
      <c r="L182" s="305">
        <f t="shared" si="36"/>
      </c>
      <c r="M182" s="306"/>
      <c r="P182" s="15"/>
    </row>
    <row r="183" spans="1:16" ht="13.5" customHeight="1">
      <c r="A183" s="288">
        <v>3</v>
      </c>
      <c r="B183" s="289" t="s">
        <v>400</v>
      </c>
      <c r="C183" s="327">
        <v>4</v>
      </c>
      <c r="D183" s="300"/>
      <c r="E183" s="301"/>
      <c r="F183" s="302">
        <f t="shared" si="32"/>
      </c>
      <c r="G183" s="301"/>
      <c r="H183" s="302">
        <f t="shared" si="33"/>
      </c>
      <c r="I183" s="303">
        <f t="shared" si="34"/>
      </c>
      <c r="J183" s="304">
        <f t="shared" si="35"/>
      </c>
      <c r="K183" s="301"/>
      <c r="L183" s="305">
        <f t="shared" si="36"/>
      </c>
      <c r="M183" s="306"/>
      <c r="P183" s="15"/>
    </row>
    <row r="184" spans="1:16" ht="13.5" customHeight="1">
      <c r="A184" s="288">
        <v>4</v>
      </c>
      <c r="B184" s="289" t="s">
        <v>360</v>
      </c>
      <c r="C184" s="327">
        <v>1.9</v>
      </c>
      <c r="D184" s="300"/>
      <c r="E184" s="301"/>
      <c r="F184" s="302">
        <f t="shared" si="32"/>
      </c>
      <c r="G184" s="301"/>
      <c r="H184" s="302">
        <f t="shared" si="33"/>
      </c>
      <c r="I184" s="303">
        <f t="shared" si="34"/>
      </c>
      <c r="J184" s="304">
        <f t="shared" si="35"/>
      </c>
      <c r="K184" s="301"/>
      <c r="L184" s="305">
        <f t="shared" si="36"/>
      </c>
      <c r="M184" s="306"/>
      <c r="P184" s="15"/>
    </row>
    <row r="185" spans="1:16" ht="13.5" customHeight="1">
      <c r="A185" s="288">
        <v>5</v>
      </c>
      <c r="B185" s="289" t="s">
        <v>361</v>
      </c>
      <c r="C185" s="327">
        <v>2.15</v>
      </c>
      <c r="D185" s="300"/>
      <c r="E185" s="301"/>
      <c r="F185" s="302">
        <f t="shared" si="32"/>
      </c>
      <c r="G185" s="301"/>
      <c r="H185" s="302">
        <f t="shared" si="33"/>
      </c>
      <c r="I185" s="303">
        <f t="shared" si="34"/>
      </c>
      <c r="J185" s="304">
        <f t="shared" si="35"/>
      </c>
      <c r="K185" s="301"/>
      <c r="L185" s="305">
        <f t="shared" si="36"/>
      </c>
      <c r="M185" s="306"/>
      <c r="N185" s="307"/>
      <c r="P185" s="15"/>
    </row>
    <row r="186" spans="1:16" ht="13.5" customHeight="1">
      <c r="A186" s="288">
        <v>6</v>
      </c>
      <c r="B186" s="289" t="s">
        <v>362</v>
      </c>
      <c r="C186" s="299">
        <v>1.45</v>
      </c>
      <c r="D186" s="300"/>
      <c r="E186" s="311"/>
      <c r="F186" s="302">
        <f t="shared" si="32"/>
      </c>
      <c r="G186" s="301"/>
      <c r="H186" s="302">
        <f t="shared" si="33"/>
      </c>
      <c r="I186" s="303">
        <f t="shared" si="34"/>
      </c>
      <c r="J186" s="304">
        <f t="shared" si="35"/>
      </c>
      <c r="K186" s="301"/>
      <c r="L186" s="305">
        <f t="shared" si="36"/>
      </c>
      <c r="M186" s="306"/>
      <c r="P186" s="15"/>
    </row>
    <row r="187" spans="1:16" ht="13.5" customHeight="1">
      <c r="A187" s="288">
        <v>7</v>
      </c>
      <c r="B187" s="289" t="s">
        <v>363</v>
      </c>
      <c r="C187" s="299">
        <v>2.09</v>
      </c>
      <c r="D187" s="300"/>
      <c r="E187" s="311"/>
      <c r="F187" s="302">
        <f t="shared" si="32"/>
      </c>
      <c r="G187" s="301"/>
      <c r="H187" s="302">
        <f t="shared" si="33"/>
      </c>
      <c r="I187" s="303">
        <f t="shared" si="34"/>
      </c>
      <c r="J187" s="304">
        <f t="shared" si="35"/>
      </c>
      <c r="K187" s="311"/>
      <c r="L187" s="305">
        <f t="shared" si="36"/>
      </c>
      <c r="M187" s="306"/>
      <c r="P187" s="15"/>
    </row>
    <row r="188" spans="1:16" ht="13.5" customHeight="1">
      <c r="A188" s="288">
        <v>8</v>
      </c>
      <c r="B188" s="289" t="s">
        <v>364</v>
      </c>
      <c r="C188" s="327">
        <v>3.11</v>
      </c>
      <c r="D188" s="300"/>
      <c r="E188" s="301"/>
      <c r="F188" s="302">
        <f t="shared" si="32"/>
      </c>
      <c r="G188" s="301"/>
      <c r="H188" s="302">
        <f t="shared" si="33"/>
      </c>
      <c r="I188" s="303">
        <f t="shared" si="34"/>
      </c>
      <c r="J188" s="304">
        <f t="shared" si="35"/>
      </c>
      <c r="K188" s="301"/>
      <c r="L188" s="305">
        <f t="shared" si="36"/>
      </c>
      <c r="M188" s="306"/>
      <c r="N188" s="313"/>
      <c r="P188" s="15"/>
    </row>
    <row r="189" spans="1:16" ht="13.5" customHeight="1">
      <c r="A189" s="288">
        <v>9</v>
      </c>
      <c r="B189" s="289" t="s">
        <v>365</v>
      </c>
      <c r="C189" s="299">
        <v>1.33</v>
      </c>
      <c r="D189" s="300"/>
      <c r="E189" s="301"/>
      <c r="F189" s="302">
        <f t="shared" si="32"/>
      </c>
      <c r="G189" s="301"/>
      <c r="H189" s="302">
        <f t="shared" si="33"/>
      </c>
      <c r="I189" s="303">
        <f t="shared" si="34"/>
      </c>
      <c r="J189" s="304">
        <f t="shared" si="35"/>
      </c>
      <c r="K189" s="301"/>
      <c r="L189" s="305">
        <f t="shared" si="36"/>
      </c>
      <c r="M189" s="306"/>
      <c r="N189" s="307"/>
      <c r="P189" s="15"/>
    </row>
    <row r="190" spans="1:16" ht="13.5" customHeight="1">
      <c r="A190" s="288">
        <v>10</v>
      </c>
      <c r="B190" s="289" t="s">
        <v>366</v>
      </c>
      <c r="C190" s="299">
        <v>1.19</v>
      </c>
      <c r="D190" s="300"/>
      <c r="E190" s="301"/>
      <c r="F190" s="302">
        <f t="shared" si="32"/>
      </c>
      <c r="G190" s="301"/>
      <c r="H190" s="302">
        <f t="shared" si="33"/>
      </c>
      <c r="I190" s="303">
        <f t="shared" si="34"/>
      </c>
      <c r="J190" s="304">
        <f t="shared" si="35"/>
      </c>
      <c r="K190" s="301"/>
      <c r="L190" s="305">
        <f t="shared" si="36"/>
      </c>
      <c r="M190" s="306"/>
      <c r="P190" s="15"/>
    </row>
    <row r="191" spans="1:16" ht="13.5" customHeight="1">
      <c r="A191" s="288">
        <v>11</v>
      </c>
      <c r="B191" s="289" t="s">
        <v>385</v>
      </c>
      <c r="C191" s="299">
        <v>0.17</v>
      </c>
      <c r="D191" s="300"/>
      <c r="E191" s="301"/>
      <c r="F191" s="302">
        <f t="shared" si="32"/>
      </c>
      <c r="G191" s="301"/>
      <c r="H191" s="302">
        <f t="shared" si="33"/>
      </c>
      <c r="I191" s="303">
        <f t="shared" si="34"/>
      </c>
      <c r="J191" s="304">
        <f t="shared" si="35"/>
      </c>
      <c r="K191" s="301"/>
      <c r="L191" s="305">
        <f t="shared" si="36"/>
      </c>
      <c r="M191" s="306"/>
      <c r="N191" s="313"/>
      <c r="P191" s="15"/>
    </row>
    <row r="192" spans="1:16" ht="13.5" customHeight="1">
      <c r="A192" s="288">
        <v>12</v>
      </c>
      <c r="B192" s="289" t="s">
        <v>368</v>
      </c>
      <c r="C192" s="299">
        <v>0.0696</v>
      </c>
      <c r="D192" s="300"/>
      <c r="E192" s="301"/>
      <c r="F192" s="302">
        <f t="shared" si="32"/>
      </c>
      <c r="G192" s="301"/>
      <c r="H192" s="302">
        <f t="shared" si="33"/>
      </c>
      <c r="I192" s="303">
        <f t="shared" si="34"/>
      </c>
      <c r="J192" s="304">
        <f t="shared" si="35"/>
      </c>
      <c r="K192" s="301"/>
      <c r="L192" s="305">
        <f t="shared" si="36"/>
      </c>
      <c r="M192" s="306"/>
      <c r="N192" s="313"/>
      <c r="P192" s="15"/>
    </row>
    <row r="193" spans="1:16" ht="13.5" customHeight="1">
      <c r="A193" s="288">
        <v>13</v>
      </c>
      <c r="B193" s="289" t="s">
        <v>415</v>
      </c>
      <c r="C193" s="327">
        <v>0.37</v>
      </c>
      <c r="D193" s="300"/>
      <c r="E193" s="301"/>
      <c r="F193" s="302">
        <f t="shared" si="32"/>
      </c>
      <c r="G193" s="301"/>
      <c r="H193" s="302">
        <f t="shared" si="33"/>
      </c>
      <c r="I193" s="303">
        <f t="shared" si="34"/>
      </c>
      <c r="J193" s="304">
        <f t="shared" si="35"/>
      </c>
      <c r="K193" s="301"/>
      <c r="L193" s="305">
        <f t="shared" si="36"/>
      </c>
      <c r="M193" s="306"/>
      <c r="P193" s="15"/>
    </row>
    <row r="194" spans="1:16" ht="13.5" customHeight="1">
      <c r="A194" s="288">
        <v>14</v>
      </c>
      <c r="B194" s="289" t="s">
        <v>370</v>
      </c>
      <c r="C194" s="327">
        <v>0.0154</v>
      </c>
      <c r="D194" s="314"/>
      <c r="E194" s="301"/>
      <c r="F194" s="302">
        <f t="shared" si="32"/>
      </c>
      <c r="G194" s="301"/>
      <c r="H194" s="302">
        <f t="shared" si="33"/>
      </c>
      <c r="I194" s="303">
        <f t="shared" si="34"/>
      </c>
      <c r="J194" s="304">
        <f t="shared" si="35"/>
      </c>
      <c r="K194" s="301"/>
      <c r="L194" s="305">
        <f t="shared" si="36"/>
      </c>
      <c r="M194" s="306"/>
      <c r="P194" s="15"/>
    </row>
    <row r="195" spans="1:16" ht="13.5" customHeight="1">
      <c r="A195" s="288">
        <v>15</v>
      </c>
      <c r="B195" s="289" t="s">
        <v>371</v>
      </c>
      <c r="C195" s="327">
        <v>1.7</v>
      </c>
      <c r="D195" s="300"/>
      <c r="E195" s="311"/>
      <c r="F195" s="302">
        <f t="shared" si="32"/>
      </c>
      <c r="G195" s="311"/>
      <c r="H195" s="302">
        <f t="shared" si="33"/>
      </c>
      <c r="I195" s="303">
        <f t="shared" si="34"/>
      </c>
      <c r="J195" s="304">
        <f t="shared" si="35"/>
      </c>
      <c r="K195" s="311"/>
      <c r="L195" s="305">
        <f t="shared" si="36"/>
      </c>
      <c r="M195" s="306"/>
      <c r="N195" s="307"/>
      <c r="P195" s="15"/>
    </row>
    <row r="196" spans="1:16" ht="13.5" customHeight="1">
      <c r="A196" s="288">
        <v>12</v>
      </c>
      <c r="B196" s="289" t="s">
        <v>372</v>
      </c>
      <c r="C196" s="327"/>
      <c r="D196" s="314"/>
      <c r="E196" s="301"/>
      <c r="F196" s="302">
        <f t="shared" si="32"/>
      </c>
      <c r="G196" s="301"/>
      <c r="H196" s="302">
        <f t="shared" si="33"/>
      </c>
      <c r="I196" s="303">
        <f t="shared" si="34"/>
      </c>
      <c r="J196" s="304">
        <f t="shared" si="35"/>
      </c>
      <c r="K196" s="301"/>
      <c r="L196" s="305">
        <f t="shared" si="36"/>
      </c>
      <c r="M196" s="306"/>
      <c r="P196" s="15"/>
    </row>
    <row r="197" spans="1:16" ht="13.5" customHeight="1">
      <c r="A197" s="288">
        <v>13</v>
      </c>
      <c r="B197" s="289" t="s">
        <v>373</v>
      </c>
      <c r="C197" s="299">
        <v>0.39</v>
      </c>
      <c r="D197" s="314"/>
      <c r="E197" s="301"/>
      <c r="F197" s="302">
        <f t="shared" si="32"/>
      </c>
      <c r="G197" s="301"/>
      <c r="H197" s="302">
        <f t="shared" si="33"/>
      </c>
      <c r="I197" s="303">
        <f t="shared" si="34"/>
      </c>
      <c r="J197" s="304">
        <f t="shared" si="35"/>
      </c>
      <c r="K197" s="301"/>
      <c r="L197" s="305">
        <f t="shared" si="36"/>
      </c>
      <c r="M197" s="315"/>
      <c r="P197" s="15"/>
    </row>
    <row r="198" spans="1:16" ht="13.5" customHeight="1">
      <c r="A198" s="288">
        <v>14</v>
      </c>
      <c r="B198" s="289" t="s">
        <v>374</v>
      </c>
      <c r="C198" s="318">
        <v>1</v>
      </c>
      <c r="D198" s="314"/>
      <c r="E198" s="301"/>
      <c r="F198" s="302">
        <f t="shared" si="32"/>
      </c>
      <c r="G198" s="316"/>
      <c r="H198" s="302">
        <f t="shared" si="33"/>
      </c>
      <c r="I198" s="303">
        <f t="shared" si="34"/>
      </c>
      <c r="J198" s="304">
        <f t="shared" si="35"/>
      </c>
      <c r="K198" s="301"/>
      <c r="L198" s="305">
        <f t="shared" si="36"/>
      </c>
      <c r="M198" s="317"/>
      <c r="P198" s="15"/>
    </row>
    <row r="199" spans="1:16" ht="13.5" customHeight="1">
      <c r="A199" s="288">
        <v>15</v>
      </c>
      <c r="B199" s="289" t="s">
        <v>375</v>
      </c>
      <c r="C199" s="318"/>
      <c r="D199" s="314"/>
      <c r="E199" s="301"/>
      <c r="F199" s="302">
        <f t="shared" si="32"/>
      </c>
      <c r="G199" s="301"/>
      <c r="H199" s="302">
        <f t="shared" si="33"/>
      </c>
      <c r="I199" s="303">
        <f t="shared" si="34"/>
      </c>
      <c r="J199" s="304">
        <f t="shared" si="35"/>
      </c>
      <c r="K199" s="301"/>
      <c r="L199" s="305">
        <f t="shared" si="36"/>
      </c>
      <c r="M199" s="315"/>
      <c r="P199" s="15"/>
    </row>
    <row r="200" spans="1:16" ht="13.5" customHeight="1">
      <c r="A200" s="288">
        <v>16</v>
      </c>
      <c r="B200" s="289" t="s">
        <v>376</v>
      </c>
      <c r="C200" s="318">
        <v>1</v>
      </c>
      <c r="D200" s="314"/>
      <c r="E200" s="301"/>
      <c r="F200" s="302">
        <f t="shared" si="32"/>
      </c>
      <c r="G200" s="301"/>
      <c r="H200" s="302">
        <f t="shared" si="33"/>
      </c>
      <c r="I200" s="303">
        <f t="shared" si="34"/>
      </c>
      <c r="J200" s="304">
        <f t="shared" si="35"/>
      </c>
      <c r="K200" s="301"/>
      <c r="L200" s="305">
        <f t="shared" si="36"/>
      </c>
      <c r="M200" s="315"/>
      <c r="P200" s="15"/>
    </row>
    <row r="201" spans="1:16" ht="13.5" customHeight="1">
      <c r="A201" s="288"/>
      <c r="B201" s="289"/>
      <c r="C201" s="318"/>
      <c r="D201" s="314"/>
      <c r="E201" s="301"/>
      <c r="F201" s="302">
        <f t="shared" si="32"/>
      </c>
      <c r="G201" s="301"/>
      <c r="H201" s="302">
        <f t="shared" si="33"/>
      </c>
      <c r="I201" s="303"/>
      <c r="J201" s="304">
        <f t="shared" si="35"/>
      </c>
      <c r="K201" s="301"/>
      <c r="L201" s="305">
        <f t="shared" si="36"/>
      </c>
      <c r="M201" s="315"/>
      <c r="P201" s="15"/>
    </row>
    <row r="202" spans="1:16" ht="13.5" customHeight="1">
      <c r="A202" s="288"/>
      <c r="B202" s="289"/>
      <c r="C202" s="318"/>
      <c r="D202" s="314"/>
      <c r="E202" s="301"/>
      <c r="F202" s="302">
        <f t="shared" si="32"/>
      </c>
      <c r="G202" s="301"/>
      <c r="H202" s="302">
        <f t="shared" si="33"/>
      </c>
      <c r="I202" s="303"/>
      <c r="J202" s="304">
        <f t="shared" si="35"/>
      </c>
      <c r="K202" s="301"/>
      <c r="L202" s="305">
        <f t="shared" si="36"/>
      </c>
      <c r="M202" s="315"/>
      <c r="P202" s="15"/>
    </row>
    <row r="203" spans="1:16" ht="13.5" customHeight="1">
      <c r="A203" s="288"/>
      <c r="B203" s="289"/>
      <c r="C203" s="318"/>
      <c r="D203" s="314"/>
      <c r="E203" s="301"/>
      <c r="F203" s="302">
        <f t="shared" si="32"/>
      </c>
      <c r="G203" s="301"/>
      <c r="H203" s="302">
        <f t="shared" si="33"/>
      </c>
      <c r="I203" s="303"/>
      <c r="J203" s="304">
        <f t="shared" si="35"/>
      </c>
      <c r="K203" s="301"/>
      <c r="L203" s="305">
        <f t="shared" si="36"/>
      </c>
      <c r="M203" s="315"/>
      <c r="P203" s="15"/>
    </row>
    <row r="204" spans="1:16" ht="13.5" customHeight="1">
      <c r="A204" s="288">
        <v>17</v>
      </c>
      <c r="B204" s="319" t="s">
        <v>377</v>
      </c>
      <c r="C204" s="320">
        <v>1</v>
      </c>
      <c r="D204" s="321"/>
      <c r="E204" s="322"/>
      <c r="F204" s="323">
        <f t="shared" si="32"/>
      </c>
      <c r="G204" s="322"/>
      <c r="H204" s="323">
        <f t="shared" si="33"/>
      </c>
      <c r="I204" s="324">
        <f>IF((+E204+G204-K204)=0,"",(+E204+G204-K204))</f>
      </c>
      <c r="J204" s="325">
        <f t="shared" si="35"/>
      </c>
      <c r="K204" s="322"/>
      <c r="L204" s="341"/>
      <c r="M204" s="326"/>
      <c r="P204" s="15"/>
    </row>
    <row r="205" spans="1:16" ht="12">
      <c r="A205" s="263"/>
      <c r="B205" s="225"/>
      <c r="C205" s="225"/>
      <c r="D205" s="225"/>
      <c r="E205" s="225"/>
      <c r="F205" s="264"/>
      <c r="G205" s="225"/>
      <c r="H205" s="225"/>
      <c r="I205" s="225"/>
      <c r="J205" s="225"/>
      <c r="K205" s="225"/>
      <c r="L205" s="225"/>
      <c r="M205" s="225"/>
      <c r="P205" s="15"/>
    </row>
    <row r="206" spans="1:16" ht="20.25" customHeight="1">
      <c r="A206" s="268"/>
      <c r="B206" s="420" t="str">
        <f>critères!B35</f>
        <v>manifestation8</v>
      </c>
      <c r="C206" s="420"/>
      <c r="D206" s="420"/>
      <c r="E206" s="420"/>
      <c r="F206" s="420"/>
      <c r="G206" s="420"/>
      <c r="H206" s="420"/>
      <c r="I206" s="420"/>
      <c r="J206" s="420"/>
      <c r="K206" s="420"/>
      <c r="L206" s="420"/>
      <c r="M206" s="269">
        <f ca="1">TODAY()</f>
        <v>44111</v>
      </c>
      <c r="P206" s="15"/>
    </row>
    <row r="207" spans="1:16" ht="36.75" customHeight="1">
      <c r="A207" s="270"/>
      <c r="B207" s="271" t="s">
        <v>417</v>
      </c>
      <c r="C207" s="272">
        <v>392</v>
      </c>
      <c r="D207" s="273"/>
      <c r="E207" s="421" t="s">
        <v>343</v>
      </c>
      <c r="F207" s="421"/>
      <c r="G207" s="422" t="s">
        <v>344</v>
      </c>
      <c r="H207" s="422"/>
      <c r="I207" s="423" t="s">
        <v>345</v>
      </c>
      <c r="J207" s="423"/>
      <c r="K207" s="424" t="s">
        <v>346</v>
      </c>
      <c r="L207" s="424"/>
      <c r="M207" s="274" t="s">
        <v>347</v>
      </c>
      <c r="P207" s="15"/>
    </row>
    <row r="208" spans="1:16" ht="13.5" customHeight="1">
      <c r="A208" s="270"/>
      <c r="B208" s="276" t="s">
        <v>418</v>
      </c>
      <c r="C208" s="277">
        <v>133</v>
      </c>
      <c r="D208" s="278"/>
      <c r="E208" s="279"/>
      <c r="F208" s="280">
        <f>SUM(F210:F233)</f>
        <v>0</v>
      </c>
      <c r="G208" s="281"/>
      <c r="H208" s="280">
        <f>SUM(H210:H233)</f>
        <v>0</v>
      </c>
      <c r="I208" s="282"/>
      <c r="J208" s="280">
        <f>SUM(J210:J233)</f>
        <v>0</v>
      </c>
      <c r="K208" s="282"/>
      <c r="L208" s="283">
        <f>SUM(L210:L233)</f>
        <v>0</v>
      </c>
      <c r="M208" s="284">
        <f>+L208-F208</f>
        <v>0</v>
      </c>
      <c r="P208" s="15"/>
    </row>
    <row r="209" spans="1:16" ht="13.5" customHeight="1">
      <c r="A209" s="288"/>
      <c r="B209" s="289"/>
      <c r="C209" s="290" t="s">
        <v>351</v>
      </c>
      <c r="D209" s="291"/>
      <c r="E209" s="290" t="s">
        <v>352</v>
      </c>
      <c r="F209" s="292" t="s">
        <v>353</v>
      </c>
      <c r="G209" s="293" t="s">
        <v>352</v>
      </c>
      <c r="H209" s="292" t="s">
        <v>353</v>
      </c>
      <c r="I209" s="294" t="s">
        <v>352</v>
      </c>
      <c r="J209" s="295" t="s">
        <v>353</v>
      </c>
      <c r="K209" s="293" t="s">
        <v>352</v>
      </c>
      <c r="L209" s="296" t="s">
        <v>353</v>
      </c>
      <c r="M209" s="297"/>
      <c r="P209" s="15"/>
    </row>
    <row r="210" spans="1:16" ht="13.5" customHeight="1">
      <c r="A210" s="288">
        <v>1</v>
      </c>
      <c r="B210" s="289" t="s">
        <v>356</v>
      </c>
      <c r="C210" s="327">
        <v>0.47</v>
      </c>
      <c r="D210" s="300"/>
      <c r="E210" s="301"/>
      <c r="F210" s="302">
        <f aca="true" t="shared" si="37" ref="F210:F233">IF(($C210*E210)=0,"",$C210*E210)</f>
      </c>
      <c r="G210" s="301"/>
      <c r="H210" s="302">
        <f aca="true" t="shared" si="38" ref="H210:H233">IF(($C210*G210)=0,"",$C210*G210)</f>
      </c>
      <c r="I210" s="303">
        <f aca="true" t="shared" si="39" ref="I210:I229">IF((+E210+G210-K210)=0,"",(+E210+G210-K210))</f>
      </c>
      <c r="J210" s="304">
        <f aca="true" t="shared" si="40" ref="J210:J233">IF(I210="","",+I210*$C210)</f>
      </c>
      <c r="K210" s="301"/>
      <c r="L210" s="305">
        <f aca="true" t="shared" si="41" ref="L210:L232">IF(($C210*K210)=0,"",$C210*K210)</f>
      </c>
      <c r="M210" s="306"/>
      <c r="N210" s="307"/>
      <c r="P210" s="15"/>
    </row>
    <row r="211" spans="1:16" ht="13.5" customHeight="1">
      <c r="A211" s="288">
        <v>2</v>
      </c>
      <c r="B211" s="289" t="s">
        <v>357</v>
      </c>
      <c r="C211" s="327">
        <v>0.38</v>
      </c>
      <c r="D211" s="300"/>
      <c r="E211" s="301"/>
      <c r="F211" s="302">
        <f t="shared" si="37"/>
      </c>
      <c r="G211" s="301"/>
      <c r="H211" s="302">
        <f t="shared" si="38"/>
      </c>
      <c r="I211" s="303">
        <f t="shared" si="39"/>
      </c>
      <c r="J211" s="304">
        <f t="shared" si="40"/>
      </c>
      <c r="K211" s="301"/>
      <c r="L211" s="305">
        <f t="shared" si="41"/>
      </c>
      <c r="M211" s="306"/>
      <c r="P211" s="15"/>
    </row>
    <row r="212" spans="1:16" ht="13.5" customHeight="1">
      <c r="A212" s="288">
        <v>3</v>
      </c>
      <c r="B212" s="289" t="s">
        <v>400</v>
      </c>
      <c r="C212" s="327">
        <v>4</v>
      </c>
      <c r="D212" s="300"/>
      <c r="E212" s="301"/>
      <c r="F212" s="302">
        <f t="shared" si="37"/>
      </c>
      <c r="G212" s="301"/>
      <c r="H212" s="302">
        <f t="shared" si="38"/>
      </c>
      <c r="I212" s="303">
        <f t="shared" si="39"/>
      </c>
      <c r="J212" s="304">
        <f t="shared" si="40"/>
      </c>
      <c r="K212" s="301"/>
      <c r="L212" s="305">
        <f t="shared" si="41"/>
      </c>
      <c r="M212" s="306"/>
      <c r="P212" s="15"/>
    </row>
    <row r="213" spans="1:16" ht="13.5" customHeight="1">
      <c r="A213" s="288">
        <v>4</v>
      </c>
      <c r="B213" s="289" t="s">
        <v>360</v>
      </c>
      <c r="C213" s="327">
        <v>3.39</v>
      </c>
      <c r="D213" s="300"/>
      <c r="E213" s="301"/>
      <c r="F213" s="302">
        <f t="shared" si="37"/>
      </c>
      <c r="G213" s="301"/>
      <c r="H213" s="302">
        <f t="shared" si="38"/>
      </c>
      <c r="I213" s="303">
        <f t="shared" si="39"/>
      </c>
      <c r="J213" s="304">
        <f t="shared" si="40"/>
      </c>
      <c r="K213" s="301"/>
      <c r="L213" s="305">
        <f t="shared" si="41"/>
      </c>
      <c r="M213" s="306"/>
      <c r="P213" s="15"/>
    </row>
    <row r="214" spans="1:16" ht="13.5" customHeight="1">
      <c r="A214" s="288">
        <v>5</v>
      </c>
      <c r="B214" s="289" t="s">
        <v>361</v>
      </c>
      <c r="C214" s="327">
        <v>1.9734</v>
      </c>
      <c r="D214" s="300"/>
      <c r="E214" s="301"/>
      <c r="F214" s="302">
        <f t="shared" si="37"/>
      </c>
      <c r="G214" s="301"/>
      <c r="H214" s="302">
        <f t="shared" si="38"/>
      </c>
      <c r="I214" s="303">
        <f t="shared" si="39"/>
      </c>
      <c r="J214" s="304">
        <f t="shared" si="40"/>
      </c>
      <c r="K214" s="301"/>
      <c r="L214" s="305">
        <f t="shared" si="41"/>
      </c>
      <c r="M214" s="306"/>
      <c r="N214" s="307"/>
      <c r="P214" s="15"/>
    </row>
    <row r="215" spans="1:16" ht="13.5" customHeight="1">
      <c r="A215" s="288">
        <v>6</v>
      </c>
      <c r="B215" s="289" t="s">
        <v>362</v>
      </c>
      <c r="C215" s="299">
        <v>1.45</v>
      </c>
      <c r="D215" s="300"/>
      <c r="E215" s="311"/>
      <c r="F215" s="302">
        <f t="shared" si="37"/>
      </c>
      <c r="G215" s="301"/>
      <c r="H215" s="302">
        <f t="shared" si="38"/>
      </c>
      <c r="I215" s="303">
        <f t="shared" si="39"/>
      </c>
      <c r="J215" s="304">
        <f t="shared" si="40"/>
      </c>
      <c r="K215" s="301"/>
      <c r="L215" s="305">
        <f t="shared" si="41"/>
      </c>
      <c r="M215" s="306"/>
      <c r="P215" s="15"/>
    </row>
    <row r="216" spans="1:16" ht="13.5" customHeight="1">
      <c r="A216" s="288">
        <v>7</v>
      </c>
      <c r="B216" s="289" t="s">
        <v>363</v>
      </c>
      <c r="C216" s="299">
        <v>1.6</v>
      </c>
      <c r="D216" s="300"/>
      <c r="E216" s="311"/>
      <c r="F216" s="302">
        <f t="shared" si="37"/>
      </c>
      <c r="G216" s="301"/>
      <c r="H216" s="302">
        <f t="shared" si="38"/>
      </c>
      <c r="I216" s="303">
        <f t="shared" si="39"/>
      </c>
      <c r="J216" s="304">
        <f t="shared" si="40"/>
      </c>
      <c r="K216" s="311"/>
      <c r="L216" s="305">
        <f t="shared" si="41"/>
      </c>
      <c r="M216" s="306"/>
      <c r="P216" s="15"/>
    </row>
    <row r="217" spans="1:16" ht="13.5" customHeight="1">
      <c r="A217" s="288">
        <v>8</v>
      </c>
      <c r="B217" s="289" t="s">
        <v>364</v>
      </c>
      <c r="C217" s="327">
        <v>1.6</v>
      </c>
      <c r="D217" s="300"/>
      <c r="E217" s="301"/>
      <c r="F217" s="302">
        <f t="shared" si="37"/>
      </c>
      <c r="G217" s="301"/>
      <c r="H217" s="302">
        <f t="shared" si="38"/>
      </c>
      <c r="I217" s="303">
        <f t="shared" si="39"/>
      </c>
      <c r="J217" s="304">
        <f t="shared" si="40"/>
      </c>
      <c r="K217" s="301"/>
      <c r="L217" s="305">
        <f t="shared" si="41"/>
      </c>
      <c r="M217" s="306"/>
      <c r="N217" s="345"/>
      <c r="P217" s="15"/>
    </row>
    <row r="218" spans="1:16" ht="13.5" customHeight="1">
      <c r="A218" s="288">
        <v>9</v>
      </c>
      <c r="B218" s="289" t="s">
        <v>365</v>
      </c>
      <c r="C218" s="299">
        <v>1.31</v>
      </c>
      <c r="D218" s="300"/>
      <c r="E218" s="301"/>
      <c r="F218" s="302">
        <f t="shared" si="37"/>
      </c>
      <c r="G218" s="301"/>
      <c r="H218" s="302">
        <f t="shared" si="38"/>
      </c>
      <c r="I218" s="303">
        <f t="shared" si="39"/>
      </c>
      <c r="J218" s="304">
        <f t="shared" si="40"/>
      </c>
      <c r="K218" s="301"/>
      <c r="L218" s="305">
        <f t="shared" si="41"/>
      </c>
      <c r="M218" s="306"/>
      <c r="P218" s="15"/>
    </row>
    <row r="219" spans="1:16" ht="13.5" customHeight="1">
      <c r="A219" s="288">
        <v>10</v>
      </c>
      <c r="B219" s="289" t="s">
        <v>366</v>
      </c>
      <c r="C219" s="299">
        <v>1.19</v>
      </c>
      <c r="D219" s="300"/>
      <c r="E219" s="301"/>
      <c r="F219" s="302">
        <f t="shared" si="37"/>
      </c>
      <c r="G219" s="301"/>
      <c r="H219" s="302">
        <f t="shared" si="38"/>
      </c>
      <c r="I219" s="303">
        <f t="shared" si="39"/>
      </c>
      <c r="J219" s="304">
        <f t="shared" si="40"/>
      </c>
      <c r="K219" s="301"/>
      <c r="L219" s="305">
        <f t="shared" si="41"/>
      </c>
      <c r="M219" s="306"/>
      <c r="N219" s="307"/>
      <c r="P219" s="15"/>
    </row>
    <row r="220" spans="1:16" ht="13.5" customHeight="1">
      <c r="A220" s="288">
        <v>11</v>
      </c>
      <c r="B220" s="289" t="s">
        <v>385</v>
      </c>
      <c r="C220" s="299">
        <v>0.46</v>
      </c>
      <c r="D220" s="300"/>
      <c r="E220" s="301"/>
      <c r="F220" s="302">
        <f t="shared" si="37"/>
      </c>
      <c r="G220" s="301"/>
      <c r="H220" s="302">
        <f t="shared" si="38"/>
      </c>
      <c r="I220" s="303">
        <f t="shared" si="39"/>
      </c>
      <c r="J220" s="304">
        <f t="shared" si="40"/>
      </c>
      <c r="K220" s="301"/>
      <c r="L220" s="305">
        <f t="shared" si="41"/>
      </c>
      <c r="M220" s="306"/>
      <c r="P220" s="15"/>
    </row>
    <row r="221" spans="1:16" ht="13.5" customHeight="1">
      <c r="A221" s="288">
        <v>12</v>
      </c>
      <c r="B221" s="289" t="s">
        <v>368</v>
      </c>
      <c r="C221" s="299">
        <v>0.0932</v>
      </c>
      <c r="D221" s="300"/>
      <c r="E221" s="301"/>
      <c r="F221" s="302">
        <f t="shared" si="37"/>
      </c>
      <c r="G221" s="301"/>
      <c r="H221" s="302">
        <f t="shared" si="38"/>
      </c>
      <c r="I221" s="303">
        <f t="shared" si="39"/>
      </c>
      <c r="J221" s="304">
        <f t="shared" si="40"/>
      </c>
      <c r="K221" s="301"/>
      <c r="L221" s="305">
        <f t="shared" si="41"/>
      </c>
      <c r="M221" s="306"/>
      <c r="P221" s="15"/>
    </row>
    <row r="222" spans="1:16" ht="13.5" customHeight="1">
      <c r="A222" s="288">
        <v>13</v>
      </c>
      <c r="B222" s="289" t="s">
        <v>369</v>
      </c>
      <c r="C222" s="327">
        <v>0.37</v>
      </c>
      <c r="D222" s="300"/>
      <c r="E222" s="301"/>
      <c r="F222" s="302">
        <f t="shared" si="37"/>
      </c>
      <c r="G222" s="301"/>
      <c r="H222" s="302">
        <f t="shared" si="38"/>
      </c>
      <c r="I222" s="303">
        <f t="shared" si="39"/>
      </c>
      <c r="J222" s="304">
        <f t="shared" si="40"/>
      </c>
      <c r="K222" s="301"/>
      <c r="L222" s="305">
        <f t="shared" si="41"/>
      </c>
      <c r="M222" s="306"/>
      <c r="P222" s="15"/>
    </row>
    <row r="223" spans="1:16" ht="13.5" customHeight="1">
      <c r="A223" s="288">
        <v>14</v>
      </c>
      <c r="B223" s="289" t="s">
        <v>370</v>
      </c>
      <c r="C223" s="327">
        <v>0.0154</v>
      </c>
      <c r="D223" s="314"/>
      <c r="E223" s="301"/>
      <c r="F223" s="302">
        <f t="shared" si="37"/>
      </c>
      <c r="G223" s="301"/>
      <c r="H223" s="302">
        <f t="shared" si="38"/>
      </c>
      <c r="I223" s="303">
        <f t="shared" si="39"/>
      </c>
      <c r="J223" s="304">
        <f t="shared" si="40"/>
      </c>
      <c r="K223" s="301"/>
      <c r="L223" s="305">
        <f t="shared" si="41"/>
      </c>
      <c r="M223" s="306"/>
      <c r="P223" s="15"/>
    </row>
    <row r="224" spans="1:16" ht="13.5" customHeight="1">
      <c r="A224" s="288">
        <v>15</v>
      </c>
      <c r="B224" s="289" t="s">
        <v>371</v>
      </c>
      <c r="C224" s="327">
        <v>1.7</v>
      </c>
      <c r="D224" s="300"/>
      <c r="E224" s="311"/>
      <c r="F224" s="302">
        <f t="shared" si="37"/>
      </c>
      <c r="G224" s="311"/>
      <c r="H224" s="302">
        <f t="shared" si="38"/>
      </c>
      <c r="I224" s="303">
        <f t="shared" si="39"/>
      </c>
      <c r="J224" s="304">
        <f t="shared" si="40"/>
      </c>
      <c r="K224" s="311"/>
      <c r="L224" s="305">
        <f t="shared" si="41"/>
      </c>
      <c r="M224" s="306"/>
      <c r="P224" s="15"/>
    </row>
    <row r="225" spans="1:16" ht="13.5" customHeight="1">
      <c r="A225" s="288">
        <v>12</v>
      </c>
      <c r="B225" s="289" t="s">
        <v>372</v>
      </c>
      <c r="C225" s="327"/>
      <c r="D225" s="314"/>
      <c r="E225" s="301"/>
      <c r="F225" s="302">
        <f t="shared" si="37"/>
      </c>
      <c r="G225" s="301"/>
      <c r="H225" s="302">
        <f t="shared" si="38"/>
      </c>
      <c r="I225" s="303">
        <f t="shared" si="39"/>
      </c>
      <c r="J225" s="304">
        <f t="shared" si="40"/>
      </c>
      <c r="K225" s="301"/>
      <c r="L225" s="305">
        <f t="shared" si="41"/>
      </c>
      <c r="M225" s="306"/>
      <c r="P225" s="15"/>
    </row>
    <row r="226" spans="1:16" ht="13.5" customHeight="1">
      <c r="A226" s="288">
        <v>13</v>
      </c>
      <c r="B226" s="289" t="s">
        <v>373</v>
      </c>
      <c r="C226" s="299">
        <v>0.41</v>
      </c>
      <c r="D226" s="314"/>
      <c r="E226" s="301"/>
      <c r="F226" s="302">
        <f t="shared" si="37"/>
      </c>
      <c r="G226" s="301"/>
      <c r="H226" s="302">
        <f t="shared" si="38"/>
      </c>
      <c r="I226" s="303">
        <f t="shared" si="39"/>
      </c>
      <c r="J226" s="304">
        <f t="shared" si="40"/>
      </c>
      <c r="K226" s="301"/>
      <c r="L226" s="305">
        <f t="shared" si="41"/>
      </c>
      <c r="M226" s="315"/>
      <c r="N226" s="307"/>
      <c r="P226" s="15"/>
    </row>
    <row r="227" spans="1:16" ht="13.5" customHeight="1">
      <c r="A227" s="288">
        <v>14</v>
      </c>
      <c r="B227" s="289" t="s">
        <v>374</v>
      </c>
      <c r="C227" s="318">
        <v>1</v>
      </c>
      <c r="D227" s="314"/>
      <c r="E227" s="301"/>
      <c r="F227" s="302">
        <f t="shared" si="37"/>
      </c>
      <c r="G227" s="316"/>
      <c r="H227" s="302">
        <f t="shared" si="38"/>
      </c>
      <c r="I227" s="303">
        <f t="shared" si="39"/>
      </c>
      <c r="J227" s="304">
        <f t="shared" si="40"/>
      </c>
      <c r="K227" s="301"/>
      <c r="L227" s="305">
        <f t="shared" si="41"/>
      </c>
      <c r="M227" s="317"/>
      <c r="P227" s="15"/>
    </row>
    <row r="228" spans="1:16" ht="13.5" customHeight="1">
      <c r="A228" s="288">
        <v>15</v>
      </c>
      <c r="B228" s="289" t="s">
        <v>375</v>
      </c>
      <c r="C228" s="318"/>
      <c r="D228" s="314"/>
      <c r="E228" s="301"/>
      <c r="F228" s="302">
        <f t="shared" si="37"/>
      </c>
      <c r="G228" s="301"/>
      <c r="H228" s="302">
        <f t="shared" si="38"/>
      </c>
      <c r="I228" s="303">
        <f t="shared" si="39"/>
      </c>
      <c r="J228" s="304">
        <f t="shared" si="40"/>
      </c>
      <c r="K228" s="301"/>
      <c r="L228" s="305">
        <f t="shared" si="41"/>
      </c>
      <c r="M228" s="315"/>
      <c r="P228" s="15"/>
    </row>
    <row r="229" spans="1:16" ht="13.5" customHeight="1">
      <c r="A229" s="288">
        <v>16</v>
      </c>
      <c r="B229" s="289" t="s">
        <v>376</v>
      </c>
      <c r="C229" s="318">
        <v>1</v>
      </c>
      <c r="D229" s="314"/>
      <c r="E229" s="301"/>
      <c r="F229" s="302">
        <f t="shared" si="37"/>
      </c>
      <c r="G229" s="301"/>
      <c r="H229" s="302">
        <f t="shared" si="38"/>
      </c>
      <c r="I229" s="303">
        <f t="shared" si="39"/>
      </c>
      <c r="J229" s="304">
        <f t="shared" si="40"/>
      </c>
      <c r="K229" s="301"/>
      <c r="L229" s="305">
        <f t="shared" si="41"/>
      </c>
      <c r="M229" s="315"/>
      <c r="P229" s="15"/>
    </row>
    <row r="230" spans="1:16" ht="13.5" customHeight="1">
      <c r="A230" s="288"/>
      <c r="B230" s="289"/>
      <c r="C230" s="318"/>
      <c r="D230" s="314"/>
      <c r="E230" s="301"/>
      <c r="F230" s="302">
        <f t="shared" si="37"/>
      </c>
      <c r="G230" s="301"/>
      <c r="H230" s="302">
        <f t="shared" si="38"/>
      </c>
      <c r="I230" s="303"/>
      <c r="J230" s="304">
        <f t="shared" si="40"/>
      </c>
      <c r="K230" s="301"/>
      <c r="L230" s="305">
        <f t="shared" si="41"/>
      </c>
      <c r="M230" s="315"/>
      <c r="P230" s="15"/>
    </row>
    <row r="231" spans="1:16" ht="13.5" customHeight="1">
      <c r="A231" s="288"/>
      <c r="B231" s="289"/>
      <c r="C231" s="318"/>
      <c r="D231" s="314"/>
      <c r="E231" s="301"/>
      <c r="F231" s="302">
        <f t="shared" si="37"/>
      </c>
      <c r="G231" s="301"/>
      <c r="H231" s="302">
        <f t="shared" si="38"/>
      </c>
      <c r="I231" s="303"/>
      <c r="J231" s="304">
        <f t="shared" si="40"/>
      </c>
      <c r="K231" s="301"/>
      <c r="L231" s="305">
        <f t="shared" si="41"/>
      </c>
      <c r="M231" s="315"/>
      <c r="P231" s="15"/>
    </row>
    <row r="232" spans="1:16" ht="13.5" customHeight="1">
      <c r="A232" s="288"/>
      <c r="B232" s="289"/>
      <c r="C232" s="318"/>
      <c r="D232" s="314"/>
      <c r="E232" s="301"/>
      <c r="F232" s="302">
        <f t="shared" si="37"/>
      </c>
      <c r="G232" s="301"/>
      <c r="H232" s="302">
        <f t="shared" si="38"/>
      </c>
      <c r="I232" s="303"/>
      <c r="J232" s="304">
        <f t="shared" si="40"/>
      </c>
      <c r="K232" s="301"/>
      <c r="L232" s="305">
        <f t="shared" si="41"/>
      </c>
      <c r="M232" s="315"/>
      <c r="P232" s="15"/>
    </row>
    <row r="233" spans="1:16" ht="13.5" customHeight="1">
      <c r="A233" s="288">
        <v>17</v>
      </c>
      <c r="B233" s="319" t="s">
        <v>377</v>
      </c>
      <c r="C233" s="320">
        <v>1</v>
      </c>
      <c r="D233" s="321"/>
      <c r="E233" s="322"/>
      <c r="F233" s="323">
        <f t="shared" si="37"/>
      </c>
      <c r="G233" s="322"/>
      <c r="H233" s="323">
        <f t="shared" si="38"/>
      </c>
      <c r="I233" s="324"/>
      <c r="J233" s="325">
        <f t="shared" si="40"/>
      </c>
      <c r="K233" s="322"/>
      <c r="L233" s="341"/>
      <c r="M233" s="326"/>
      <c r="P233" s="15"/>
    </row>
    <row r="235" spans="1:16" ht="20.25" customHeight="1">
      <c r="A235" s="268"/>
      <c r="B235" s="420" t="str">
        <f>critères!B36</f>
        <v>manifestation9</v>
      </c>
      <c r="C235" s="420"/>
      <c r="D235" s="420"/>
      <c r="E235" s="420"/>
      <c r="F235" s="420"/>
      <c r="G235" s="420"/>
      <c r="H235" s="420"/>
      <c r="I235" s="420"/>
      <c r="J235" s="420"/>
      <c r="K235" s="420"/>
      <c r="L235" s="420"/>
      <c r="M235" s="269">
        <f ca="1">TODAY()</f>
        <v>44111</v>
      </c>
      <c r="P235" s="15"/>
    </row>
    <row r="236" spans="1:16" ht="36.75" customHeight="1">
      <c r="A236" s="270"/>
      <c r="B236" s="271"/>
      <c r="C236" s="272"/>
      <c r="D236" s="273"/>
      <c r="E236" s="421" t="s">
        <v>343</v>
      </c>
      <c r="F236" s="421"/>
      <c r="G236" s="422" t="s">
        <v>344</v>
      </c>
      <c r="H236" s="422"/>
      <c r="I236" s="423" t="s">
        <v>345</v>
      </c>
      <c r="J236" s="423"/>
      <c r="K236" s="424" t="s">
        <v>346</v>
      </c>
      <c r="L236" s="424"/>
      <c r="M236" s="274" t="s">
        <v>347</v>
      </c>
      <c r="P236" s="15"/>
    </row>
    <row r="237" spans="1:16" ht="13.5" customHeight="1">
      <c r="A237" s="270"/>
      <c r="B237" s="276"/>
      <c r="C237" s="277"/>
      <c r="D237" s="278"/>
      <c r="E237" s="279"/>
      <c r="F237" s="280">
        <f>SUM(F239:F262)</f>
        <v>0</v>
      </c>
      <c r="G237" s="281"/>
      <c r="H237" s="280">
        <f>SUM(H239:H262)</f>
        <v>0</v>
      </c>
      <c r="I237" s="282"/>
      <c r="J237" s="280">
        <f>SUM(J239:J262)</f>
        <v>0</v>
      </c>
      <c r="K237" s="282"/>
      <c r="L237" s="283">
        <f>SUM(L239:L262)</f>
        <v>0</v>
      </c>
      <c r="M237" s="284">
        <f>+L237-F237</f>
        <v>0</v>
      </c>
      <c r="P237" s="15"/>
    </row>
    <row r="238" spans="1:16" ht="13.5" customHeight="1">
      <c r="A238" s="288"/>
      <c r="B238" s="289"/>
      <c r="C238" s="290" t="s">
        <v>351</v>
      </c>
      <c r="D238" s="291"/>
      <c r="E238" s="290" t="s">
        <v>352</v>
      </c>
      <c r="F238" s="292" t="s">
        <v>353</v>
      </c>
      <c r="G238" s="293" t="s">
        <v>352</v>
      </c>
      <c r="H238" s="292" t="s">
        <v>353</v>
      </c>
      <c r="I238" s="294" t="s">
        <v>352</v>
      </c>
      <c r="J238" s="295" t="s">
        <v>353</v>
      </c>
      <c r="K238" s="293" t="s">
        <v>352</v>
      </c>
      <c r="L238" s="296" t="s">
        <v>353</v>
      </c>
      <c r="M238" s="297"/>
      <c r="P238" s="15"/>
    </row>
    <row r="239" spans="1:16" ht="13.5" customHeight="1">
      <c r="A239" s="288">
        <v>1</v>
      </c>
      <c r="B239" s="289" t="s">
        <v>356</v>
      </c>
      <c r="C239" s="327">
        <v>0.47</v>
      </c>
      <c r="D239" s="300"/>
      <c r="E239" s="301"/>
      <c r="F239" s="302">
        <f aca="true" t="shared" si="42" ref="F239:F262">IF(($C239*E239)=0,"",$C239*E239)</f>
      </c>
      <c r="G239" s="301"/>
      <c r="H239" s="302">
        <f aca="true" t="shared" si="43" ref="H239:H261">IF(($C239*G239)=0,"",$C239*G239)</f>
      </c>
      <c r="I239" s="303">
        <f aca="true" t="shared" si="44" ref="I239:I258">IF((+E239+G239-K239)=0,"",(+E239+G239-K239))</f>
      </c>
      <c r="J239" s="304">
        <f aca="true" t="shared" si="45" ref="J239:J262">IF(I239="","",+I239*$C239)</f>
      </c>
      <c r="K239" s="301"/>
      <c r="L239" s="305">
        <f aca="true" t="shared" si="46" ref="L239:L261">IF(($C239*K239)=0,"",$C239*K239)</f>
      </c>
      <c r="M239" s="306"/>
      <c r="N239" s="307"/>
      <c r="P239" s="15"/>
    </row>
    <row r="240" spans="1:16" ht="13.5" customHeight="1">
      <c r="A240" s="288">
        <v>2</v>
      </c>
      <c r="B240" s="289" t="s">
        <v>357</v>
      </c>
      <c r="C240" s="327">
        <v>0.38</v>
      </c>
      <c r="D240" s="300"/>
      <c r="E240" s="301"/>
      <c r="F240" s="302">
        <f t="shared" si="42"/>
      </c>
      <c r="G240" s="301"/>
      <c r="H240" s="302">
        <f t="shared" si="43"/>
      </c>
      <c r="I240" s="303">
        <f t="shared" si="44"/>
      </c>
      <c r="J240" s="304">
        <f t="shared" si="45"/>
      </c>
      <c r="K240" s="301"/>
      <c r="L240" s="305">
        <f t="shared" si="46"/>
      </c>
      <c r="M240" s="306"/>
      <c r="P240" s="15"/>
    </row>
    <row r="241" spans="1:16" ht="13.5" customHeight="1">
      <c r="A241" s="288">
        <v>3</v>
      </c>
      <c r="B241" s="289" t="s">
        <v>400</v>
      </c>
      <c r="C241" s="327">
        <v>4</v>
      </c>
      <c r="D241" s="300"/>
      <c r="E241" s="301"/>
      <c r="F241" s="302">
        <f t="shared" si="42"/>
      </c>
      <c r="G241" s="301"/>
      <c r="H241" s="302">
        <f t="shared" si="43"/>
      </c>
      <c r="I241" s="303">
        <f t="shared" si="44"/>
      </c>
      <c r="J241" s="304">
        <f t="shared" si="45"/>
      </c>
      <c r="K241" s="301"/>
      <c r="L241" s="305">
        <f t="shared" si="46"/>
      </c>
      <c r="M241" s="306"/>
      <c r="P241" s="15"/>
    </row>
    <row r="242" spans="1:16" ht="13.5" customHeight="1">
      <c r="A242" s="288">
        <v>4</v>
      </c>
      <c r="B242" s="289" t="s">
        <v>360</v>
      </c>
      <c r="C242" s="327">
        <v>3.39</v>
      </c>
      <c r="D242" s="300"/>
      <c r="E242" s="301"/>
      <c r="F242" s="302">
        <f t="shared" si="42"/>
      </c>
      <c r="G242" s="301"/>
      <c r="H242" s="302">
        <f t="shared" si="43"/>
      </c>
      <c r="I242" s="303">
        <f t="shared" si="44"/>
      </c>
      <c r="J242" s="304">
        <f t="shared" si="45"/>
      </c>
      <c r="K242" s="301"/>
      <c r="L242" s="305">
        <f t="shared" si="46"/>
      </c>
      <c r="M242" s="306"/>
      <c r="P242" s="15"/>
    </row>
    <row r="243" spans="1:16" ht="13.5" customHeight="1">
      <c r="A243" s="288">
        <v>5</v>
      </c>
      <c r="B243" s="289" t="s">
        <v>361</v>
      </c>
      <c r="C243" s="327">
        <v>1.9734</v>
      </c>
      <c r="D243" s="300"/>
      <c r="E243" s="301"/>
      <c r="F243" s="302">
        <f t="shared" si="42"/>
      </c>
      <c r="G243" s="301"/>
      <c r="H243" s="302">
        <f t="shared" si="43"/>
      </c>
      <c r="I243" s="303">
        <f t="shared" si="44"/>
      </c>
      <c r="J243" s="304">
        <f t="shared" si="45"/>
      </c>
      <c r="K243" s="301"/>
      <c r="L243" s="305">
        <f t="shared" si="46"/>
      </c>
      <c r="M243" s="306"/>
      <c r="N243" s="307"/>
      <c r="P243" s="15"/>
    </row>
    <row r="244" spans="1:16" ht="13.5" customHeight="1">
      <c r="A244" s="288">
        <v>6</v>
      </c>
      <c r="B244" s="289" t="s">
        <v>362</v>
      </c>
      <c r="C244" s="299">
        <v>1.45</v>
      </c>
      <c r="D244" s="300"/>
      <c r="E244" s="311"/>
      <c r="F244" s="302">
        <f t="shared" si="42"/>
      </c>
      <c r="G244" s="301"/>
      <c r="H244" s="302">
        <f t="shared" si="43"/>
      </c>
      <c r="I244" s="303">
        <f t="shared" si="44"/>
      </c>
      <c r="J244" s="304">
        <f t="shared" si="45"/>
      </c>
      <c r="K244" s="301"/>
      <c r="L244" s="305">
        <f t="shared" si="46"/>
      </c>
      <c r="M244" s="306"/>
      <c r="P244" s="15"/>
    </row>
    <row r="245" spans="1:16" ht="13.5" customHeight="1">
      <c r="A245" s="288">
        <v>7</v>
      </c>
      <c r="B245" s="289" t="s">
        <v>363</v>
      </c>
      <c r="C245" s="299">
        <v>1.6</v>
      </c>
      <c r="D245" s="300"/>
      <c r="E245" s="311"/>
      <c r="F245" s="302">
        <f t="shared" si="42"/>
      </c>
      <c r="G245" s="301"/>
      <c r="H245" s="302">
        <f t="shared" si="43"/>
      </c>
      <c r="I245" s="303">
        <f t="shared" si="44"/>
      </c>
      <c r="J245" s="304">
        <f t="shared" si="45"/>
      </c>
      <c r="K245" s="311"/>
      <c r="L245" s="305">
        <f t="shared" si="46"/>
      </c>
      <c r="M245" s="306"/>
      <c r="P245" s="15"/>
    </row>
    <row r="246" spans="1:16" ht="13.5" customHeight="1">
      <c r="A246" s="288">
        <v>8</v>
      </c>
      <c r="B246" s="289" t="s">
        <v>364</v>
      </c>
      <c r="C246" s="327">
        <v>1.6</v>
      </c>
      <c r="D246" s="300"/>
      <c r="E246" s="301"/>
      <c r="F246" s="302">
        <f t="shared" si="42"/>
      </c>
      <c r="G246" s="301"/>
      <c r="H246" s="302">
        <f t="shared" si="43"/>
      </c>
      <c r="I246" s="303">
        <f t="shared" si="44"/>
      </c>
      <c r="J246" s="304">
        <f t="shared" si="45"/>
      </c>
      <c r="K246" s="301"/>
      <c r="L246" s="305">
        <f t="shared" si="46"/>
      </c>
      <c r="M246" s="306"/>
      <c r="N246" s="345"/>
      <c r="P246" s="15"/>
    </row>
    <row r="247" spans="1:16" ht="13.5" customHeight="1">
      <c r="A247" s="288">
        <v>9</v>
      </c>
      <c r="B247" s="289" t="s">
        <v>365</v>
      </c>
      <c r="C247" s="299">
        <v>1.31</v>
      </c>
      <c r="D247" s="300"/>
      <c r="E247" s="301"/>
      <c r="F247" s="302">
        <f t="shared" si="42"/>
      </c>
      <c r="G247" s="301"/>
      <c r="H247" s="302">
        <f t="shared" si="43"/>
      </c>
      <c r="I247" s="303">
        <f t="shared" si="44"/>
      </c>
      <c r="J247" s="304">
        <f t="shared" si="45"/>
      </c>
      <c r="K247" s="301"/>
      <c r="L247" s="305">
        <f t="shared" si="46"/>
      </c>
      <c r="M247" s="306"/>
      <c r="P247" s="15"/>
    </row>
    <row r="248" spans="1:16" ht="13.5" customHeight="1">
      <c r="A248" s="288">
        <v>10</v>
      </c>
      <c r="B248" s="289" t="s">
        <v>366</v>
      </c>
      <c r="C248" s="299">
        <v>1.66</v>
      </c>
      <c r="D248" s="300"/>
      <c r="E248" s="301"/>
      <c r="F248" s="302">
        <f t="shared" si="42"/>
      </c>
      <c r="G248" s="301"/>
      <c r="H248" s="302">
        <f t="shared" si="43"/>
      </c>
      <c r="I248" s="303">
        <f t="shared" si="44"/>
      </c>
      <c r="J248" s="304">
        <f t="shared" si="45"/>
      </c>
      <c r="K248" s="301"/>
      <c r="L248" s="305">
        <f t="shared" si="46"/>
      </c>
      <c r="M248" s="306"/>
      <c r="N248" s="307"/>
      <c r="P248" s="15"/>
    </row>
    <row r="249" spans="1:16" ht="13.5" customHeight="1">
      <c r="A249" s="288">
        <v>11</v>
      </c>
      <c r="B249" s="289" t="s">
        <v>385</v>
      </c>
      <c r="C249" s="299">
        <v>0.46</v>
      </c>
      <c r="D249" s="300"/>
      <c r="E249" s="301"/>
      <c r="F249" s="302">
        <f t="shared" si="42"/>
      </c>
      <c r="G249" s="301"/>
      <c r="H249" s="302">
        <f t="shared" si="43"/>
      </c>
      <c r="I249" s="303">
        <f t="shared" si="44"/>
      </c>
      <c r="J249" s="304">
        <f t="shared" si="45"/>
      </c>
      <c r="K249" s="301"/>
      <c r="L249" s="305">
        <f t="shared" si="46"/>
      </c>
      <c r="M249" s="306"/>
      <c r="P249" s="15"/>
    </row>
    <row r="250" spans="1:16" ht="13.5" customHeight="1">
      <c r="A250" s="288">
        <v>12</v>
      </c>
      <c r="B250" s="289" t="s">
        <v>368</v>
      </c>
      <c r="C250" s="299">
        <v>0.0932</v>
      </c>
      <c r="D250" s="300"/>
      <c r="E250" s="301"/>
      <c r="F250" s="302">
        <f t="shared" si="42"/>
      </c>
      <c r="G250" s="301"/>
      <c r="H250" s="302">
        <f t="shared" si="43"/>
      </c>
      <c r="I250" s="303">
        <f t="shared" si="44"/>
      </c>
      <c r="J250" s="304">
        <f t="shared" si="45"/>
      </c>
      <c r="K250" s="301"/>
      <c r="L250" s="305">
        <f t="shared" si="46"/>
      </c>
      <c r="M250" s="306"/>
      <c r="P250" s="15"/>
    </row>
    <row r="251" spans="1:16" ht="13.5" customHeight="1">
      <c r="A251" s="288">
        <v>13</v>
      </c>
      <c r="B251" s="289" t="s">
        <v>369</v>
      </c>
      <c r="C251" s="327">
        <v>0.37</v>
      </c>
      <c r="D251" s="300"/>
      <c r="E251" s="301"/>
      <c r="F251" s="302">
        <f t="shared" si="42"/>
      </c>
      <c r="G251" s="301"/>
      <c r="H251" s="302">
        <f t="shared" si="43"/>
      </c>
      <c r="I251" s="303">
        <f t="shared" si="44"/>
      </c>
      <c r="J251" s="304">
        <f t="shared" si="45"/>
      </c>
      <c r="K251" s="301"/>
      <c r="L251" s="305">
        <f t="shared" si="46"/>
      </c>
      <c r="M251" s="306"/>
      <c r="P251" s="15"/>
    </row>
    <row r="252" spans="1:16" ht="13.5" customHeight="1">
      <c r="A252" s="288">
        <v>14</v>
      </c>
      <c r="B252" s="289" t="s">
        <v>370</v>
      </c>
      <c r="C252" s="327">
        <v>0.0154</v>
      </c>
      <c r="D252" s="314"/>
      <c r="E252" s="301"/>
      <c r="F252" s="302">
        <f t="shared" si="42"/>
      </c>
      <c r="G252" s="301"/>
      <c r="H252" s="302">
        <f t="shared" si="43"/>
      </c>
      <c r="I252" s="303">
        <f t="shared" si="44"/>
      </c>
      <c r="J252" s="304">
        <f t="shared" si="45"/>
      </c>
      <c r="K252" s="301"/>
      <c r="L252" s="305">
        <f t="shared" si="46"/>
      </c>
      <c r="M252" s="306"/>
      <c r="P252" s="15"/>
    </row>
    <row r="253" spans="1:16" ht="13.5" customHeight="1">
      <c r="A253" s="288">
        <v>15</v>
      </c>
      <c r="B253" s="289" t="s">
        <v>371</v>
      </c>
      <c r="C253" s="327">
        <v>1.7</v>
      </c>
      <c r="D253" s="300"/>
      <c r="E253" s="311"/>
      <c r="F253" s="302">
        <f t="shared" si="42"/>
      </c>
      <c r="G253" s="311"/>
      <c r="H253" s="302">
        <f t="shared" si="43"/>
      </c>
      <c r="I253" s="303">
        <f t="shared" si="44"/>
      </c>
      <c r="J253" s="304">
        <f t="shared" si="45"/>
      </c>
      <c r="K253" s="311"/>
      <c r="L253" s="305">
        <f t="shared" si="46"/>
      </c>
      <c r="M253" s="306"/>
      <c r="P253" s="15"/>
    </row>
    <row r="254" spans="1:16" ht="13.5" customHeight="1">
      <c r="A254" s="288">
        <v>12</v>
      </c>
      <c r="B254" s="289" t="s">
        <v>372</v>
      </c>
      <c r="C254" s="327"/>
      <c r="D254" s="314"/>
      <c r="E254" s="301"/>
      <c r="F254" s="302">
        <f t="shared" si="42"/>
      </c>
      <c r="G254" s="301"/>
      <c r="H254" s="302">
        <f t="shared" si="43"/>
      </c>
      <c r="I254" s="303">
        <f t="shared" si="44"/>
      </c>
      <c r="J254" s="304">
        <f t="shared" si="45"/>
      </c>
      <c r="K254" s="301"/>
      <c r="L254" s="305">
        <f t="shared" si="46"/>
      </c>
      <c r="M254" s="306"/>
      <c r="P254" s="15"/>
    </row>
    <row r="255" spans="1:16" ht="13.5" customHeight="1">
      <c r="A255" s="288">
        <v>13</v>
      </c>
      <c r="B255" s="289" t="s">
        <v>373</v>
      </c>
      <c r="C255" s="299">
        <v>0.41</v>
      </c>
      <c r="D255" s="314"/>
      <c r="E255" s="301"/>
      <c r="F255" s="302">
        <f t="shared" si="42"/>
      </c>
      <c r="G255" s="301"/>
      <c r="H255" s="302">
        <f t="shared" si="43"/>
      </c>
      <c r="I255" s="303">
        <f t="shared" si="44"/>
      </c>
      <c r="J255" s="304">
        <f t="shared" si="45"/>
      </c>
      <c r="K255" s="301"/>
      <c r="L255" s="305">
        <f t="shared" si="46"/>
      </c>
      <c r="M255" s="315"/>
      <c r="N255" s="307"/>
      <c r="P255" s="15"/>
    </row>
    <row r="256" spans="1:16" ht="13.5" customHeight="1">
      <c r="A256" s="288">
        <v>14</v>
      </c>
      <c r="B256" s="289" t="s">
        <v>374</v>
      </c>
      <c r="C256" s="318">
        <v>1</v>
      </c>
      <c r="D256" s="314"/>
      <c r="E256" s="301"/>
      <c r="F256" s="302">
        <f t="shared" si="42"/>
      </c>
      <c r="G256" s="316"/>
      <c r="H256" s="302">
        <f t="shared" si="43"/>
      </c>
      <c r="I256" s="303">
        <f t="shared" si="44"/>
      </c>
      <c r="J256" s="304">
        <f t="shared" si="45"/>
      </c>
      <c r="K256" s="301"/>
      <c r="L256" s="305">
        <f t="shared" si="46"/>
      </c>
      <c r="M256" s="317"/>
      <c r="P256" s="15"/>
    </row>
    <row r="257" spans="1:16" ht="13.5" customHeight="1">
      <c r="A257" s="288">
        <v>15</v>
      </c>
      <c r="B257" s="289" t="s">
        <v>375</v>
      </c>
      <c r="C257" s="318"/>
      <c r="D257" s="314"/>
      <c r="E257" s="301"/>
      <c r="F257" s="302">
        <f t="shared" si="42"/>
      </c>
      <c r="G257" s="301"/>
      <c r="H257" s="302">
        <f t="shared" si="43"/>
      </c>
      <c r="I257" s="303">
        <f t="shared" si="44"/>
      </c>
      <c r="J257" s="304">
        <f t="shared" si="45"/>
      </c>
      <c r="K257" s="301"/>
      <c r="L257" s="305">
        <f t="shared" si="46"/>
      </c>
      <c r="M257" s="315"/>
      <c r="P257" s="15"/>
    </row>
    <row r="258" spans="1:16" ht="13.5" customHeight="1">
      <c r="A258" s="288">
        <v>16</v>
      </c>
      <c r="B258" s="289" t="s">
        <v>376</v>
      </c>
      <c r="C258" s="318">
        <v>1</v>
      </c>
      <c r="D258" s="314"/>
      <c r="E258" s="301"/>
      <c r="F258" s="302">
        <f t="shared" si="42"/>
      </c>
      <c r="G258" s="301"/>
      <c r="H258" s="302">
        <f t="shared" si="43"/>
      </c>
      <c r="I258" s="303">
        <f t="shared" si="44"/>
      </c>
      <c r="J258" s="304">
        <f t="shared" si="45"/>
      </c>
      <c r="K258" s="301"/>
      <c r="L258" s="305">
        <f t="shared" si="46"/>
      </c>
      <c r="M258" s="315"/>
      <c r="P258" s="15"/>
    </row>
    <row r="259" spans="1:16" ht="13.5" customHeight="1">
      <c r="A259" s="288"/>
      <c r="B259" s="289" t="s">
        <v>419</v>
      </c>
      <c r="C259" s="318">
        <v>3.3</v>
      </c>
      <c r="D259" s="314"/>
      <c r="E259" s="301"/>
      <c r="F259" s="302">
        <f t="shared" si="42"/>
      </c>
      <c r="G259" s="301"/>
      <c r="H259" s="302">
        <f t="shared" si="43"/>
      </c>
      <c r="I259" s="303"/>
      <c r="J259" s="304">
        <f t="shared" si="45"/>
      </c>
      <c r="K259" s="301"/>
      <c r="L259" s="305">
        <f t="shared" si="46"/>
      </c>
      <c r="M259" s="315"/>
      <c r="P259" s="15"/>
    </row>
    <row r="260" spans="1:16" ht="13.5" customHeight="1">
      <c r="A260" s="288"/>
      <c r="B260" s="289"/>
      <c r="C260" s="318"/>
      <c r="D260" s="314"/>
      <c r="E260" s="301"/>
      <c r="F260" s="302">
        <f t="shared" si="42"/>
      </c>
      <c r="G260" s="301"/>
      <c r="H260" s="302">
        <f t="shared" si="43"/>
      </c>
      <c r="I260" s="303"/>
      <c r="J260" s="304">
        <f t="shared" si="45"/>
      </c>
      <c r="K260" s="301"/>
      <c r="L260" s="305">
        <f t="shared" si="46"/>
      </c>
      <c r="M260" s="315"/>
      <c r="P260" s="15"/>
    </row>
    <row r="261" spans="1:16" ht="13.5" customHeight="1">
      <c r="A261" s="288"/>
      <c r="B261" s="289"/>
      <c r="C261" s="318"/>
      <c r="D261" s="314"/>
      <c r="E261" s="301"/>
      <c r="F261" s="302">
        <f t="shared" si="42"/>
      </c>
      <c r="G261" s="301"/>
      <c r="H261" s="302">
        <f t="shared" si="43"/>
      </c>
      <c r="I261" s="303"/>
      <c r="J261" s="304">
        <f t="shared" si="45"/>
      </c>
      <c r="K261" s="301"/>
      <c r="L261" s="305">
        <f t="shared" si="46"/>
      </c>
      <c r="M261" s="315"/>
      <c r="P261" s="15"/>
    </row>
    <row r="262" spans="1:16" ht="13.5" customHeight="1">
      <c r="A262" s="288">
        <v>17</v>
      </c>
      <c r="B262" s="319" t="s">
        <v>377</v>
      </c>
      <c r="C262" s="320">
        <v>1</v>
      </c>
      <c r="D262" s="321"/>
      <c r="E262" s="322"/>
      <c r="F262" s="323">
        <f t="shared" si="42"/>
      </c>
      <c r="G262" s="322"/>
      <c r="H262" s="323"/>
      <c r="I262" s="324"/>
      <c r="J262" s="325">
        <f t="shared" si="45"/>
      </c>
      <c r="K262" s="322"/>
      <c r="L262" s="341"/>
      <c r="M262" s="326"/>
      <c r="P262" s="15"/>
    </row>
  </sheetData>
  <sheetProtection selectLockedCells="1" selectUnlockedCells="1"/>
  <mergeCells count="46">
    <mergeCell ref="E236:F236"/>
    <mergeCell ref="G236:H236"/>
    <mergeCell ref="I236:J236"/>
    <mergeCell ref="K236:L236"/>
    <mergeCell ref="B206:L206"/>
    <mergeCell ref="E207:F207"/>
    <mergeCell ref="G207:H207"/>
    <mergeCell ref="I207:J207"/>
    <mergeCell ref="K207:L207"/>
    <mergeCell ref="B235:L235"/>
    <mergeCell ref="E149:F149"/>
    <mergeCell ref="G149:H149"/>
    <mergeCell ref="I149:J149"/>
    <mergeCell ref="K149:L149"/>
    <mergeCell ref="B177:L177"/>
    <mergeCell ref="E178:F178"/>
    <mergeCell ref="G178:H178"/>
    <mergeCell ref="I178:J178"/>
    <mergeCell ref="K178:L178"/>
    <mergeCell ref="B119:L119"/>
    <mergeCell ref="E120:F120"/>
    <mergeCell ref="G120:H120"/>
    <mergeCell ref="I120:J120"/>
    <mergeCell ref="K120:L120"/>
    <mergeCell ref="B148:L148"/>
    <mergeCell ref="E62:F62"/>
    <mergeCell ref="G62:H62"/>
    <mergeCell ref="I62:J62"/>
    <mergeCell ref="K62:L62"/>
    <mergeCell ref="B90:L90"/>
    <mergeCell ref="E91:F91"/>
    <mergeCell ref="G91:H91"/>
    <mergeCell ref="I91:J91"/>
    <mergeCell ref="K91:L91"/>
    <mergeCell ref="B31:L31"/>
    <mergeCell ref="E32:F32"/>
    <mergeCell ref="G32:H32"/>
    <mergeCell ref="I32:J32"/>
    <mergeCell ref="K32:L32"/>
    <mergeCell ref="B61:L61"/>
    <mergeCell ref="B2:L2"/>
    <mergeCell ref="E3:F3"/>
    <mergeCell ref="G3:H3"/>
    <mergeCell ref="I3:J3"/>
    <mergeCell ref="K3:L3"/>
    <mergeCell ref="P10:R10"/>
  </mergeCells>
  <printOptions/>
  <pageMargins left="0.7875" right="0.7875" top="0.9840277777777777" bottom="0.9840277777777777" header="0.5118055555555555" footer="0.5118055555555555"/>
  <pageSetup fitToHeight="1" fitToWidth="1" horizontalDpi="300" verticalDpi="300" orientation="landscape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Feuil7">
    <tabColor indexed="42"/>
  </sheetPr>
  <dimension ref="A1:G26"/>
  <sheetViews>
    <sheetView showGridLines="0" zoomScale="140" zoomScaleNormal="140" zoomScalePageLayoutView="0" workbookViewId="0" topLeftCell="A1">
      <pane ySplit="5" topLeftCell="A6" activePane="bottomLeft" state="frozen"/>
      <selection pane="topLeft" activeCell="A1" sqref="A1"/>
      <selection pane="bottomLeft" activeCell="C16" sqref="C16"/>
    </sheetView>
  </sheetViews>
  <sheetFormatPr defaultColWidth="11.421875" defaultRowHeight="12"/>
  <cols>
    <col min="1" max="1" width="10.140625" style="87" customWidth="1"/>
    <col min="2" max="2" width="21.57421875" style="87" customWidth="1"/>
    <col min="3" max="5" width="8.57421875" style="87" customWidth="1"/>
    <col min="6" max="6" width="8.421875" style="88" hidden="1" customWidth="1"/>
    <col min="7" max="7" width="23.421875" style="87" customWidth="1"/>
    <col min="8" max="16384" width="9.140625" style="87" customWidth="1"/>
  </cols>
  <sheetData>
    <row r="1" spans="1:7" ht="7.5" customHeight="1">
      <c r="A1" s="346"/>
      <c r="B1" s="347"/>
      <c r="C1" s="347"/>
      <c r="D1" s="347"/>
      <c r="E1" s="347"/>
      <c r="F1" s="91"/>
      <c r="G1" s="92"/>
    </row>
    <row r="2" spans="1:7" ht="12.75">
      <c r="A2" s="426" t="s">
        <v>420</v>
      </c>
      <c r="B2" s="426"/>
      <c r="C2" s="426"/>
      <c r="D2" s="426"/>
      <c r="E2" s="426"/>
      <c r="F2" s="94"/>
      <c r="G2" s="92"/>
    </row>
    <row r="3" spans="1:7" ht="10.5" customHeight="1">
      <c r="A3" s="348"/>
      <c r="B3" s="349"/>
      <c r="C3" s="350"/>
      <c r="D3" s="350"/>
      <c r="E3" s="97">
        <f>SUM(E6:E20)</f>
        <v>1151</v>
      </c>
      <c r="F3" s="98"/>
      <c r="G3" s="92"/>
    </row>
    <row r="4" spans="1:7" ht="12.75">
      <c r="A4" s="351" t="s">
        <v>103</v>
      </c>
      <c r="B4" s="352">
        <f ca="1">TODAY()</f>
        <v>44111</v>
      </c>
      <c r="C4" s="353"/>
      <c r="D4" s="353"/>
      <c r="E4" s="353"/>
      <c r="F4" s="98"/>
      <c r="G4" s="92"/>
    </row>
    <row r="5" spans="1:7" ht="25.5">
      <c r="A5" s="354" t="s">
        <v>104</v>
      </c>
      <c r="B5" s="354" t="s">
        <v>105</v>
      </c>
      <c r="C5" s="355" t="s">
        <v>421</v>
      </c>
      <c r="D5" s="355" t="s">
        <v>422</v>
      </c>
      <c r="E5" s="356" t="s">
        <v>58</v>
      </c>
      <c r="F5" s="108"/>
      <c r="G5" s="109"/>
    </row>
    <row r="6" spans="1:7" ht="12.75">
      <c r="A6" s="357">
        <v>43754</v>
      </c>
      <c r="B6" s="174" t="s">
        <v>423</v>
      </c>
      <c r="C6" s="358">
        <v>17</v>
      </c>
      <c r="D6" s="359">
        <v>10</v>
      </c>
      <c r="E6" s="360">
        <f aca="true" t="shared" si="0" ref="E6:E20">IF(C6="","",+D6*C6)</f>
        <v>170</v>
      </c>
      <c r="F6" s="115" t="e">
        <f>IF(#REF!="",-#REF!+#REF!,"")</f>
        <v>#REF!</v>
      </c>
      <c r="G6" s="361"/>
    </row>
    <row r="7" spans="1:7" ht="12.75">
      <c r="A7" s="357">
        <v>43754</v>
      </c>
      <c r="B7" s="174" t="s">
        <v>424</v>
      </c>
      <c r="C7" s="358">
        <v>10</v>
      </c>
      <c r="D7" s="359">
        <v>15</v>
      </c>
      <c r="E7" s="360">
        <f t="shared" si="0"/>
        <v>150</v>
      </c>
      <c r="F7" s="115"/>
      <c r="G7" s="361"/>
    </row>
    <row r="8" spans="1:7" ht="12.75">
      <c r="A8" s="357">
        <v>43754</v>
      </c>
      <c r="B8" s="174" t="s">
        <v>425</v>
      </c>
      <c r="C8" s="358">
        <v>6</v>
      </c>
      <c r="D8" s="359">
        <v>25</v>
      </c>
      <c r="E8" s="360">
        <f t="shared" si="0"/>
        <v>150</v>
      </c>
      <c r="F8" s="129" t="e">
        <f>IF(#REF!="",-#REF!+#REF!,"")</f>
        <v>#REF!</v>
      </c>
      <c r="G8" s="361"/>
    </row>
    <row r="9" spans="1:7" ht="12.75">
      <c r="A9" s="357">
        <v>43754</v>
      </c>
      <c r="B9" s="174" t="s">
        <v>426</v>
      </c>
      <c r="C9" s="358">
        <v>7</v>
      </c>
      <c r="D9" s="359">
        <v>18</v>
      </c>
      <c r="E9" s="360">
        <f t="shared" si="0"/>
        <v>126</v>
      </c>
      <c r="F9" s="129" t="e">
        <f>IF(#REF!="",-#REF!+#REF!,"")</f>
        <v>#REF!</v>
      </c>
      <c r="G9" s="361"/>
    </row>
    <row r="10" spans="1:6" ht="12.75">
      <c r="A10" s="357">
        <v>43754</v>
      </c>
      <c r="B10" s="174" t="s">
        <v>427</v>
      </c>
      <c r="C10" s="358">
        <v>6</v>
      </c>
      <c r="D10" s="359">
        <v>24</v>
      </c>
      <c r="E10" s="360">
        <f t="shared" si="0"/>
        <v>144</v>
      </c>
      <c r="F10" s="129" t="e">
        <f>IF(#REF!="",-#REF!+#REF!,"")</f>
        <v>#REF!</v>
      </c>
    </row>
    <row r="11" spans="1:6" ht="12.75">
      <c r="A11" s="357">
        <v>43754</v>
      </c>
      <c r="B11" s="174" t="s">
        <v>425</v>
      </c>
      <c r="C11" s="358">
        <v>6</v>
      </c>
      <c r="D11" s="359">
        <v>41</v>
      </c>
      <c r="E11" s="360">
        <f t="shared" si="0"/>
        <v>246</v>
      </c>
      <c r="F11" s="129" t="e">
        <f>IF(#REF!="",-#REF!+#REF!,"")</f>
        <v>#REF!</v>
      </c>
    </row>
    <row r="12" spans="1:6" ht="12.75">
      <c r="A12" s="357">
        <v>43754</v>
      </c>
      <c r="B12" s="174" t="s">
        <v>428</v>
      </c>
      <c r="C12" s="358">
        <v>11</v>
      </c>
      <c r="D12" s="359">
        <v>15</v>
      </c>
      <c r="E12" s="360">
        <f t="shared" si="0"/>
        <v>165</v>
      </c>
      <c r="F12" s="129" t="e">
        <f>IF(#REF!="",-#REF!+#REF!,"")</f>
        <v>#REF!</v>
      </c>
    </row>
    <row r="13" spans="1:6" ht="12.75">
      <c r="A13" s="357"/>
      <c r="B13" s="174"/>
      <c r="C13" s="358"/>
      <c r="D13" s="359"/>
      <c r="E13" s="360">
        <f t="shared" si="0"/>
      </c>
      <c r="F13" s="129" t="e">
        <f>IF(#REF!="",-#REF!+#REF!,"")</f>
        <v>#REF!</v>
      </c>
    </row>
    <row r="14" spans="1:6" ht="12.75">
      <c r="A14" s="357"/>
      <c r="B14" s="174"/>
      <c r="C14" s="358"/>
      <c r="D14" s="359"/>
      <c r="E14" s="360">
        <f t="shared" si="0"/>
      </c>
      <c r="F14" s="129" t="e">
        <f>IF(#REF!="",-#REF!+#REF!,"")</f>
        <v>#REF!</v>
      </c>
    </row>
    <row r="15" spans="1:7" ht="12.75">
      <c r="A15" s="357"/>
      <c r="B15" s="174"/>
      <c r="C15" s="358"/>
      <c r="D15" s="359"/>
      <c r="E15" s="360">
        <f t="shared" si="0"/>
      </c>
      <c r="F15" s="129" t="e">
        <f>IF(#REF!="",-#REF!+#REF!,"")</f>
        <v>#REF!</v>
      </c>
      <c r="G15" s="362"/>
    </row>
    <row r="16" spans="1:6" ht="12.75">
      <c r="A16" s="357"/>
      <c r="B16" s="174"/>
      <c r="C16" s="358"/>
      <c r="D16" s="359"/>
      <c r="E16" s="360">
        <f t="shared" si="0"/>
      </c>
      <c r="F16" s="129" t="e">
        <f>IF(#REF!="",-#REF!+#REF!,"")</f>
        <v>#REF!</v>
      </c>
    </row>
    <row r="17" spans="1:6" ht="12.75">
      <c r="A17" s="357"/>
      <c r="B17" s="174"/>
      <c r="C17" s="358"/>
      <c r="D17" s="359"/>
      <c r="E17" s="360">
        <f t="shared" si="0"/>
      </c>
      <c r="F17" s="129" t="e">
        <f>IF(#REF!="",-#REF!+#REF!,"")</f>
        <v>#REF!</v>
      </c>
    </row>
    <row r="18" spans="1:6" ht="12.75">
      <c r="A18" s="357"/>
      <c r="B18" s="174"/>
      <c r="C18" s="358"/>
      <c r="D18" s="359"/>
      <c r="E18" s="360">
        <f t="shared" si="0"/>
      </c>
      <c r="F18" s="129" t="e">
        <f>IF(#REF!="",-#REF!+#REF!,"")</f>
        <v>#REF!</v>
      </c>
    </row>
    <row r="19" spans="1:6" ht="12.75">
      <c r="A19" s="357"/>
      <c r="B19" s="174"/>
      <c r="C19" s="358"/>
      <c r="D19" s="359"/>
      <c r="E19" s="360">
        <f t="shared" si="0"/>
      </c>
      <c r="F19" s="129" t="e">
        <f>IF(#REF!="",-#REF!+#REF!,"")</f>
        <v>#REF!</v>
      </c>
    </row>
    <row r="20" spans="1:6" ht="12.75">
      <c r="A20" s="363"/>
      <c r="B20" s="364"/>
      <c r="C20" s="365"/>
      <c r="D20" s="366"/>
      <c r="E20" s="367">
        <f t="shared" si="0"/>
      </c>
      <c r="F20" s="129" t="e">
        <f>IF(#REF!="",-#REF!+#REF!,"")</f>
        <v>#REF!</v>
      </c>
    </row>
    <row r="21" spans="3:5" ht="12.75">
      <c r="C21" s="368"/>
      <c r="D21" s="368"/>
      <c r="E21" s="368"/>
    </row>
    <row r="22" spans="3:5" ht="12.75">
      <c r="C22" s="368"/>
      <c r="D22" s="368"/>
      <c r="E22" s="368"/>
    </row>
    <row r="23" spans="3:5" ht="12.75">
      <c r="C23" s="368"/>
      <c r="D23" s="368"/>
      <c r="E23" s="368"/>
    </row>
    <row r="24" spans="3:5" ht="12.75">
      <c r="C24" s="368"/>
      <c r="D24" s="368"/>
      <c r="E24" s="368"/>
    </row>
    <row r="25" spans="3:5" ht="12.75">
      <c r="C25" s="368"/>
      <c r="D25" s="368"/>
      <c r="E25" s="368"/>
    </row>
    <row r="26" spans="3:5" ht="12.75">
      <c r="C26" s="368"/>
      <c r="D26" s="368"/>
      <c r="E26" s="368"/>
    </row>
  </sheetData>
  <sheetProtection selectLockedCells="1" selectUnlockedCells="1"/>
  <mergeCells count="1">
    <mergeCell ref="A2:E2"/>
  </mergeCells>
  <printOptions horizontalCentered="1"/>
  <pageMargins left="0.19652777777777777" right="0.19652777777777777" top="0.5902777777777778" bottom="0.9055555555555554" header="0.5118055555555555" footer="0.2361111111111111"/>
  <pageSetup horizontalDpi="300" verticalDpi="300" orientation="portrait" paperSize="9" scale="98"/>
  <headerFooter alignWithMargins="0">
    <oddFooter>&amp;C&amp;8Page &amp;P /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Feuil10">
    <tabColor indexed="56"/>
  </sheetPr>
  <dimension ref="B2:J85"/>
  <sheetViews>
    <sheetView zoomScale="140" zoomScaleNormal="140" zoomScalePageLayoutView="0" workbookViewId="0" topLeftCell="A49">
      <selection activeCell="H51" sqref="H51"/>
    </sheetView>
  </sheetViews>
  <sheetFormatPr defaultColWidth="11.140625" defaultRowHeight="12"/>
  <cols>
    <col min="1" max="1" width="11.140625" style="0" customWidth="1"/>
    <col min="2" max="2" width="2.8515625" style="0" customWidth="1"/>
    <col min="3" max="3" width="26.57421875" style="0" customWidth="1"/>
    <col min="4" max="6" width="11.140625" style="0" customWidth="1"/>
    <col min="7" max="7" width="11.57421875" style="0" customWidth="1"/>
    <col min="8" max="9" width="11.140625" style="0" customWidth="1"/>
    <col min="10" max="10" width="14.140625" style="0" customWidth="1"/>
  </cols>
  <sheetData>
    <row r="2" ht="12">
      <c r="B2" t="s">
        <v>429</v>
      </c>
    </row>
    <row r="3" spans="7:8" ht="12">
      <c r="G3" s="369" t="s">
        <v>103</v>
      </c>
      <c r="H3" s="369">
        <f ca="1">TODAY()</f>
        <v>44111</v>
      </c>
    </row>
    <row r="4" spans="2:10" ht="12">
      <c r="B4" s="370" t="str">
        <f ca="1">("édité le "&amp;TEXT(TODAY(),"jj mmm aaaa"))</f>
        <v>édité le 07 oct 2020</v>
      </c>
      <c r="F4" s="370"/>
      <c r="G4" s="370"/>
      <c r="I4" s="371"/>
      <c r="J4" s="372"/>
    </row>
    <row r="5" spans="2:9" ht="20.25" customHeight="1">
      <c r="B5" s="427" t="s">
        <v>430</v>
      </c>
      <c r="C5" s="427"/>
      <c r="D5" s="427"/>
      <c r="E5" s="427"/>
      <c r="F5" s="427"/>
      <c r="G5" s="427"/>
      <c r="I5" s="373"/>
    </row>
    <row r="6" spans="2:10" ht="20.25" customHeight="1">
      <c r="B6" s="17"/>
      <c r="C6" s="374">
        <v>33</v>
      </c>
      <c r="D6" s="375" t="s">
        <v>431</v>
      </c>
      <c r="E6" s="376" t="s">
        <v>56</v>
      </c>
      <c r="F6" s="332" t="s">
        <v>432</v>
      </c>
      <c r="G6" s="377" t="s">
        <v>104</v>
      </c>
      <c r="J6" s="373"/>
    </row>
    <row r="7" spans="2:7" ht="11.25" customHeight="1">
      <c r="B7" s="17"/>
      <c r="C7" s="378"/>
      <c r="D7" s="379"/>
      <c r="E7" s="380"/>
      <c r="F7" s="381"/>
      <c r="G7" s="382"/>
    </row>
    <row r="8" spans="2:7" ht="15.75" customHeight="1">
      <c r="B8" s="298">
        <v>1</v>
      </c>
      <c r="C8" s="383" t="s">
        <v>433</v>
      </c>
      <c r="D8" s="384">
        <v>36</v>
      </c>
      <c r="E8" s="385"/>
      <c r="F8" s="386"/>
      <c r="G8" s="387"/>
    </row>
    <row r="9" spans="2:7" ht="15.75" customHeight="1">
      <c r="B9" s="298">
        <v>2</v>
      </c>
      <c r="C9" s="383" t="s">
        <v>434</v>
      </c>
      <c r="D9" s="384">
        <v>36</v>
      </c>
      <c r="E9" s="385"/>
      <c r="F9" s="386"/>
      <c r="G9" s="387"/>
    </row>
    <row r="10" spans="2:7" ht="15.75" customHeight="1">
      <c r="B10" s="298">
        <v>3</v>
      </c>
      <c r="C10" s="388" t="s">
        <v>435</v>
      </c>
      <c r="D10" s="384">
        <v>36</v>
      </c>
      <c r="E10" s="385"/>
      <c r="F10" s="389" t="s">
        <v>61</v>
      </c>
      <c r="G10" s="387"/>
    </row>
    <row r="11" spans="2:7" ht="15.75" customHeight="1">
      <c r="B11" s="298">
        <v>4</v>
      </c>
      <c r="C11" s="388" t="s">
        <v>436</v>
      </c>
      <c r="D11" s="384">
        <v>36</v>
      </c>
      <c r="E11" s="385"/>
      <c r="F11" s="390"/>
      <c r="G11" s="387"/>
    </row>
    <row r="12" spans="2:7" ht="15.75" customHeight="1">
      <c r="B12" s="298">
        <v>5</v>
      </c>
      <c r="C12" s="388" t="s">
        <v>437</v>
      </c>
      <c r="D12" s="384">
        <v>36</v>
      </c>
      <c r="E12" s="385"/>
      <c r="F12" s="390"/>
      <c r="G12" s="387"/>
    </row>
    <row r="13" spans="2:7" ht="15.75" customHeight="1">
      <c r="B13" s="298">
        <v>6</v>
      </c>
      <c r="C13" s="388" t="s">
        <v>438</v>
      </c>
      <c r="D13" s="384">
        <v>36</v>
      </c>
      <c r="E13" s="385"/>
      <c r="F13" s="390"/>
      <c r="G13" s="387"/>
    </row>
    <row r="14" spans="2:7" ht="15.75" customHeight="1">
      <c r="B14" s="298">
        <v>7</v>
      </c>
      <c r="C14" s="388" t="s">
        <v>439</v>
      </c>
      <c r="D14" s="384">
        <v>36</v>
      </c>
      <c r="E14" s="385"/>
      <c r="F14" s="390"/>
      <c r="G14" s="387"/>
    </row>
    <row r="15" spans="2:7" ht="15.75" customHeight="1">
      <c r="B15" s="298">
        <v>8</v>
      </c>
      <c r="C15" s="388" t="s">
        <v>440</v>
      </c>
      <c r="D15" s="384">
        <v>36</v>
      </c>
      <c r="E15" s="385"/>
      <c r="F15" s="390"/>
      <c r="G15" s="387"/>
    </row>
    <row r="16" spans="2:7" ht="15.75" customHeight="1">
      <c r="B16" s="298">
        <v>9</v>
      </c>
      <c r="C16" s="388" t="s">
        <v>441</v>
      </c>
      <c r="D16" s="384" t="s">
        <v>61</v>
      </c>
      <c r="E16" s="385">
        <v>36</v>
      </c>
      <c r="F16" s="390"/>
      <c r="G16" s="387"/>
    </row>
    <row r="17" spans="2:7" ht="15.75" customHeight="1">
      <c r="B17" s="298">
        <v>10</v>
      </c>
      <c r="C17" s="388" t="s">
        <v>442</v>
      </c>
      <c r="D17" s="384">
        <v>36</v>
      </c>
      <c r="E17" s="385"/>
      <c r="F17" s="390"/>
      <c r="G17" s="387"/>
    </row>
    <row r="18" spans="2:7" ht="15.75" customHeight="1">
      <c r="B18" s="298">
        <v>11</v>
      </c>
      <c r="C18" s="388" t="s">
        <v>443</v>
      </c>
      <c r="D18" s="384">
        <v>36</v>
      </c>
      <c r="E18" s="385"/>
      <c r="F18" s="390"/>
      <c r="G18" s="387"/>
    </row>
    <row r="19" spans="2:7" ht="15.75" customHeight="1">
      <c r="B19" s="298">
        <v>12</v>
      </c>
      <c r="C19" s="388" t="s">
        <v>444</v>
      </c>
      <c r="D19" s="384">
        <v>36</v>
      </c>
      <c r="E19" s="385"/>
      <c r="F19" s="390"/>
      <c r="G19" s="387"/>
    </row>
    <row r="20" spans="2:7" ht="15.75" customHeight="1">
      <c r="B20" s="298">
        <v>13</v>
      </c>
      <c r="C20" s="388" t="s">
        <v>445</v>
      </c>
      <c r="D20" s="384">
        <v>36</v>
      </c>
      <c r="E20" s="385"/>
      <c r="F20" s="390"/>
      <c r="G20" s="387"/>
    </row>
    <row r="21" spans="2:7" ht="15.75" customHeight="1">
      <c r="B21" s="298">
        <v>14</v>
      </c>
      <c r="C21" s="383" t="s">
        <v>446</v>
      </c>
      <c r="D21" s="384">
        <v>36</v>
      </c>
      <c r="E21" s="385"/>
      <c r="F21" s="391"/>
      <c r="G21" s="387"/>
    </row>
    <row r="22" spans="2:7" ht="15.75" customHeight="1">
      <c r="B22" s="298">
        <v>15</v>
      </c>
      <c r="C22" s="383" t="s">
        <v>447</v>
      </c>
      <c r="D22" s="384">
        <v>36</v>
      </c>
      <c r="E22" s="385"/>
      <c r="F22" s="391"/>
      <c r="G22" s="387"/>
    </row>
    <row r="23" spans="2:7" ht="15.75" customHeight="1">
      <c r="B23" s="298">
        <v>16</v>
      </c>
      <c r="C23" s="383" t="s">
        <v>448</v>
      </c>
      <c r="D23" s="384">
        <v>36</v>
      </c>
      <c r="E23" s="385"/>
      <c r="F23" s="391"/>
      <c r="G23" s="387"/>
    </row>
    <row r="24" spans="2:7" ht="15.75" customHeight="1">
      <c r="B24" s="298">
        <v>17</v>
      </c>
      <c r="C24" s="383" t="s">
        <v>449</v>
      </c>
      <c r="D24" s="384">
        <v>36</v>
      </c>
      <c r="E24" s="385"/>
      <c r="F24" s="391"/>
      <c r="G24" s="387"/>
    </row>
    <row r="25" spans="2:7" ht="15.75" customHeight="1">
      <c r="B25" s="298">
        <v>18</v>
      </c>
      <c r="C25" s="383" t="s">
        <v>450</v>
      </c>
      <c r="D25" s="384">
        <v>36</v>
      </c>
      <c r="E25" s="385"/>
      <c r="F25" s="391"/>
      <c r="G25" s="387"/>
    </row>
    <row r="26" spans="2:7" ht="15.75" customHeight="1">
      <c r="B26" s="298">
        <v>19</v>
      </c>
      <c r="C26" s="383" t="s">
        <v>451</v>
      </c>
      <c r="D26" s="384">
        <v>36</v>
      </c>
      <c r="E26" s="385"/>
      <c r="F26" s="391"/>
      <c r="G26" s="387"/>
    </row>
    <row r="27" spans="2:7" ht="15.75" customHeight="1">
      <c r="B27" s="298">
        <v>20</v>
      </c>
      <c r="C27" s="383" t="s">
        <v>452</v>
      </c>
      <c r="D27" s="384">
        <v>36</v>
      </c>
      <c r="E27" s="385"/>
      <c r="F27" s="391"/>
      <c r="G27" s="387"/>
    </row>
    <row r="28" spans="2:7" ht="15.75" customHeight="1">
      <c r="B28" s="298">
        <v>21</v>
      </c>
      <c r="C28" s="383" t="s">
        <v>453</v>
      </c>
      <c r="D28" s="384">
        <v>36</v>
      </c>
      <c r="E28" s="384"/>
      <c r="F28" s="391"/>
      <c r="G28" s="387"/>
    </row>
    <row r="29" spans="2:7" ht="15.75" customHeight="1">
      <c r="B29" s="298">
        <v>22</v>
      </c>
      <c r="C29" s="392" t="s">
        <v>454</v>
      </c>
      <c r="D29" s="384" t="s">
        <v>61</v>
      </c>
      <c r="E29" s="385">
        <v>36</v>
      </c>
      <c r="F29" s="391"/>
      <c r="G29" s="387"/>
    </row>
    <row r="30" spans="2:7" ht="15.75" customHeight="1">
      <c r="B30" s="298">
        <v>23</v>
      </c>
      <c r="C30" s="392" t="s">
        <v>455</v>
      </c>
      <c r="D30" s="384">
        <v>36</v>
      </c>
      <c r="E30" s="385"/>
      <c r="F30" s="391"/>
      <c r="G30" s="387"/>
    </row>
    <row r="31" spans="2:7" ht="15.75" customHeight="1">
      <c r="B31" s="298">
        <v>24</v>
      </c>
      <c r="C31" s="392" t="s">
        <v>456</v>
      </c>
      <c r="D31" s="384">
        <v>36</v>
      </c>
      <c r="E31" s="385"/>
      <c r="F31" s="391"/>
      <c r="G31" s="387"/>
    </row>
    <row r="32" spans="2:7" ht="15.75" customHeight="1">
      <c r="B32" s="298">
        <v>25</v>
      </c>
      <c r="C32" s="383" t="s">
        <v>457</v>
      </c>
      <c r="D32" s="384">
        <v>36</v>
      </c>
      <c r="E32" s="385"/>
      <c r="F32" s="391"/>
      <c r="G32" s="387"/>
    </row>
    <row r="33" spans="2:7" ht="15.75" customHeight="1">
      <c r="B33" s="298">
        <v>26</v>
      </c>
      <c r="C33" s="383" t="s">
        <v>458</v>
      </c>
      <c r="D33" s="384">
        <v>36</v>
      </c>
      <c r="E33" s="385"/>
      <c r="F33" s="391"/>
      <c r="G33" s="387"/>
    </row>
    <row r="34" spans="2:7" ht="15.75" customHeight="1">
      <c r="B34" s="298">
        <v>27</v>
      </c>
      <c r="C34" s="383" t="s">
        <v>459</v>
      </c>
      <c r="D34" s="384">
        <v>36</v>
      </c>
      <c r="E34" s="385"/>
      <c r="F34" s="391"/>
      <c r="G34" s="387"/>
    </row>
    <row r="35" spans="2:7" ht="15.75" customHeight="1">
      <c r="B35" s="298">
        <v>28</v>
      </c>
      <c r="C35" s="383" t="s">
        <v>460</v>
      </c>
      <c r="D35" s="384">
        <v>36</v>
      </c>
      <c r="E35" s="385"/>
      <c r="F35" s="391"/>
      <c r="G35" s="387"/>
    </row>
    <row r="36" spans="2:7" ht="15.75" customHeight="1">
      <c r="B36" s="298">
        <v>29</v>
      </c>
      <c r="C36" s="383" t="s">
        <v>461</v>
      </c>
      <c r="D36" s="384">
        <v>36</v>
      </c>
      <c r="E36" s="385"/>
      <c r="F36" s="391"/>
      <c r="G36" s="387"/>
    </row>
    <row r="37" spans="2:7" ht="15.75" customHeight="1">
      <c r="B37" s="298">
        <v>30</v>
      </c>
      <c r="C37" s="383" t="s">
        <v>462</v>
      </c>
      <c r="D37" s="384">
        <v>36</v>
      </c>
      <c r="E37" s="385"/>
      <c r="F37" s="391"/>
      <c r="G37" s="387"/>
    </row>
    <row r="38" spans="2:7" ht="15.75" customHeight="1">
      <c r="B38" s="298">
        <v>31</v>
      </c>
      <c r="C38" s="383" t="s">
        <v>463</v>
      </c>
      <c r="D38" s="384">
        <v>36</v>
      </c>
      <c r="E38" s="385"/>
      <c r="F38" s="391"/>
      <c r="G38" s="387"/>
    </row>
    <row r="39" spans="2:7" ht="15.75" customHeight="1">
      <c r="B39" s="298">
        <v>32</v>
      </c>
      <c r="C39" s="383" t="s">
        <v>464</v>
      </c>
      <c r="D39" s="384">
        <v>36</v>
      </c>
      <c r="E39" s="385"/>
      <c r="F39" s="391"/>
      <c r="G39" s="387"/>
    </row>
    <row r="40" spans="2:7" ht="15.75" customHeight="1">
      <c r="B40" s="298">
        <v>33</v>
      </c>
      <c r="C40" s="383" t="s">
        <v>465</v>
      </c>
      <c r="D40" s="384">
        <v>36</v>
      </c>
      <c r="E40" s="385"/>
      <c r="F40" s="391"/>
      <c r="G40" s="387"/>
    </row>
    <row r="41" spans="2:7" ht="15.75" customHeight="1">
      <c r="B41" s="298">
        <v>34</v>
      </c>
      <c r="C41" s="383" t="s">
        <v>466</v>
      </c>
      <c r="D41" s="384">
        <v>36</v>
      </c>
      <c r="E41" s="385"/>
      <c r="F41" s="391"/>
      <c r="G41" s="387"/>
    </row>
    <row r="42" spans="2:7" ht="15.75" customHeight="1">
      <c r="B42" s="298">
        <v>35</v>
      </c>
      <c r="C42" s="383" t="s">
        <v>467</v>
      </c>
      <c r="D42" s="384">
        <v>36</v>
      </c>
      <c r="E42" s="385"/>
      <c r="F42" s="391"/>
      <c r="G42" s="387"/>
    </row>
    <row r="43" spans="2:7" ht="15.75" customHeight="1">
      <c r="B43" s="298">
        <v>36</v>
      </c>
      <c r="C43" s="383" t="s">
        <v>468</v>
      </c>
      <c r="D43" s="384">
        <v>36</v>
      </c>
      <c r="E43" s="385"/>
      <c r="F43" s="391"/>
      <c r="G43" s="387"/>
    </row>
    <row r="44" spans="2:7" ht="15.75" customHeight="1">
      <c r="B44" s="298">
        <v>37</v>
      </c>
      <c r="C44" s="392" t="s">
        <v>469</v>
      </c>
      <c r="D44" s="384">
        <v>36</v>
      </c>
      <c r="E44" s="385"/>
      <c r="F44" s="391"/>
      <c r="G44" s="387"/>
    </row>
    <row r="45" spans="2:7" ht="15.75" customHeight="1">
      <c r="B45" s="298">
        <v>38</v>
      </c>
      <c r="C45" s="392" t="s">
        <v>470</v>
      </c>
      <c r="D45" s="384" t="s">
        <v>61</v>
      </c>
      <c r="E45" s="385">
        <v>36</v>
      </c>
      <c r="F45" s="391"/>
      <c r="G45" s="387"/>
    </row>
    <row r="46" spans="2:7" ht="15.75" customHeight="1">
      <c r="B46" s="298">
        <v>39</v>
      </c>
      <c r="C46" s="392" t="s">
        <v>471</v>
      </c>
      <c r="D46" s="384" t="s">
        <v>61</v>
      </c>
      <c r="E46" s="385">
        <v>36</v>
      </c>
      <c r="F46" s="391"/>
      <c r="G46" s="387"/>
    </row>
    <row r="47" spans="2:7" ht="15.75" customHeight="1">
      <c r="B47" s="298">
        <v>40</v>
      </c>
      <c r="C47" s="392" t="s">
        <v>472</v>
      </c>
      <c r="D47" s="384">
        <v>36</v>
      </c>
      <c r="E47" s="385"/>
      <c r="F47" s="391"/>
      <c r="G47" s="387"/>
    </row>
    <row r="48" spans="2:7" ht="15.75" customHeight="1">
      <c r="B48" s="298">
        <v>41</v>
      </c>
      <c r="C48" s="393" t="s">
        <v>473</v>
      </c>
      <c r="D48" s="384">
        <v>36</v>
      </c>
      <c r="E48" s="385"/>
      <c r="F48" s="391"/>
      <c r="G48" s="387"/>
    </row>
    <row r="49" spans="2:7" ht="15.75" customHeight="1">
      <c r="B49" s="298">
        <v>42</v>
      </c>
      <c r="C49" s="383" t="s">
        <v>474</v>
      </c>
      <c r="D49" s="384">
        <v>36</v>
      </c>
      <c r="E49" s="385"/>
      <c r="F49" s="391"/>
      <c r="G49" s="387"/>
    </row>
    <row r="50" spans="2:7" ht="15.75" customHeight="1">
      <c r="B50" s="298">
        <v>43</v>
      </c>
      <c r="C50" s="392" t="s">
        <v>475</v>
      </c>
      <c r="D50" s="384">
        <v>36</v>
      </c>
      <c r="E50" s="385"/>
      <c r="F50" s="394"/>
      <c r="G50" s="387"/>
    </row>
    <row r="51" spans="2:7" ht="15.75" customHeight="1">
      <c r="B51" s="298">
        <v>44</v>
      </c>
      <c r="C51" s="392" t="s">
        <v>476</v>
      </c>
      <c r="D51" s="384">
        <v>36</v>
      </c>
      <c r="E51" s="385"/>
      <c r="F51" s="394"/>
      <c r="G51" s="387"/>
    </row>
    <row r="52" spans="2:7" ht="15.75" customHeight="1">
      <c r="B52" s="298">
        <v>45</v>
      </c>
      <c r="C52" s="392" t="s">
        <v>477</v>
      </c>
      <c r="D52" s="384" t="s">
        <v>61</v>
      </c>
      <c r="E52" s="385">
        <v>36</v>
      </c>
      <c r="F52" s="394"/>
      <c r="G52" s="387"/>
    </row>
    <row r="53" spans="2:7" ht="15.75" customHeight="1">
      <c r="B53" s="298">
        <v>46</v>
      </c>
      <c r="C53" s="392" t="s">
        <v>478</v>
      </c>
      <c r="D53" s="384">
        <v>15</v>
      </c>
      <c r="E53" s="385"/>
      <c r="F53" s="394"/>
      <c r="G53" s="387"/>
    </row>
    <row r="54" spans="2:7" ht="15.75" customHeight="1">
      <c r="B54" s="298">
        <v>47</v>
      </c>
      <c r="C54" s="392" t="s">
        <v>479</v>
      </c>
      <c r="D54" s="385">
        <v>36</v>
      </c>
      <c r="E54" s="384"/>
      <c r="F54" s="394"/>
      <c r="G54" s="387"/>
    </row>
    <row r="55" spans="2:7" ht="15.75" customHeight="1">
      <c r="B55" s="298">
        <v>48</v>
      </c>
      <c r="C55" s="383" t="s">
        <v>480</v>
      </c>
      <c r="D55" s="385">
        <v>36</v>
      </c>
      <c r="E55" s="384"/>
      <c r="F55" s="394"/>
      <c r="G55" s="387"/>
    </row>
    <row r="56" spans="2:7" ht="15.75" customHeight="1">
      <c r="B56" s="298">
        <v>49</v>
      </c>
      <c r="C56" s="392" t="s">
        <v>481</v>
      </c>
      <c r="D56" s="384"/>
      <c r="E56" s="384">
        <v>36</v>
      </c>
      <c r="F56" s="394"/>
      <c r="G56" s="387"/>
    </row>
    <row r="57" spans="2:7" ht="15.75" customHeight="1">
      <c r="B57" s="298">
        <v>50</v>
      </c>
      <c r="C57" s="392" t="s">
        <v>482</v>
      </c>
      <c r="D57" s="395" t="s">
        <v>61</v>
      </c>
      <c r="E57" s="384">
        <v>36</v>
      </c>
      <c r="F57" s="394"/>
      <c r="G57" s="387"/>
    </row>
    <row r="58" spans="2:7" ht="15.75" customHeight="1">
      <c r="B58" s="298">
        <v>51</v>
      </c>
      <c r="C58" s="383" t="s">
        <v>483</v>
      </c>
      <c r="D58" s="395" t="s">
        <v>61</v>
      </c>
      <c r="E58" s="384">
        <v>36</v>
      </c>
      <c r="F58" s="394"/>
      <c r="G58" s="387"/>
    </row>
    <row r="59" spans="2:7" s="396" customFormat="1" ht="27" customHeight="1">
      <c r="B59" s="397"/>
      <c r="C59" s="398" t="s">
        <v>484</v>
      </c>
      <c r="D59" s="399">
        <f>SUM(D8:D58)</f>
        <v>1527</v>
      </c>
      <c r="E59" s="399">
        <f>SUM(E8:E58)</f>
        <v>288</v>
      </c>
      <c r="F59" s="400" t="s">
        <v>40</v>
      </c>
      <c r="G59" s="401">
        <f>+D59+E59</f>
        <v>1815</v>
      </c>
    </row>
    <row r="63" spans="2:8" ht="12.75">
      <c r="B63" s="402" t="s">
        <v>485</v>
      </c>
      <c r="C63" s="402"/>
      <c r="D63" s="402"/>
      <c r="E63" s="402"/>
      <c r="F63" s="402"/>
      <c r="G63" s="402"/>
      <c r="H63" s="403"/>
    </row>
    <row r="64" spans="2:8" ht="12.75">
      <c r="B64" s="402" t="s">
        <v>486</v>
      </c>
      <c r="C64" s="402"/>
      <c r="D64" s="402"/>
      <c r="E64" s="402"/>
      <c r="F64" s="402"/>
      <c r="G64" s="402"/>
      <c r="H64" s="402"/>
    </row>
    <row r="65" spans="2:8" ht="12.75">
      <c r="B65" s="402"/>
      <c r="C65" s="402"/>
      <c r="D65" s="402"/>
      <c r="E65" s="402"/>
      <c r="F65" s="402"/>
      <c r="G65" s="402"/>
      <c r="H65" s="402"/>
    </row>
    <row r="66" spans="2:8" ht="12.75">
      <c r="B66" s="402"/>
      <c r="C66" s="402"/>
      <c r="D66" s="402"/>
      <c r="E66" s="402"/>
      <c r="F66" s="402"/>
      <c r="G66" s="402"/>
      <c r="H66" s="402"/>
    </row>
    <row r="67" spans="2:8" ht="12.75">
      <c r="B67" s="402"/>
      <c r="C67" s="428" t="s">
        <v>487</v>
      </c>
      <c r="D67" s="428"/>
      <c r="E67" s="428"/>
      <c r="F67" s="428"/>
      <c r="G67" s="428"/>
      <c r="H67" s="428"/>
    </row>
    <row r="68" spans="2:8" ht="12.75">
      <c r="B68" s="402"/>
      <c r="C68" s="402"/>
      <c r="D68" s="402"/>
      <c r="E68" s="402"/>
      <c r="F68" s="402"/>
      <c r="G68" s="402"/>
      <c r="H68" s="402"/>
    </row>
    <row r="69" spans="2:8" ht="12.75">
      <c r="B69" s="402"/>
      <c r="C69" s="402"/>
      <c r="D69" s="402"/>
      <c r="E69" s="402"/>
      <c r="F69" s="402"/>
      <c r="G69" s="402"/>
      <c r="H69" s="402"/>
    </row>
    <row r="70" spans="2:8" ht="12.75">
      <c r="B70" s="402"/>
      <c r="C70" s="402"/>
      <c r="D70" s="402"/>
      <c r="E70" s="402"/>
      <c r="F70" s="402"/>
      <c r="G70" s="402"/>
      <c r="H70" s="402"/>
    </row>
    <row r="71" spans="2:8" ht="18" customHeight="1">
      <c r="B71" s="402"/>
      <c r="C71" s="429" t="s">
        <v>488</v>
      </c>
      <c r="D71" s="429"/>
      <c r="E71" s="429"/>
      <c r="F71" s="429"/>
      <c r="G71" s="429"/>
      <c r="H71" s="429"/>
    </row>
    <row r="72" spans="2:8" ht="18" customHeight="1">
      <c r="B72" s="402"/>
      <c r="C72" s="429"/>
      <c r="D72" s="429"/>
      <c r="E72" s="429"/>
      <c r="F72" s="429"/>
      <c r="G72" s="429"/>
      <c r="H72" s="429"/>
    </row>
    <row r="73" spans="2:8" ht="12.75">
      <c r="B73" s="402"/>
      <c r="C73" s="402"/>
      <c r="D73" s="402"/>
      <c r="E73" s="402"/>
      <c r="F73" s="402"/>
      <c r="G73" s="402"/>
      <c r="H73" s="402"/>
    </row>
    <row r="74" spans="2:8" ht="12.75">
      <c r="B74" s="402"/>
      <c r="C74" s="402"/>
      <c r="D74" s="402"/>
      <c r="E74" s="402"/>
      <c r="F74" s="402"/>
      <c r="G74" s="402"/>
      <c r="H74" s="402"/>
    </row>
    <row r="75" spans="2:8" ht="12.75">
      <c r="B75" s="402"/>
      <c r="C75" s="402" t="s">
        <v>489</v>
      </c>
      <c r="D75" s="402"/>
      <c r="E75" s="402"/>
      <c r="F75" s="402"/>
      <c r="G75" s="402"/>
      <c r="H75" s="402"/>
    </row>
    <row r="76" spans="2:8" ht="12.75">
      <c r="B76" s="402"/>
      <c r="C76" s="402"/>
      <c r="D76" s="402"/>
      <c r="E76" s="402"/>
      <c r="F76" s="402"/>
      <c r="G76" s="402"/>
      <c r="H76" s="402"/>
    </row>
    <row r="77" spans="2:8" ht="12.75">
      <c r="B77" s="402"/>
      <c r="C77" s="402"/>
      <c r="D77" s="402"/>
      <c r="E77" s="402"/>
      <c r="F77" s="402"/>
      <c r="G77" s="402"/>
      <c r="H77" s="402"/>
    </row>
    <row r="78" spans="2:8" ht="12.75">
      <c r="B78" s="402"/>
      <c r="C78" s="402"/>
      <c r="E78" s="402"/>
      <c r="F78" s="402"/>
      <c r="H78" s="402"/>
    </row>
    <row r="79" spans="2:8" ht="12.75">
      <c r="B79" s="402"/>
      <c r="C79" s="402"/>
      <c r="E79" s="402"/>
      <c r="F79" s="402"/>
      <c r="H79" s="402"/>
    </row>
    <row r="80" spans="2:8" ht="12.75">
      <c r="B80" s="402"/>
      <c r="C80" s="402"/>
      <c r="D80" s="402"/>
      <c r="E80" s="402"/>
      <c r="F80" s="402"/>
      <c r="G80" s="402"/>
      <c r="H80" s="402"/>
    </row>
    <row r="81" spans="2:8" ht="12.75">
      <c r="B81" s="402"/>
      <c r="C81" s="402"/>
      <c r="D81" s="402"/>
      <c r="E81" s="402"/>
      <c r="F81" s="402"/>
      <c r="G81" s="402"/>
      <c r="H81" s="402"/>
    </row>
    <row r="82" spans="2:8" ht="12.75">
      <c r="B82" s="402"/>
      <c r="C82" s="402"/>
      <c r="H82" s="402"/>
    </row>
    <row r="83" spans="2:8" ht="12.75">
      <c r="B83" s="402"/>
      <c r="C83" s="402"/>
      <c r="H83" s="402"/>
    </row>
    <row r="84" spans="4:7" ht="12.75">
      <c r="D84" s="404" t="s">
        <v>490</v>
      </c>
      <c r="E84" s="402"/>
      <c r="F84" s="402"/>
      <c r="G84" s="404" t="s">
        <v>491</v>
      </c>
    </row>
    <row r="85" spans="4:7" ht="12.75">
      <c r="D85" s="404" t="s">
        <v>492</v>
      </c>
      <c r="E85" s="402"/>
      <c r="F85" s="402"/>
      <c r="G85" s="404"/>
    </row>
  </sheetData>
  <sheetProtection selectLockedCells="1" selectUnlockedCells="1"/>
  <mergeCells count="3">
    <mergeCell ref="B5:G5"/>
    <mergeCell ref="C67:H67"/>
    <mergeCell ref="C71:H72"/>
  </mergeCells>
  <printOptions horizontalCentered="1"/>
  <pageMargins left="0.7875" right="0.7875" top="0.5902777777777778" bottom="0.196527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DjiDji</cp:lastModifiedBy>
  <dcterms:modified xsi:type="dcterms:W3CDTF">2020-10-07T18:01:11Z</dcterms:modified>
  <cp:category/>
  <cp:version/>
  <cp:contentType/>
  <cp:contentStatus/>
</cp:coreProperties>
</file>