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D05657E6-6B64-4489-991D-843C4ED35A60}" xr6:coauthVersionLast="45" xr6:coauthVersionMax="45" xr10:uidLastSave="{00000000-0000-0000-0000-000000000000}"/>
  <bookViews>
    <workbookView xWindow="15" yWindow="615" windowWidth="19185" windowHeight="14100" tabRatio="435" xr2:uid="{00000000-000D-0000-FFFF-FFFF00000000}"/>
  </bookViews>
  <sheets>
    <sheet name="CALCULATEUR" sheetId="5" r:id="rId1"/>
    <sheet name="NOMENCLATURE" sheetId="4" r:id="rId2"/>
    <sheet name="Memo" sheetId="6" r:id="rId3"/>
  </sheets>
  <definedNames>
    <definedName name="_xlnm._FilterDatabase" localSheetId="1" hidden="1">NOMENCLATURE!$A$4:$A$299</definedName>
    <definedName name="Liste">OFFSET(NOMENCLATURE!$Z$5,0,0,COUNTIF(NOMENCLATURE!$Z:$Z,"&gt;&lt;")-1,1)</definedName>
    <definedName name="ListeProduits">Table14[DESIGNATION ARTICLE]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4" l="1" a="1"/>
  <c r="Z6" i="4" s="1"/>
  <c r="Z7" i="4" a="1"/>
  <c r="Z7" i="4" s="1"/>
  <c r="Z8" i="4" a="1"/>
  <c r="Z8" i="4" s="1"/>
  <c r="Z9" i="4" a="1"/>
  <c r="Z9" i="4" s="1"/>
  <c r="Z10" i="4" a="1"/>
  <c r="Z10" i="4" s="1"/>
  <c r="Z11" i="4" a="1"/>
  <c r="Z11" i="4" s="1"/>
  <c r="Z12" i="4" a="1"/>
  <c r="Z12" i="4" s="1"/>
  <c r="Z13" i="4" a="1"/>
  <c r="Z13" i="4" s="1"/>
  <c r="Z14" i="4" a="1"/>
  <c r="Z14" i="4" s="1"/>
  <c r="Z15" i="4" a="1"/>
  <c r="Z15" i="4" s="1"/>
  <c r="Z16" i="4" a="1"/>
  <c r="Z16" i="4" s="1"/>
  <c r="Z17" i="4" a="1"/>
  <c r="Z17" i="4" s="1"/>
  <c r="Z18" i="4" a="1"/>
  <c r="Z18" i="4" s="1"/>
  <c r="Z19" i="4" a="1"/>
  <c r="Z19" i="4" s="1"/>
  <c r="Z20" i="4" a="1"/>
  <c r="Z20" i="4" s="1"/>
  <c r="Z21" i="4" a="1"/>
  <c r="Z21" i="4" s="1"/>
  <c r="Z22" i="4" a="1"/>
  <c r="Z22" i="4" s="1"/>
  <c r="Z23" i="4" a="1"/>
  <c r="Z23" i="4" s="1"/>
  <c r="Z24" i="4" a="1"/>
  <c r="Z24" i="4" s="1"/>
  <c r="Z25" i="4" a="1"/>
  <c r="Z25" i="4" s="1"/>
  <c r="Z26" i="4" a="1"/>
  <c r="Z26" i="4" s="1"/>
  <c r="Z27" i="4" a="1"/>
  <c r="Z27" i="4" s="1"/>
  <c r="Z28" i="4" a="1"/>
  <c r="Z28" i="4" s="1"/>
  <c r="Z29" i="4" a="1"/>
  <c r="Z29" i="4" s="1"/>
  <c r="Z30" i="4" a="1"/>
  <c r="Z30" i="4" s="1"/>
  <c r="Z31" i="4" a="1"/>
  <c r="Z31" i="4" s="1"/>
  <c r="Z32" i="4" a="1"/>
  <c r="Z32" i="4" s="1"/>
  <c r="Z33" i="4" a="1"/>
  <c r="Z33" i="4" s="1"/>
  <c r="Z34" i="4" a="1"/>
  <c r="Z34" i="4" s="1"/>
  <c r="Z35" i="4" a="1"/>
  <c r="Z35" i="4" s="1"/>
  <c r="Z36" i="4" a="1"/>
  <c r="Z36" i="4" s="1"/>
  <c r="Z37" i="4" a="1"/>
  <c r="Z37" i="4" s="1"/>
  <c r="Z38" i="4" a="1"/>
  <c r="Z38" i="4" s="1"/>
  <c r="Z39" i="4" a="1"/>
  <c r="Z39" i="4" s="1"/>
  <c r="Z40" i="4" a="1"/>
  <c r="Z40" i="4" s="1"/>
  <c r="Z41" i="4" a="1"/>
  <c r="Z41" i="4" s="1"/>
  <c r="Z42" i="4" a="1"/>
  <c r="Z42" i="4" s="1"/>
  <c r="Z43" i="4" a="1"/>
  <c r="Z43" i="4" s="1"/>
  <c r="Z44" i="4" a="1"/>
  <c r="Z44" i="4" s="1"/>
  <c r="Z45" i="4" a="1"/>
  <c r="Z45" i="4" s="1"/>
  <c r="Z46" i="4" a="1"/>
  <c r="Z46" i="4" s="1"/>
  <c r="Z47" i="4" a="1"/>
  <c r="Z47" i="4" s="1"/>
  <c r="Z48" i="4" a="1"/>
  <c r="Z48" i="4" s="1"/>
  <c r="Z49" i="4" a="1"/>
  <c r="Z49" i="4" s="1"/>
  <c r="Z50" i="4" a="1"/>
  <c r="Z50" i="4" s="1"/>
  <c r="Z51" i="4" a="1"/>
  <c r="Z51" i="4" s="1"/>
  <c r="Z52" i="4" a="1"/>
  <c r="Z52" i="4" s="1"/>
  <c r="Z53" i="4" a="1"/>
  <c r="Z53" i="4" s="1"/>
  <c r="Z54" i="4" a="1"/>
  <c r="Z54" i="4" s="1"/>
  <c r="Z55" i="4" a="1"/>
  <c r="Z55" i="4" s="1"/>
  <c r="Z56" i="4" a="1"/>
  <c r="Z56" i="4" s="1"/>
  <c r="Z57" i="4" a="1"/>
  <c r="Z57" i="4" s="1"/>
  <c r="Z58" i="4" a="1"/>
  <c r="Z58" i="4" s="1"/>
  <c r="Z59" i="4" a="1"/>
  <c r="Z59" i="4" s="1"/>
  <c r="Z60" i="4" a="1"/>
  <c r="Z60" i="4" s="1"/>
  <c r="Z61" i="4" a="1"/>
  <c r="Z61" i="4" s="1"/>
  <c r="Z62" i="4" a="1"/>
  <c r="Z62" i="4" s="1"/>
  <c r="Z63" i="4" a="1"/>
  <c r="Z63" i="4" s="1"/>
  <c r="Z64" i="4" a="1"/>
  <c r="Z64" i="4" s="1"/>
  <c r="Z65" i="4" a="1"/>
  <c r="Z65" i="4" s="1"/>
  <c r="Z66" i="4" a="1"/>
  <c r="Z66" i="4" s="1"/>
  <c r="Z67" i="4" a="1"/>
  <c r="Z67" i="4" s="1"/>
  <c r="Z68" i="4" a="1"/>
  <c r="Z68" i="4" s="1"/>
  <c r="Z69" i="4" a="1"/>
  <c r="Z69" i="4" s="1"/>
  <c r="Z70" i="4" a="1"/>
  <c r="Z70" i="4" s="1"/>
  <c r="Z71" i="4" a="1"/>
  <c r="Z71" i="4" s="1"/>
  <c r="Z72" i="4" a="1"/>
  <c r="Z72" i="4" s="1"/>
  <c r="Z73" i="4" a="1"/>
  <c r="Z73" i="4" s="1"/>
  <c r="Z74" i="4" a="1"/>
  <c r="Z74" i="4" s="1"/>
  <c r="Z75" i="4" a="1"/>
  <c r="Z75" i="4" s="1"/>
  <c r="Z76" i="4" a="1"/>
  <c r="Z76" i="4" s="1"/>
  <c r="Z77" i="4" a="1"/>
  <c r="Z77" i="4" s="1"/>
  <c r="Z78" i="4" a="1"/>
  <c r="Z78" i="4" s="1"/>
  <c r="Z79" i="4" a="1"/>
  <c r="Z79" i="4" s="1"/>
  <c r="Z80" i="4" a="1"/>
  <c r="Z80" i="4" s="1"/>
  <c r="Z81" i="4" a="1"/>
  <c r="Z81" i="4" s="1"/>
  <c r="Z82" i="4" a="1"/>
  <c r="Z82" i="4" s="1"/>
  <c r="Z83" i="4" a="1"/>
  <c r="Z83" i="4" s="1"/>
  <c r="Z84" i="4" a="1"/>
  <c r="Z84" i="4" s="1"/>
  <c r="Z85" i="4" a="1"/>
  <c r="Z85" i="4" s="1"/>
  <c r="Z86" i="4" a="1"/>
  <c r="Z86" i="4" s="1"/>
  <c r="Z87" i="4" a="1"/>
  <c r="Z87" i="4" s="1"/>
  <c r="Z88" i="4" a="1"/>
  <c r="Z88" i="4" s="1"/>
  <c r="Z89" i="4" a="1"/>
  <c r="Z89" i="4" s="1"/>
  <c r="Z90" i="4" a="1"/>
  <c r="Z90" i="4" s="1"/>
  <c r="Z91" i="4" a="1"/>
  <c r="Z91" i="4" s="1"/>
  <c r="Z92" i="4" a="1"/>
  <c r="Z92" i="4" s="1"/>
  <c r="Z93" i="4" a="1"/>
  <c r="Z93" i="4" s="1"/>
  <c r="Z94" i="4" a="1"/>
  <c r="Z94" i="4" s="1"/>
  <c r="Z95" i="4" a="1"/>
  <c r="Z95" i="4" s="1"/>
  <c r="Z96" i="4" a="1"/>
  <c r="Z96" i="4" s="1"/>
  <c r="Z97" i="4" a="1"/>
  <c r="Z97" i="4" s="1"/>
  <c r="Z98" i="4" a="1"/>
  <c r="Z98" i="4" s="1"/>
  <c r="Z99" i="4" a="1"/>
  <c r="Z99" i="4" s="1"/>
  <c r="Z100" i="4" a="1"/>
  <c r="Z100" i="4" s="1"/>
  <c r="Z101" i="4" a="1"/>
  <c r="Z101" i="4" s="1"/>
  <c r="Z102" i="4" a="1"/>
  <c r="Z102" i="4" s="1"/>
  <c r="Z103" i="4" a="1"/>
  <c r="Z103" i="4" s="1"/>
  <c r="Z104" i="4" a="1"/>
  <c r="Z104" i="4" s="1"/>
  <c r="Z105" i="4" a="1"/>
  <c r="Z105" i="4" s="1"/>
  <c r="Z106" i="4" a="1"/>
  <c r="Z106" i="4" s="1"/>
  <c r="Z107" i="4" a="1"/>
  <c r="Z107" i="4" s="1"/>
  <c r="Z108" i="4" a="1"/>
  <c r="Z108" i="4" s="1"/>
  <c r="Z109" i="4" a="1"/>
  <c r="Z109" i="4" s="1"/>
  <c r="Z110" i="4" a="1"/>
  <c r="Z110" i="4" s="1"/>
  <c r="Z111" i="4" a="1"/>
  <c r="Z111" i="4" s="1"/>
  <c r="Z112" i="4" a="1"/>
  <c r="Z112" i="4" s="1"/>
  <c r="Z113" i="4" a="1"/>
  <c r="Z113" i="4" s="1"/>
  <c r="Z114" i="4" a="1"/>
  <c r="Z114" i="4" s="1"/>
  <c r="Z115" i="4" a="1"/>
  <c r="Z115" i="4" s="1"/>
  <c r="Z116" i="4" a="1"/>
  <c r="Z116" i="4" s="1"/>
  <c r="Z117" i="4" a="1"/>
  <c r="Z117" i="4" s="1"/>
  <c r="Z118" i="4" a="1"/>
  <c r="Z118" i="4" s="1"/>
  <c r="Z119" i="4" a="1"/>
  <c r="Z119" i="4" s="1"/>
  <c r="Z120" i="4" a="1"/>
  <c r="Z120" i="4" s="1"/>
  <c r="Z121" i="4" a="1"/>
  <c r="Z121" i="4" s="1"/>
  <c r="Z122" i="4" a="1"/>
  <c r="Z122" i="4" s="1"/>
  <c r="Z123" i="4" a="1"/>
  <c r="Z123" i="4" s="1"/>
  <c r="Z124" i="4" a="1"/>
  <c r="Z124" i="4" s="1"/>
  <c r="Z125" i="4" a="1"/>
  <c r="Z125" i="4" s="1"/>
  <c r="Z126" i="4" a="1"/>
  <c r="Z126" i="4" s="1"/>
  <c r="Z127" i="4" a="1"/>
  <c r="Z127" i="4" s="1"/>
  <c r="Z128" i="4" a="1"/>
  <c r="Z128" i="4" s="1"/>
  <c r="Z129" i="4" a="1"/>
  <c r="Z129" i="4" s="1"/>
  <c r="Z130" i="4" a="1"/>
  <c r="Z130" i="4" s="1"/>
  <c r="Z131" i="4" a="1"/>
  <c r="Z131" i="4" s="1"/>
  <c r="Z132" i="4" a="1"/>
  <c r="Z132" i="4" s="1"/>
  <c r="Z133" i="4" a="1"/>
  <c r="Z133" i="4" s="1"/>
  <c r="Z134" i="4" a="1"/>
  <c r="Z134" i="4" s="1"/>
  <c r="Z135" i="4" a="1"/>
  <c r="Z135" i="4" s="1"/>
  <c r="Z136" i="4" a="1"/>
  <c r="Z136" i="4" s="1"/>
  <c r="Z137" i="4" a="1"/>
  <c r="Z137" i="4" s="1"/>
  <c r="Z138" i="4" a="1"/>
  <c r="Z138" i="4" s="1"/>
  <c r="Z139" i="4" a="1"/>
  <c r="Z139" i="4" s="1"/>
  <c r="Z140" i="4" a="1"/>
  <c r="Z140" i="4" s="1"/>
  <c r="Z141" i="4" a="1"/>
  <c r="Z141" i="4" s="1"/>
  <c r="Z142" i="4" a="1"/>
  <c r="Z142" i="4" s="1"/>
  <c r="Z143" i="4" a="1"/>
  <c r="Z143" i="4" s="1"/>
  <c r="Z144" i="4" a="1"/>
  <c r="Z144" i="4" s="1"/>
  <c r="Z145" i="4" a="1"/>
  <c r="Z145" i="4" s="1"/>
  <c r="Z146" i="4" a="1"/>
  <c r="Z146" i="4" s="1"/>
  <c r="Z147" i="4" a="1"/>
  <c r="Z147" i="4" s="1"/>
  <c r="Z148" i="4" a="1"/>
  <c r="Z148" i="4" s="1"/>
  <c r="Z149" i="4" a="1"/>
  <c r="Z149" i="4" s="1"/>
  <c r="Z150" i="4" a="1"/>
  <c r="Z150" i="4" s="1"/>
  <c r="Z151" i="4" a="1"/>
  <c r="Z151" i="4" s="1"/>
  <c r="Z152" i="4" a="1"/>
  <c r="Z152" i="4" s="1"/>
  <c r="Z153" i="4" a="1"/>
  <c r="Z153" i="4" s="1"/>
  <c r="Z154" i="4" a="1"/>
  <c r="Z154" i="4" s="1"/>
  <c r="Z155" i="4" a="1"/>
  <c r="Z155" i="4" s="1"/>
  <c r="Z156" i="4" a="1"/>
  <c r="Z156" i="4" s="1"/>
  <c r="Z157" i="4" a="1"/>
  <c r="Z157" i="4" s="1"/>
  <c r="Z158" i="4" a="1"/>
  <c r="Z158" i="4" s="1"/>
  <c r="Z159" i="4" a="1"/>
  <c r="Z159" i="4" s="1"/>
  <c r="Z160" i="4" a="1"/>
  <c r="Z160" i="4" s="1"/>
  <c r="Z161" i="4" a="1"/>
  <c r="Z161" i="4" s="1"/>
  <c r="Z162" i="4" a="1"/>
  <c r="Z162" i="4" s="1"/>
  <c r="Z163" i="4" a="1"/>
  <c r="Z163" i="4" s="1"/>
  <c r="Z164" i="4" a="1"/>
  <c r="Z164" i="4" s="1"/>
  <c r="Z165" i="4" a="1"/>
  <c r="Z165" i="4" s="1"/>
  <c r="Z166" i="4" a="1"/>
  <c r="Z166" i="4" s="1"/>
  <c r="Z167" i="4" a="1"/>
  <c r="Z167" i="4" s="1"/>
  <c r="Z168" i="4" a="1"/>
  <c r="Z168" i="4" s="1"/>
  <c r="Z169" i="4" a="1"/>
  <c r="Z169" i="4" s="1"/>
  <c r="Z170" i="4" a="1"/>
  <c r="Z170" i="4" s="1"/>
  <c r="Z171" i="4" a="1"/>
  <c r="Z171" i="4" s="1"/>
  <c r="Z172" i="4" a="1"/>
  <c r="Z172" i="4" s="1"/>
  <c r="Z173" i="4" a="1"/>
  <c r="Z173" i="4" s="1"/>
  <c r="Z174" i="4" a="1"/>
  <c r="Z174" i="4" s="1"/>
  <c r="Z175" i="4" a="1"/>
  <c r="Z175" i="4" s="1"/>
  <c r="Z176" i="4" a="1"/>
  <c r="Z176" i="4" s="1"/>
  <c r="Z177" i="4" a="1"/>
  <c r="Z177" i="4" s="1"/>
  <c r="Z178" i="4" a="1"/>
  <c r="Z178" i="4" s="1"/>
  <c r="Z179" i="4" a="1"/>
  <c r="Z179" i="4" s="1"/>
  <c r="Z180" i="4" a="1"/>
  <c r="Z180" i="4" s="1"/>
  <c r="Z181" i="4" a="1"/>
  <c r="Z181" i="4" s="1"/>
  <c r="Z182" i="4" a="1"/>
  <c r="Z182" i="4" s="1"/>
  <c r="Z183" i="4" a="1"/>
  <c r="Z183" i="4" s="1"/>
  <c r="Z184" i="4" a="1"/>
  <c r="Z184" i="4" s="1"/>
  <c r="Z185" i="4" a="1"/>
  <c r="Z185" i="4" s="1"/>
  <c r="Z186" i="4" a="1"/>
  <c r="Z186" i="4" s="1"/>
  <c r="Z187" i="4" a="1"/>
  <c r="Z187" i="4" s="1"/>
  <c r="Z188" i="4" a="1"/>
  <c r="Z188" i="4" s="1"/>
  <c r="Z189" i="4" a="1"/>
  <c r="Z189" i="4" s="1"/>
  <c r="Z190" i="4" a="1"/>
  <c r="Z190" i="4" s="1"/>
  <c r="Z191" i="4" a="1"/>
  <c r="Z191" i="4" s="1"/>
  <c r="Z192" i="4" a="1"/>
  <c r="Z192" i="4" s="1"/>
  <c r="Z193" i="4" a="1"/>
  <c r="Z193" i="4" s="1"/>
  <c r="Z194" i="4" a="1"/>
  <c r="Z194" i="4" s="1"/>
  <c r="Z195" i="4" a="1"/>
  <c r="Z195" i="4" s="1"/>
  <c r="Z196" i="4" a="1"/>
  <c r="Z196" i="4" s="1"/>
  <c r="Z197" i="4" a="1"/>
  <c r="Z197" i="4" s="1"/>
  <c r="Z198" i="4" a="1"/>
  <c r="Z198" i="4" s="1"/>
  <c r="Z199" i="4" a="1"/>
  <c r="Z199" i="4" s="1"/>
  <c r="Z200" i="4" a="1"/>
  <c r="Z200" i="4" s="1"/>
  <c r="Z201" i="4" a="1"/>
  <c r="Z201" i="4" s="1"/>
  <c r="Z202" i="4" a="1"/>
  <c r="Z202" i="4" s="1"/>
  <c r="Z203" i="4" a="1"/>
  <c r="Z203" i="4" s="1"/>
  <c r="Z204" i="4" a="1"/>
  <c r="Z204" i="4" s="1"/>
  <c r="Z205" i="4" a="1"/>
  <c r="Z205" i="4" s="1"/>
  <c r="Z206" i="4" a="1"/>
  <c r="Z206" i="4" s="1"/>
  <c r="Z207" i="4" a="1"/>
  <c r="Z207" i="4" s="1"/>
  <c r="Z208" i="4" a="1"/>
  <c r="Z208" i="4" s="1"/>
  <c r="Z209" i="4" a="1"/>
  <c r="Z209" i="4" s="1"/>
  <c r="Z210" i="4" a="1"/>
  <c r="Z210" i="4" s="1"/>
  <c r="Z211" i="4" a="1"/>
  <c r="Z211" i="4" s="1"/>
  <c r="Z212" i="4" a="1"/>
  <c r="Z212" i="4" s="1"/>
  <c r="Z213" i="4" a="1"/>
  <c r="Z213" i="4" s="1"/>
  <c r="Z214" i="4" a="1"/>
  <c r="Z214" i="4" s="1"/>
  <c r="Z215" i="4" a="1"/>
  <c r="Z215" i="4" s="1"/>
  <c r="Z216" i="4" a="1"/>
  <c r="Z216" i="4" s="1"/>
  <c r="Z217" i="4" a="1"/>
  <c r="Z217" i="4" s="1"/>
  <c r="Z218" i="4" a="1"/>
  <c r="Z218" i="4" s="1"/>
  <c r="Z219" i="4" a="1"/>
  <c r="Z219" i="4" s="1"/>
  <c r="Z220" i="4" a="1"/>
  <c r="Z220" i="4" s="1"/>
  <c r="Z221" i="4" a="1"/>
  <c r="Z221" i="4" s="1"/>
  <c r="Z222" i="4" a="1"/>
  <c r="Z222" i="4" s="1"/>
  <c r="Z223" i="4" a="1"/>
  <c r="Z223" i="4" s="1"/>
  <c r="Z224" i="4" a="1"/>
  <c r="Z224" i="4" s="1"/>
  <c r="Z225" i="4" a="1"/>
  <c r="Z225" i="4" s="1"/>
  <c r="Z226" i="4" a="1"/>
  <c r="Z226" i="4" s="1"/>
  <c r="Z227" i="4" a="1"/>
  <c r="Z227" i="4" s="1"/>
  <c r="Z228" i="4" a="1"/>
  <c r="Z228" i="4" s="1"/>
  <c r="Z229" i="4" a="1"/>
  <c r="Z229" i="4" s="1"/>
  <c r="Z230" i="4" a="1"/>
  <c r="Z230" i="4" s="1"/>
  <c r="Z231" i="4" a="1"/>
  <c r="Z231" i="4" s="1"/>
  <c r="Z232" i="4" a="1"/>
  <c r="Z232" i="4" s="1"/>
  <c r="Z233" i="4" a="1"/>
  <c r="Z233" i="4" s="1"/>
  <c r="Z234" i="4" a="1"/>
  <c r="Z234" i="4" s="1"/>
  <c r="Z235" i="4" a="1"/>
  <c r="Z235" i="4" s="1"/>
  <c r="Z236" i="4" a="1"/>
  <c r="Z236" i="4" s="1"/>
  <c r="Z237" i="4" a="1"/>
  <c r="Z237" i="4" s="1"/>
  <c r="Z238" i="4" a="1"/>
  <c r="Z238" i="4" s="1"/>
  <c r="Z239" i="4" a="1"/>
  <c r="Z239" i="4" s="1"/>
  <c r="Z240" i="4" a="1"/>
  <c r="Z240" i="4" s="1"/>
  <c r="Z241" i="4" a="1"/>
  <c r="Z241" i="4" s="1"/>
  <c r="Z242" i="4" a="1"/>
  <c r="Z242" i="4" s="1"/>
  <c r="Z243" i="4" a="1"/>
  <c r="Z243" i="4" s="1"/>
  <c r="Z244" i="4" a="1"/>
  <c r="Z244" i="4" s="1"/>
  <c r="Z245" i="4" a="1"/>
  <c r="Z245" i="4" s="1"/>
  <c r="Z246" i="4" a="1"/>
  <c r="Z246" i="4" s="1"/>
  <c r="Z247" i="4" a="1"/>
  <c r="Z247" i="4" s="1"/>
  <c r="Z248" i="4" a="1"/>
  <c r="Z248" i="4" s="1"/>
  <c r="Z249" i="4" a="1"/>
  <c r="Z249" i="4" s="1"/>
  <c r="Z250" i="4" a="1"/>
  <c r="Z250" i="4" s="1"/>
  <c r="Z251" i="4" a="1"/>
  <c r="Z251" i="4" s="1"/>
  <c r="Z252" i="4" a="1"/>
  <c r="Z252" i="4" s="1"/>
  <c r="Z253" i="4" a="1"/>
  <c r="Z253" i="4" s="1"/>
  <c r="Z254" i="4" a="1"/>
  <c r="Z254" i="4" s="1"/>
  <c r="Z255" i="4" a="1"/>
  <c r="Z255" i="4" s="1"/>
  <c r="Z256" i="4" a="1"/>
  <c r="Z256" i="4" s="1"/>
  <c r="Z257" i="4" a="1"/>
  <c r="Z257" i="4" s="1"/>
  <c r="Z258" i="4" a="1"/>
  <c r="Z258" i="4" s="1"/>
  <c r="Z259" i="4" a="1"/>
  <c r="Z259" i="4" s="1"/>
  <c r="Z260" i="4" a="1"/>
  <c r="Z260" i="4" s="1"/>
  <c r="Z261" i="4" a="1"/>
  <c r="Z261" i="4" s="1"/>
  <c r="Z262" i="4" a="1"/>
  <c r="Z262" i="4" s="1"/>
  <c r="Z263" i="4" a="1"/>
  <c r="Z263" i="4" s="1"/>
  <c r="Z264" i="4" a="1"/>
  <c r="Z264" i="4" s="1"/>
  <c r="Z265" i="4" a="1"/>
  <c r="Z265" i="4" s="1"/>
  <c r="Z266" i="4" a="1"/>
  <c r="Z266" i="4" s="1"/>
  <c r="Z267" i="4" a="1"/>
  <c r="Z267" i="4" s="1"/>
  <c r="Z268" i="4" a="1"/>
  <c r="Z268" i="4" s="1"/>
  <c r="Z269" i="4" a="1"/>
  <c r="Z269" i="4" s="1"/>
  <c r="Z270" i="4" a="1"/>
  <c r="Z270" i="4" s="1"/>
  <c r="Z271" i="4" a="1"/>
  <c r="Z271" i="4" s="1"/>
  <c r="Z272" i="4" a="1"/>
  <c r="Z272" i="4" s="1"/>
  <c r="Z273" i="4" a="1"/>
  <c r="Z273" i="4" s="1"/>
  <c r="Z274" i="4" a="1"/>
  <c r="Z274" i="4" s="1"/>
  <c r="Z275" i="4" a="1"/>
  <c r="Z275" i="4" s="1"/>
  <c r="Z276" i="4" a="1"/>
  <c r="Z276" i="4" s="1"/>
  <c r="Z277" i="4" a="1"/>
  <c r="Z277" i="4" s="1"/>
  <c r="Z278" i="4" a="1"/>
  <c r="Z278" i="4" s="1"/>
  <c r="Z279" i="4" a="1"/>
  <c r="Z279" i="4" s="1"/>
  <c r="Z280" i="4" a="1"/>
  <c r="Z280" i="4" s="1"/>
  <c r="Z281" i="4" a="1"/>
  <c r="Z281" i="4" s="1"/>
  <c r="Z282" i="4" a="1"/>
  <c r="Z282" i="4" s="1"/>
  <c r="Z283" i="4" a="1"/>
  <c r="Z283" i="4" s="1"/>
  <c r="Z284" i="4" a="1"/>
  <c r="Z284" i="4" s="1"/>
  <c r="Z285" i="4" a="1"/>
  <c r="Z285" i="4" s="1"/>
  <c r="Z286" i="4" a="1"/>
  <c r="Z286" i="4" s="1"/>
  <c r="Z287" i="4" a="1"/>
  <c r="Z287" i="4" s="1"/>
  <c r="Z288" i="4" a="1"/>
  <c r="Z288" i="4" s="1"/>
  <c r="Z289" i="4" a="1"/>
  <c r="Z289" i="4" s="1"/>
  <c r="Z290" i="4" a="1"/>
  <c r="Z290" i="4" s="1"/>
  <c r="Z291" i="4" a="1"/>
  <c r="Z291" i="4" s="1"/>
  <c r="Z292" i="4" a="1"/>
  <c r="Z292" i="4" s="1"/>
  <c r="Z293" i="4" a="1"/>
  <c r="Z293" i="4" s="1"/>
  <c r="Z294" i="4" a="1"/>
  <c r="Z294" i="4" s="1"/>
  <c r="Z295" i="4" a="1"/>
  <c r="Z295" i="4" s="1"/>
  <c r="Z296" i="4" a="1"/>
  <c r="Z296" i="4" s="1"/>
  <c r="Z297" i="4" a="1"/>
  <c r="Z297" i="4" s="1"/>
  <c r="Z298" i="4" a="1"/>
  <c r="Z298" i="4" s="1"/>
  <c r="Z299" i="4" a="1"/>
  <c r="Z299" i="4" s="1"/>
  <c r="Z5" i="4" a="1"/>
  <c r="Z5" i="4" s="1"/>
  <c r="J6" i="5" l="1"/>
  <c r="F21" i="5" l="1"/>
  <c r="E21" i="5"/>
  <c r="D21" i="5"/>
  <c r="B25" i="5" s="1"/>
  <c r="C21" i="5"/>
  <c r="B24" i="5" l="1"/>
  <c r="B23" i="5"/>
  <c r="B21" i="5"/>
  <c r="E20" i="5"/>
  <c r="K6" i="5"/>
  <c r="I6" i="5"/>
  <c r="F20" i="5" s="1"/>
  <c r="D9" i="5"/>
  <c r="C22" i="5" s="1"/>
  <c r="C23" i="5" s="1"/>
  <c r="C24" i="5" l="1"/>
  <c r="E9" i="5"/>
  <c r="C25" i="5" s="1"/>
  <c r="I12" i="5"/>
  <c r="C12" i="5"/>
  <c r="H9" i="5"/>
  <c r="C9" i="5"/>
  <c r="H6" i="5"/>
  <c r="G6" i="5"/>
  <c r="H12" i="5" l="1"/>
  <c r="K9" i="5"/>
  <c r="I10" i="4"/>
  <c r="K12" i="5" l="1"/>
  <c r="E12" i="5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U73" i="4" s="1"/>
  <c r="L74" i="4"/>
  <c r="L75" i="4"/>
  <c r="L76" i="4"/>
  <c r="L77" i="4"/>
  <c r="U77" i="4" s="1"/>
  <c r="L78" i="4"/>
  <c r="U78" i="4" s="1"/>
  <c r="L79" i="4"/>
  <c r="L80" i="4"/>
  <c r="U80" i="4" s="1"/>
  <c r="L81" i="4"/>
  <c r="U81" i="4" s="1"/>
  <c r="L82" i="4"/>
  <c r="U82" i="4" s="1"/>
  <c r="L83" i="4"/>
  <c r="U83" i="4" s="1"/>
  <c r="L84" i="4"/>
  <c r="L85" i="4"/>
  <c r="U85" i="4" s="1"/>
  <c r="L86" i="4"/>
  <c r="U86" i="4" s="1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I9" i="5" s="1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U147" i="4" s="1"/>
  <c r="L148" i="4"/>
  <c r="L149" i="4"/>
  <c r="L150" i="4"/>
  <c r="U150" i="4" s="1"/>
  <c r="L151" i="4"/>
  <c r="L152" i="4"/>
  <c r="L153" i="4"/>
  <c r="L154" i="4"/>
  <c r="U154" i="4" s="1"/>
  <c r="L155" i="4"/>
  <c r="U155" i="4" s="1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U194" i="4" s="1"/>
  <c r="L195" i="4"/>
  <c r="L196" i="4"/>
  <c r="L197" i="4"/>
  <c r="L198" i="4"/>
  <c r="L199" i="4"/>
  <c r="L200" i="4"/>
  <c r="L201" i="4"/>
  <c r="L202" i="4"/>
  <c r="U202" i="4" s="1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5" i="4"/>
  <c r="F22" i="5" l="1"/>
  <c r="F23" i="5" s="1"/>
  <c r="E22" i="5"/>
  <c r="E23" i="5" s="1"/>
  <c r="U79" i="4"/>
  <c r="U75" i="4"/>
  <c r="U156" i="4"/>
  <c r="U152" i="4"/>
  <c r="U148" i="4"/>
  <c r="U84" i="4"/>
  <c r="U151" i="4"/>
  <c r="U74" i="4"/>
  <c r="U153" i="4"/>
  <c r="U149" i="4"/>
  <c r="U76" i="4"/>
  <c r="U185" i="4"/>
  <c r="I185" i="4"/>
  <c r="M185" i="4" s="1"/>
  <c r="F25" i="5" l="1"/>
  <c r="E25" i="5"/>
  <c r="S185" i="4"/>
  <c r="P185" i="4"/>
  <c r="I204" i="4"/>
  <c r="M204" i="4" s="1"/>
  <c r="I205" i="4"/>
  <c r="M205" i="4" s="1"/>
  <c r="I85" i="4" l="1"/>
  <c r="M85" i="4" s="1"/>
  <c r="I172" i="4"/>
  <c r="M172" i="4" s="1"/>
  <c r="I171" i="4"/>
  <c r="M171" i="4" s="1"/>
  <c r="I170" i="4"/>
  <c r="M170" i="4" s="1"/>
  <c r="I169" i="4"/>
  <c r="M169" i="4" s="1"/>
  <c r="I164" i="4"/>
  <c r="M164" i="4" s="1"/>
  <c r="I163" i="4"/>
  <c r="M163" i="4" s="1"/>
  <c r="I162" i="4"/>
  <c r="M162" i="4" s="1"/>
  <c r="I161" i="4"/>
  <c r="M161" i="4" s="1"/>
  <c r="S85" i="4" l="1"/>
  <c r="P85" i="4"/>
  <c r="U87" i="4" l="1"/>
  <c r="U88" i="4"/>
  <c r="U89" i="4"/>
  <c r="U90" i="4"/>
  <c r="U91" i="4"/>
  <c r="U92" i="4" l="1"/>
  <c r="U93" i="4"/>
  <c r="U94" i="4"/>
  <c r="U95" i="4"/>
  <c r="U96" i="4"/>
  <c r="I79" i="4" l="1"/>
  <c r="M79" i="4" s="1"/>
  <c r="I93" i="4"/>
  <c r="M93" i="4" s="1"/>
  <c r="I81" i="4"/>
  <c r="M81" i="4" s="1"/>
  <c r="I80" i="4"/>
  <c r="M80" i="4" s="1"/>
  <c r="I96" i="4"/>
  <c r="M96" i="4" s="1"/>
  <c r="I92" i="4"/>
  <c r="M92" i="4" s="1"/>
  <c r="I78" i="4"/>
  <c r="M78" i="4" s="1"/>
  <c r="I82" i="4"/>
  <c r="M82" i="4" s="1"/>
  <c r="I95" i="4"/>
  <c r="M95" i="4" s="1"/>
  <c r="I94" i="4"/>
  <c r="M94" i="4" s="1"/>
  <c r="S79" i="4" l="1"/>
  <c r="S95" i="4"/>
  <c r="S96" i="4"/>
  <c r="S82" i="4"/>
  <c r="S80" i="4"/>
  <c r="S78" i="4"/>
  <c r="S81" i="4"/>
  <c r="S94" i="4"/>
  <c r="S92" i="4"/>
  <c r="S93" i="4"/>
  <c r="P94" i="4"/>
  <c r="P95" i="4"/>
  <c r="P96" i="4"/>
  <c r="P82" i="4"/>
  <c r="P80" i="4"/>
  <c r="P79" i="4"/>
  <c r="P92" i="4"/>
  <c r="P93" i="4"/>
  <c r="P78" i="4"/>
  <c r="P81" i="4"/>
  <c r="I202" i="4" l="1"/>
  <c r="M202" i="4" s="1"/>
  <c r="I194" i="4"/>
  <c r="M194" i="4" s="1"/>
  <c r="S202" i="4" l="1"/>
  <c r="S194" i="4"/>
  <c r="P194" i="4"/>
  <c r="P202" i="4"/>
  <c r="U187" i="4"/>
  <c r="U188" i="4"/>
  <c r="U189" i="4"/>
  <c r="U190" i="4"/>
  <c r="U191" i="4"/>
  <c r="U192" i="4"/>
  <c r="U193" i="4"/>
  <c r="U195" i="4"/>
  <c r="U196" i="4"/>
  <c r="U197" i="4"/>
  <c r="U198" i="4"/>
  <c r="U199" i="4"/>
  <c r="U200" i="4"/>
  <c r="U201" i="4"/>
  <c r="U203" i="4"/>
  <c r="U207" i="4"/>
  <c r="U206" i="4"/>
  <c r="U212" i="4"/>
  <c r="U213" i="4"/>
  <c r="U211" i="4"/>
  <c r="U210" i="4"/>
  <c r="U217" i="4"/>
  <c r="U218" i="4"/>
  <c r="U219" i="4"/>
  <c r="U220" i="4"/>
  <c r="U221" i="4"/>
  <c r="U215" i="4"/>
  <c r="U21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97" i="4"/>
  <c r="U98" i="4"/>
  <c r="U99" i="4"/>
  <c r="U100" i="4"/>
  <c r="U101" i="4"/>
  <c r="I14" i="5" s="1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77" i="4"/>
  <c r="U178" i="4"/>
  <c r="U179" i="4"/>
  <c r="U180" i="4"/>
  <c r="U181" i="4"/>
  <c r="U182" i="4"/>
  <c r="U183" i="4"/>
  <c r="U184" i="4"/>
  <c r="U186" i="4"/>
  <c r="U208" i="4"/>
  <c r="U209" i="4"/>
  <c r="U214" i="4"/>
  <c r="I186" i="4" l="1"/>
  <c r="M186" i="4" s="1"/>
  <c r="I71" i="4"/>
  <c r="I67" i="4"/>
  <c r="M67" i="4" s="1"/>
  <c r="I63" i="4"/>
  <c r="I60" i="4"/>
  <c r="I56" i="4"/>
  <c r="I52" i="4"/>
  <c r="I49" i="4"/>
  <c r="I45" i="4"/>
  <c r="I41" i="4"/>
  <c r="I38" i="4"/>
  <c r="I33" i="4"/>
  <c r="I29" i="4"/>
  <c r="I70" i="4"/>
  <c r="I66" i="4"/>
  <c r="I62" i="4"/>
  <c r="I59" i="4"/>
  <c r="I55" i="4"/>
  <c r="I51" i="4"/>
  <c r="I48" i="4"/>
  <c r="I44" i="4"/>
  <c r="I40" i="4"/>
  <c r="I37" i="4"/>
  <c r="I32" i="4"/>
  <c r="I69" i="4"/>
  <c r="I65" i="4"/>
  <c r="I58" i="4"/>
  <c r="I54" i="4"/>
  <c r="I47" i="4"/>
  <c r="I43" i="4"/>
  <c r="I36" i="4"/>
  <c r="I35" i="4"/>
  <c r="I31" i="4"/>
  <c r="I72" i="4"/>
  <c r="M72" i="4" s="1"/>
  <c r="I68" i="4"/>
  <c r="I64" i="4"/>
  <c r="I61" i="4"/>
  <c r="I57" i="4"/>
  <c r="I53" i="4"/>
  <c r="I50" i="4"/>
  <c r="I46" i="4"/>
  <c r="I42" i="4"/>
  <c r="I39" i="4"/>
  <c r="I34" i="4"/>
  <c r="I30" i="4"/>
  <c r="I25" i="4"/>
  <c r="M25" i="4" s="1"/>
  <c r="I26" i="4"/>
  <c r="M26" i="4" s="1"/>
  <c r="S186" i="4" l="1"/>
  <c r="P26" i="4"/>
  <c r="S26" i="4"/>
  <c r="P25" i="4"/>
  <c r="S25" i="4"/>
  <c r="P186" i="4"/>
  <c r="I182" i="4"/>
  <c r="M182" i="4" s="1"/>
  <c r="I178" i="4"/>
  <c r="M178" i="4" s="1"/>
  <c r="I183" i="4"/>
  <c r="M183" i="4" s="1"/>
  <c r="I181" i="4"/>
  <c r="M181" i="4" s="1"/>
  <c r="I177" i="4"/>
  <c r="M177" i="4" s="1"/>
  <c r="I184" i="4"/>
  <c r="M184" i="4" s="1"/>
  <c r="I180" i="4"/>
  <c r="M180" i="4" s="1"/>
  <c r="I179" i="4"/>
  <c r="M179" i="4" s="1"/>
  <c r="M214" i="4"/>
  <c r="M102" i="4"/>
  <c r="M101" i="4"/>
  <c r="M100" i="4"/>
  <c r="M99" i="4"/>
  <c r="J9" i="5" s="1"/>
  <c r="D22" i="5" s="1"/>
  <c r="D23" i="5" s="1"/>
  <c r="M98" i="4"/>
  <c r="M97" i="4"/>
  <c r="M71" i="4"/>
  <c r="M70" i="4"/>
  <c r="M69" i="4"/>
  <c r="M68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U6" i="4"/>
  <c r="U5" i="4"/>
  <c r="D24" i="5" l="1"/>
  <c r="D25" i="5"/>
  <c r="S97" i="4"/>
  <c r="S101" i="4"/>
  <c r="S179" i="4"/>
  <c r="S181" i="4"/>
  <c r="S182" i="4"/>
  <c r="S98" i="4"/>
  <c r="S102" i="4"/>
  <c r="S180" i="4"/>
  <c r="S183" i="4"/>
  <c r="S100" i="4"/>
  <c r="S177" i="4"/>
  <c r="S99" i="4"/>
  <c r="J12" i="5" s="1"/>
  <c r="F24" i="5" s="1"/>
  <c r="S214" i="4"/>
  <c r="S184" i="4"/>
  <c r="S178" i="4"/>
  <c r="P98" i="4"/>
  <c r="P100" i="4"/>
  <c r="P102" i="4"/>
  <c r="P177" i="4"/>
  <c r="P178" i="4"/>
  <c r="P179" i="4"/>
  <c r="P181" i="4"/>
  <c r="P182" i="4"/>
  <c r="P97" i="4"/>
  <c r="P99" i="4"/>
  <c r="D12" i="5" s="1"/>
  <c r="E24" i="5" s="1"/>
  <c r="P101" i="4"/>
  <c r="P180" i="4"/>
  <c r="P214" i="4"/>
  <c r="P184" i="4"/>
  <c r="P183" i="4"/>
  <c r="I210" i="4"/>
  <c r="M210" i="4" s="1"/>
  <c r="I187" i="4"/>
  <c r="M187" i="4" s="1"/>
  <c r="I151" i="4"/>
  <c r="M151" i="4" s="1"/>
  <c r="I155" i="4"/>
  <c r="M155" i="4" s="1"/>
  <c r="I148" i="4"/>
  <c r="M148" i="4" s="1"/>
  <c r="I135" i="4"/>
  <c r="M135" i="4" s="1"/>
  <c r="I8" i="4"/>
  <c r="M8" i="4" s="1"/>
  <c r="I106" i="4"/>
  <c r="M106" i="4" s="1"/>
  <c r="I110" i="4"/>
  <c r="M110" i="4" s="1"/>
  <c r="I128" i="4"/>
  <c r="M128" i="4" s="1"/>
  <c r="I220" i="4"/>
  <c r="M220" i="4" s="1"/>
  <c r="I24" i="4"/>
  <c r="M24" i="4" s="1"/>
  <c r="I138" i="4"/>
  <c r="M138" i="4" s="1"/>
  <c r="I190" i="4"/>
  <c r="M190" i="4" s="1"/>
  <c r="I195" i="4"/>
  <c r="M195" i="4" s="1"/>
  <c r="I200" i="4"/>
  <c r="M200" i="4" s="1"/>
  <c r="I20" i="4"/>
  <c r="M20" i="4" s="1"/>
  <c r="I196" i="4"/>
  <c r="M196" i="4" s="1"/>
  <c r="I199" i="4"/>
  <c r="M199" i="4" s="1"/>
  <c r="M10" i="4"/>
  <c r="I84" i="4"/>
  <c r="M84" i="4" s="1"/>
  <c r="I119" i="4"/>
  <c r="M119" i="4" s="1"/>
  <c r="I123" i="4"/>
  <c r="M123" i="4" s="1"/>
  <c r="I126" i="4"/>
  <c r="M126" i="4" s="1"/>
  <c r="I131" i="4"/>
  <c r="M131" i="4" s="1"/>
  <c r="I147" i="4"/>
  <c r="M147" i="4" s="1"/>
  <c r="I207" i="4"/>
  <c r="M207" i="4" s="1"/>
  <c r="I216" i="4"/>
  <c r="M216" i="4" s="1"/>
  <c r="I77" i="4"/>
  <c r="M77" i="4" s="1"/>
  <c r="I103" i="4"/>
  <c r="M103" i="4" s="1"/>
  <c r="I122" i="4"/>
  <c r="M122" i="4" s="1"/>
  <c r="I142" i="4"/>
  <c r="M142" i="4" s="1"/>
  <c r="I156" i="4"/>
  <c r="M156" i="4" s="1"/>
  <c r="I217" i="4"/>
  <c r="M217" i="4" s="1"/>
  <c r="I109" i="4"/>
  <c r="M109" i="4" s="1"/>
  <c r="I191" i="4"/>
  <c r="M191" i="4" s="1"/>
  <c r="I16" i="4"/>
  <c r="M16" i="4" s="1"/>
  <c r="I18" i="4"/>
  <c r="M18" i="4" s="1"/>
  <c r="I90" i="4"/>
  <c r="M90" i="4" s="1"/>
  <c r="I116" i="4"/>
  <c r="M116" i="4" s="1"/>
  <c r="I74" i="4"/>
  <c r="M74" i="4" s="1"/>
  <c r="I83" i="4"/>
  <c r="M83" i="4" s="1"/>
  <c r="I88" i="4"/>
  <c r="M88" i="4" s="1"/>
  <c r="I105" i="4"/>
  <c r="M105" i="4" s="1"/>
  <c r="I111" i="4"/>
  <c r="M111" i="4" s="1"/>
  <c r="I115" i="4"/>
  <c r="M115" i="4" s="1"/>
  <c r="I91" i="4"/>
  <c r="M91" i="4" s="1"/>
  <c r="I107" i="4"/>
  <c r="M107" i="4" s="1"/>
  <c r="I132" i="4"/>
  <c r="M132" i="4" s="1"/>
  <c r="I211" i="4"/>
  <c r="M211" i="4" s="1"/>
  <c r="I118" i="4"/>
  <c r="M118" i="4" s="1"/>
  <c r="I121" i="4"/>
  <c r="M121" i="4" s="1"/>
  <c r="I139" i="4"/>
  <c r="M139" i="4" s="1"/>
  <c r="I143" i="4"/>
  <c r="M143" i="4" s="1"/>
  <c r="I146" i="4"/>
  <c r="M146" i="4" s="1"/>
  <c r="I152" i="4"/>
  <c r="M152" i="4" s="1"/>
  <c r="I203" i="4"/>
  <c r="M203" i="4" s="1"/>
  <c r="I206" i="4"/>
  <c r="M206" i="4" s="1"/>
  <c r="I137" i="4"/>
  <c r="M137" i="4" s="1"/>
  <c r="I134" i="4"/>
  <c r="M134" i="4" s="1"/>
  <c r="I193" i="4"/>
  <c r="M193" i="4" s="1"/>
  <c r="I213" i="4"/>
  <c r="M213" i="4" s="1"/>
  <c r="I6" i="4"/>
  <c r="M6" i="4" s="1"/>
  <c r="I9" i="4"/>
  <c r="M9" i="4" s="1"/>
  <c r="I11" i="4"/>
  <c r="M11" i="4" s="1"/>
  <c r="I14" i="4"/>
  <c r="M14" i="4" s="1"/>
  <c r="I17" i="4"/>
  <c r="M17" i="4" s="1"/>
  <c r="I23" i="4"/>
  <c r="M23" i="4" s="1"/>
  <c r="I28" i="4"/>
  <c r="M28" i="4" s="1"/>
  <c r="I12" i="4"/>
  <c r="M12" i="4" s="1"/>
  <c r="I5" i="4"/>
  <c r="M5" i="4" s="1"/>
  <c r="I7" i="4"/>
  <c r="M7" i="4" s="1"/>
  <c r="I13" i="4"/>
  <c r="M13" i="4" s="1"/>
  <c r="I15" i="4"/>
  <c r="M15" i="4" s="1"/>
  <c r="I22" i="4"/>
  <c r="M22" i="4" s="1"/>
  <c r="I86" i="4"/>
  <c r="M86" i="4" s="1"/>
  <c r="I89" i="4"/>
  <c r="M89" i="4" s="1"/>
  <c r="I112" i="4"/>
  <c r="M112" i="4" s="1"/>
  <c r="I197" i="4"/>
  <c r="M197" i="4" s="1"/>
  <c r="I19" i="4"/>
  <c r="M19" i="4" s="1"/>
  <c r="I21" i="4"/>
  <c r="M21" i="4" s="1"/>
  <c r="I27" i="4"/>
  <c r="M27" i="4" s="1"/>
  <c r="I76" i="4"/>
  <c r="M76" i="4" s="1"/>
  <c r="I87" i="4"/>
  <c r="M87" i="4" s="1"/>
  <c r="I140" i="4"/>
  <c r="M140" i="4" s="1"/>
  <c r="I188" i="4"/>
  <c r="M188" i="4" s="1"/>
  <c r="I104" i="4"/>
  <c r="M104" i="4" s="1"/>
  <c r="I108" i="4"/>
  <c r="M108" i="4" s="1"/>
  <c r="I124" i="4"/>
  <c r="M124" i="4" s="1"/>
  <c r="I144" i="4"/>
  <c r="M144" i="4" s="1"/>
  <c r="I218" i="4"/>
  <c r="M218" i="4" s="1"/>
  <c r="I73" i="4"/>
  <c r="M73" i="4" s="1"/>
  <c r="I75" i="4"/>
  <c r="M75" i="4" s="1"/>
  <c r="I127" i="4"/>
  <c r="M127" i="4" s="1"/>
  <c r="I145" i="4"/>
  <c r="M145" i="4" s="1"/>
  <c r="I149" i="4"/>
  <c r="M149" i="4" s="1"/>
  <c r="I208" i="4"/>
  <c r="M208" i="4" s="1"/>
  <c r="I114" i="4"/>
  <c r="M114" i="4" s="1"/>
  <c r="I120" i="4"/>
  <c r="M120" i="4" s="1"/>
  <c r="I125" i="4"/>
  <c r="M125" i="4" s="1"/>
  <c r="I130" i="4"/>
  <c r="M130" i="4" s="1"/>
  <c r="I136" i="4"/>
  <c r="M136" i="4" s="1"/>
  <c r="I141" i="4"/>
  <c r="M141" i="4" s="1"/>
  <c r="I153" i="4"/>
  <c r="M153" i="4" s="1"/>
  <c r="I113" i="4"/>
  <c r="M113" i="4" s="1"/>
  <c r="I129" i="4"/>
  <c r="M129" i="4" s="1"/>
  <c r="I150" i="4"/>
  <c r="M150" i="4" s="1"/>
  <c r="I189" i="4"/>
  <c r="M189" i="4" s="1"/>
  <c r="I192" i="4"/>
  <c r="M192" i="4" s="1"/>
  <c r="I198" i="4"/>
  <c r="M198" i="4" s="1"/>
  <c r="I201" i="4"/>
  <c r="M201" i="4" s="1"/>
  <c r="I209" i="4"/>
  <c r="M209" i="4" s="1"/>
  <c r="I212" i="4"/>
  <c r="M212" i="4" s="1"/>
  <c r="I215" i="4"/>
  <c r="M215" i="4" s="1"/>
  <c r="I117" i="4"/>
  <c r="M117" i="4" s="1"/>
  <c r="I133" i="4"/>
  <c r="M133" i="4" s="1"/>
  <c r="I154" i="4"/>
  <c r="M154" i="4" s="1"/>
  <c r="I219" i="4"/>
  <c r="M219" i="4" s="1"/>
  <c r="I221" i="4"/>
  <c r="M221" i="4" s="1"/>
  <c r="S212" i="4" l="1"/>
  <c r="S114" i="4"/>
  <c r="S91" i="4"/>
  <c r="S191" i="4"/>
  <c r="S126" i="4"/>
  <c r="S190" i="4"/>
  <c r="S151" i="4"/>
  <c r="S133" i="4"/>
  <c r="S208" i="4"/>
  <c r="S124" i="4"/>
  <c r="S140" i="4"/>
  <c r="S89" i="4"/>
  <c r="S206" i="4"/>
  <c r="S143" i="4"/>
  <c r="S211" i="4"/>
  <c r="S115" i="4"/>
  <c r="S83" i="4"/>
  <c r="S109" i="4"/>
  <c r="S122" i="4"/>
  <c r="S207" i="4"/>
  <c r="S123" i="4"/>
  <c r="S138" i="4"/>
  <c r="S110" i="4"/>
  <c r="S135" i="4"/>
  <c r="S187" i="4"/>
  <c r="S154" i="4"/>
  <c r="S113" i="4"/>
  <c r="S127" i="4"/>
  <c r="S146" i="4"/>
  <c r="S88" i="4"/>
  <c r="S216" i="4"/>
  <c r="S128" i="4"/>
  <c r="S209" i="4"/>
  <c r="S189" i="4"/>
  <c r="S130" i="4"/>
  <c r="S75" i="4"/>
  <c r="S221" i="4"/>
  <c r="S117" i="4"/>
  <c r="S201" i="4"/>
  <c r="S150" i="4"/>
  <c r="S153" i="4"/>
  <c r="S125" i="4"/>
  <c r="S149" i="4"/>
  <c r="S108" i="4"/>
  <c r="S87" i="4"/>
  <c r="S86" i="4"/>
  <c r="S213" i="4"/>
  <c r="S137" i="4"/>
  <c r="S203" i="4"/>
  <c r="S139" i="4"/>
  <c r="S132" i="4"/>
  <c r="S111" i="4"/>
  <c r="S74" i="4"/>
  <c r="S217" i="4"/>
  <c r="S103" i="4"/>
  <c r="S147" i="4"/>
  <c r="S119" i="4"/>
  <c r="S199" i="4"/>
  <c r="S200" i="4"/>
  <c r="S106" i="4"/>
  <c r="S148" i="4"/>
  <c r="S210" i="4"/>
  <c r="S192" i="4"/>
  <c r="S136" i="4"/>
  <c r="S144" i="4"/>
  <c r="S188" i="4"/>
  <c r="S112" i="4"/>
  <c r="S134" i="4"/>
  <c r="S118" i="4"/>
  <c r="S90" i="4"/>
  <c r="S142" i="4"/>
  <c r="S219" i="4"/>
  <c r="S215" i="4"/>
  <c r="S198" i="4"/>
  <c r="S129" i="4"/>
  <c r="S141" i="4"/>
  <c r="S120" i="4"/>
  <c r="S145" i="4"/>
  <c r="S218" i="4"/>
  <c r="S104" i="4"/>
  <c r="S76" i="4"/>
  <c r="S197" i="4"/>
  <c r="S193" i="4"/>
  <c r="S152" i="4"/>
  <c r="S121" i="4"/>
  <c r="S107" i="4"/>
  <c r="S105" i="4"/>
  <c r="S116" i="4"/>
  <c r="S156" i="4"/>
  <c r="S77" i="4"/>
  <c r="S131" i="4"/>
  <c r="S84" i="4"/>
  <c r="S196" i="4"/>
  <c r="S195" i="4"/>
  <c r="S220" i="4"/>
  <c r="S155" i="4"/>
  <c r="P219" i="4"/>
  <c r="P215" i="4"/>
  <c r="P129" i="4"/>
  <c r="P145" i="4"/>
  <c r="P104" i="4"/>
  <c r="P197" i="4"/>
  <c r="P5" i="4"/>
  <c r="S5" i="4"/>
  <c r="P193" i="4"/>
  <c r="P107" i="4"/>
  <c r="P77" i="4"/>
  <c r="P131" i="4"/>
  <c r="P196" i="4"/>
  <c r="P154" i="4"/>
  <c r="P212" i="4"/>
  <c r="P192" i="4"/>
  <c r="P113" i="4"/>
  <c r="P136" i="4"/>
  <c r="P114" i="4"/>
  <c r="P127" i="4"/>
  <c r="P144" i="4"/>
  <c r="P188" i="4"/>
  <c r="S27" i="4"/>
  <c r="P27" i="4"/>
  <c r="P112" i="4"/>
  <c r="P15" i="4"/>
  <c r="S15" i="4"/>
  <c r="P12" i="4"/>
  <c r="S12" i="4"/>
  <c r="S14" i="4"/>
  <c r="P14" i="4"/>
  <c r="P134" i="4"/>
  <c r="P146" i="4"/>
  <c r="P118" i="4"/>
  <c r="P91" i="4"/>
  <c r="P88" i="4"/>
  <c r="P90" i="4"/>
  <c r="P191" i="4"/>
  <c r="P142" i="4"/>
  <c r="P216" i="4"/>
  <c r="P126" i="4"/>
  <c r="S10" i="4"/>
  <c r="P10" i="4"/>
  <c r="S20" i="4"/>
  <c r="P20" i="4"/>
  <c r="P190" i="4"/>
  <c r="P128" i="4"/>
  <c r="P151" i="4"/>
  <c r="P198" i="4"/>
  <c r="P141" i="4"/>
  <c r="P218" i="4"/>
  <c r="P22" i="4"/>
  <c r="S22" i="4"/>
  <c r="P121" i="4"/>
  <c r="P116" i="4"/>
  <c r="P156" i="4"/>
  <c r="P84" i="4"/>
  <c r="P220" i="4"/>
  <c r="P133" i="4"/>
  <c r="P209" i="4"/>
  <c r="P189" i="4"/>
  <c r="P130" i="4"/>
  <c r="P208" i="4"/>
  <c r="P75" i="4"/>
  <c r="P124" i="4"/>
  <c r="P140" i="4"/>
  <c r="S21" i="4"/>
  <c r="P21" i="4"/>
  <c r="P89" i="4"/>
  <c r="P13" i="4"/>
  <c r="S13" i="4"/>
  <c r="P28" i="4"/>
  <c r="S28" i="4"/>
  <c r="P11" i="4"/>
  <c r="S11" i="4"/>
  <c r="P206" i="4"/>
  <c r="P143" i="4"/>
  <c r="P211" i="4"/>
  <c r="P115" i="4"/>
  <c r="P83" i="4"/>
  <c r="S18" i="4"/>
  <c r="P18" i="4"/>
  <c r="P109" i="4"/>
  <c r="P122" i="4"/>
  <c r="P207" i="4"/>
  <c r="P123" i="4"/>
  <c r="P138" i="4"/>
  <c r="P110" i="4"/>
  <c r="P135" i="4"/>
  <c r="P187" i="4"/>
  <c r="P120" i="4"/>
  <c r="P76" i="4"/>
  <c r="S17" i="4"/>
  <c r="P17" i="4"/>
  <c r="S6" i="4"/>
  <c r="P6" i="4"/>
  <c r="P152" i="4"/>
  <c r="P105" i="4"/>
  <c r="P195" i="4"/>
  <c r="P8" i="4"/>
  <c r="S8" i="4"/>
  <c r="P155" i="4"/>
  <c r="P221" i="4"/>
  <c r="P117" i="4"/>
  <c r="P201" i="4"/>
  <c r="P150" i="4"/>
  <c r="P153" i="4"/>
  <c r="P125" i="4"/>
  <c r="P149" i="4"/>
  <c r="P73" i="4"/>
  <c r="S73" i="4"/>
  <c r="P108" i="4"/>
  <c r="P87" i="4"/>
  <c r="P19" i="4"/>
  <c r="S19" i="4"/>
  <c r="P86" i="4"/>
  <c r="P7" i="4"/>
  <c r="S7" i="4"/>
  <c r="S23" i="4"/>
  <c r="P23" i="4"/>
  <c r="S9" i="4"/>
  <c r="P9" i="4"/>
  <c r="P213" i="4"/>
  <c r="P137" i="4"/>
  <c r="P203" i="4"/>
  <c r="P139" i="4"/>
  <c r="P132" i="4"/>
  <c r="P111" i="4"/>
  <c r="P74" i="4"/>
  <c r="P16" i="4"/>
  <c r="S16" i="4"/>
  <c r="P217" i="4"/>
  <c r="P103" i="4"/>
  <c r="P147" i="4"/>
  <c r="P119" i="4"/>
  <c r="P199" i="4"/>
  <c r="P200" i="4"/>
  <c r="P24" i="4"/>
  <c r="S24" i="4"/>
  <c r="P106" i="4"/>
  <c r="P148" i="4"/>
  <c r="P2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Stéphane LIBERGE</author>
  </authors>
  <commentList>
    <comment ref="U4" authorId="0" shapeId="0" xr:uid="{E9C2B02F-39BB-4B5E-BBB3-5C769C39537F}">
      <text>
        <r>
          <rPr>
            <b/>
            <sz val="9"/>
            <color indexed="9"/>
            <rFont val="Tahoma"/>
            <family val="2"/>
          </rPr>
          <t>Stéphane LIBERGE:
La hauteur de chargement inclus les cales de polystirène de 10 cm. Les palettes peuvent être gerbées ou pas.</t>
        </r>
      </text>
    </comment>
  </commentList>
</comments>
</file>

<file path=xl/sharedStrings.xml><?xml version="1.0" encoding="utf-8"?>
<sst xmlns="http://schemas.openxmlformats.org/spreadsheetml/2006/main" count="1352" uniqueCount="389">
  <si>
    <t>Marchés</t>
  </si>
  <si>
    <t>m²</t>
  </si>
  <si>
    <t>N° REFERENCE 
ARTICLE</t>
  </si>
  <si>
    <t>SOL</t>
  </si>
  <si>
    <t>TOIT TERRASSE BETON</t>
  </si>
  <si>
    <t>TOIT TERRASSE ACIER</t>
  </si>
  <si>
    <t>NON</t>
  </si>
  <si>
    <t>5411545022764</t>
  </si>
  <si>
    <t>ACOU-
STIQUE</t>
  </si>
  <si>
    <t>TOITURE INCLINEE</t>
  </si>
  <si>
    <t>MUR</t>
  </si>
  <si>
    <t>EPAISSEUR
(mm)</t>
  </si>
  <si>
    <t>Nous consulter</t>
  </si>
  <si>
    <t>GAMME AGRICOLE</t>
  </si>
  <si>
    <t>GTIN /EAN13
ARTICLE</t>
  </si>
  <si>
    <t>Not defined</t>
  </si>
  <si>
    <t>Nbre de m² / DEMI-CAMION</t>
  </si>
  <si>
    <t>Conditionnement 1</t>
  </si>
  <si>
    <t>Conditionnement 2</t>
  </si>
  <si>
    <t>Conditionnenent 3</t>
  </si>
  <si>
    <t>Conditionnement 4</t>
  </si>
  <si>
    <t>Nbre de m² / CAMION</t>
  </si>
  <si>
    <t>Unité1</t>
  </si>
  <si>
    <t>Unité2</t>
  </si>
  <si>
    <t>Nbre de m² / Paquet</t>
  </si>
  <si>
    <t>Nbre de Paquets / Palette</t>
  </si>
  <si>
    <t>Nbre de Panneaux /
Palette</t>
  </si>
  <si>
    <t>Nbre de m² / Palette</t>
  </si>
  <si>
    <t>Nbre de Palettes / DEMI-CAMION</t>
  </si>
  <si>
    <t>Unité3</t>
  </si>
  <si>
    <t>Nbre de Palettes / CAMION</t>
  </si>
  <si>
    <t>Unité4</t>
  </si>
  <si>
    <t>Nbre de pièces / Paquet</t>
  </si>
  <si>
    <t>EUROSOL® 20 mm 1200 x 1000 - Bords droits 4 côtés</t>
  </si>
  <si>
    <t>EUROSOL® 30 mm 1200 x 1000 - Bords rainurés-bouvetés 4 côtés</t>
  </si>
  <si>
    <t>EUROSOL® 40 mm 1200 x 1000 - Bords rainurés-bouvetés 4 côtés</t>
  </si>
  <si>
    <t>EUROSOL® 44 mm 1200 x 1000 - Bords rainurés-bouvetés 4 côtés</t>
  </si>
  <si>
    <t>EUROSOL® 50 mm 1200 x 1000 - Bords rainurés-bouvetés 4 côtés</t>
  </si>
  <si>
    <t>EUROSOL® 53 mm 1200 x 1000 - Bords rainurés-bouvetés 4 côtés</t>
  </si>
  <si>
    <t>EUROSOL® 58 mm 1200 x 1000 - Bords rainurés-bouvetés 4 côtés</t>
  </si>
  <si>
    <t>EUROSOL® 66 mm 1200 x 1000 - Bords rainurés-bouvetés 4 côtés</t>
  </si>
  <si>
    <t>EUROSOL® 70 mm 1200 x 1000 - Bords rainurés-bouvetés 4 côtés</t>
  </si>
  <si>
    <t>EUROSOL® 77 mm 1200 x 1000 - Bords rainurés-bouvetés 4 côtés</t>
  </si>
  <si>
    <t>EUROSOL® 82 mm 1200 x 1000 - Bords rainurés-bouvetés 4 côtés</t>
  </si>
  <si>
    <t>EUROSOL® 90 mm 1200 x 1000 - Bords rainurés-bouvetés 4 côtés</t>
  </si>
  <si>
    <t>EUROSOL® 103 mm 1200 x 1000 - Bords rainurés-bouvetés 4 côtés</t>
  </si>
  <si>
    <t>EUROSOL® 110 mm 1200 x 1000 - Bords rainurés-bouvetés 4 côtés</t>
  </si>
  <si>
    <t>EUROSOL® 120 mm 1200 x 1000 - Bords rainurés-bouvetés 4 côtés</t>
  </si>
  <si>
    <t>EUROTOIT® 60 mm 2400 x 1200 - Bords rainurés-bouvetés 4 côtés</t>
  </si>
  <si>
    <t>EUROTOIT® 88 mm 2400 x 1200 - Bords rainurés-bouvetés 4 côtés</t>
  </si>
  <si>
    <t>EUROTOIT® 110 mm 2400 x 1200 - Bords rainurés-bouvetés 4 côtés</t>
  </si>
  <si>
    <t>EUROTOIT® 132 mm 2400 x 1200 - Bords rainurés-bouvetés 4 côtés</t>
  </si>
  <si>
    <t>EUROTOIT® 160 mm 2400 x 1200 - Bords rainurés-bouvetés 4 côtés</t>
  </si>
  <si>
    <t>EUROTOIT® 100 mm 1200 x 1000 - Bords rainurés-bouvetés 4 côtés</t>
  </si>
  <si>
    <t>EUROTOIT® 120 mm 1200 x 1000 - Bords rainurés-bouvetés 4 côtés</t>
  </si>
  <si>
    <t>EUROTOIT® 132 mm 1200 x 1000 - Bords rainurés-bouvetés 4 côtés</t>
  </si>
  <si>
    <t>EUROTOIT® 160 mm 1200 x 1000 - Bords rainurés-bouvetés 4 côtés</t>
  </si>
  <si>
    <t xml:space="preserve">L-MENTS® 145 mm 3600 x 1200 - Bords feuillurés 2 longueurs </t>
  </si>
  <si>
    <t xml:space="preserve">L-MENTS® 145 mm 3900 x 1200 - Bords feuillurés 2 longueurs </t>
  </si>
  <si>
    <t xml:space="preserve">L-MENTS® 145 mm 4200 x 1200 - Bords feuillurés 2 longueurs </t>
  </si>
  <si>
    <t xml:space="preserve">L-MENTS® 145 mm 4500 x 1200 - Bords feuillurés 2 longueurs </t>
  </si>
  <si>
    <t xml:space="preserve">L-MENTS® 145 mm 4800 x 1200 - Bords feuillurés 2 longueurs </t>
  </si>
  <si>
    <t xml:space="preserve">L-MENTS® 145 mm 5100 x 1200 - Bords feuillurés 2 longueurs </t>
  </si>
  <si>
    <t xml:space="preserve">L-MENTS® 145 mm 5400 x 1200 - Bords feuillurés 2 longueurs </t>
  </si>
  <si>
    <t xml:space="preserve">L-MENTS® 145 mm 5700 x 1200 - Bords feuillurés 2 longueurs </t>
  </si>
  <si>
    <t xml:space="preserve">L-MENTS® 145 mm 6000 x 1200 - Bords feuillurés 2 longueurs </t>
  </si>
  <si>
    <t xml:space="preserve">L-MENTS® 145 mm 6300 x 1200 - Bords feuillurés 2 longueurs </t>
  </si>
  <si>
    <t xml:space="preserve">L-MENTS® 145 mm 6500 x 1200 - Bords feuillurés 2 longueurs </t>
  </si>
  <si>
    <t xml:space="preserve">L-MENTS® 160 mm 3600 x 1200 - Bords feuillurés 2 longueurs </t>
  </si>
  <si>
    <t xml:space="preserve">L-MENTS® 160 mm 3900 x 1200 - Bords feuillurés 2 longueurs </t>
  </si>
  <si>
    <t xml:space="preserve">L-MENTS® 160 mm 4200 x 1200 - Bords feuillurés 2 longueurs </t>
  </si>
  <si>
    <t xml:space="preserve">L-MENTS® 160 mm 4500 x 1200 - Bords feuillurés 2 longueurs </t>
  </si>
  <si>
    <t xml:space="preserve">L-MENTS® 160 mm 4800 x 1200 - Bords feuillurés 2 longueurs </t>
  </si>
  <si>
    <t xml:space="preserve">L-MENTS® 160 mm 5100 x 1200 - Bords feuillurés 2 longueurs </t>
  </si>
  <si>
    <t xml:space="preserve">L-MENTS® 160 mm 5400 x 1200 - Bords feuillurés 2 longueurs </t>
  </si>
  <si>
    <t xml:space="preserve">L-MENTS® 160 mm 5700 x 1200 - Bords feuillurés 2 longueurs </t>
  </si>
  <si>
    <t xml:space="preserve">L-MENTS® 160 mm 6000 x 1200 - Bords feuillurés 2 longueurs </t>
  </si>
  <si>
    <t xml:space="preserve">L-MENTS® 160 mm 6300 x 1200 - Bords feuillurés 2 longueurs </t>
  </si>
  <si>
    <t xml:space="preserve">L-MENTS® 160 mm 6500 x 1200 - Bords feuillurés 2 longueurs </t>
  </si>
  <si>
    <t xml:space="preserve">L-MENTS® 180 mm 3600 x 1200 - Bords feuillurés 2 longueurs </t>
  </si>
  <si>
    <t xml:space="preserve">L-MENTS® 180 mm 3900 x 1200 - Bords feuillurés 2 longueurs </t>
  </si>
  <si>
    <t xml:space="preserve">L-MENTS® 180 mm 4200 x 1200 - Bords feuillurés 2 longueurs </t>
  </si>
  <si>
    <t xml:space="preserve">L-MENTS® 180 mm 4500 x 1200 - Bords feuillurés 2 longueurs </t>
  </si>
  <si>
    <t xml:space="preserve">L-MENTS® 180 mm 4800 x 1200 - Bords feuillurés 2 longueurs </t>
  </si>
  <si>
    <t xml:space="preserve">L-MENTS® 180 mm 5100 x 1200 - Bords feuillurés 2 longueurs </t>
  </si>
  <si>
    <t xml:space="preserve">L-MENTS® 180 mm 5400 x 1200 - Bords feuillurés 2 longueurs </t>
  </si>
  <si>
    <t xml:space="preserve">L-MENTS® 180 mm 5700 x 1200 - Bords feuillurés 2 longueurs </t>
  </si>
  <si>
    <t xml:space="preserve">L-MENTS® 180 mm 6000 x 1200 - Bords feuillurés 2 longueurs </t>
  </si>
  <si>
    <t xml:space="preserve">L-MENTS® 180 mm 6300 x 1200 - Bords feuillurés 2 longueurs </t>
  </si>
  <si>
    <t xml:space="preserve">L-MENTS® 180 mm 6500 x 1200 - Bords feuillurés 2 longueurs </t>
  </si>
  <si>
    <t xml:space="preserve">L-MENTS® 200 mm 3600 x 1200 - Bords feuillurés 2 longueurs </t>
  </si>
  <si>
    <t xml:space="preserve">L-MENTS® 200 mm 3900 x 1200 - Bords feuillurés 2 longueurs </t>
  </si>
  <si>
    <t xml:space="preserve">L-MENTS® 200 mm 4200 x 1200 - Bords feuillurés 2 longueurs </t>
  </si>
  <si>
    <t xml:space="preserve">L-MENTS® 200 mm 4500 x 1200 - Bords feuillurés 2 longueurs </t>
  </si>
  <si>
    <t xml:space="preserve">L-MENTS® 200 mm 4800 x 1200 - Bords feuillurés 2 longueurs </t>
  </si>
  <si>
    <t xml:space="preserve">L-MENTS® 200 mm 5100 x 1200 - Bords feuillurés 2 longueurs </t>
  </si>
  <si>
    <t xml:space="preserve">L-MENTS® 200 mm 5400 x 1200 - Bords feuillurés 2 longueurs </t>
  </si>
  <si>
    <t xml:space="preserve">L-MENTS® 200 mm 5700 x 1200 - Bords feuillurés 2 longueurs </t>
  </si>
  <si>
    <t xml:space="preserve">L-MENTS® 200 mm 6000 x 1200 - Bords feuillurés 2 longueurs </t>
  </si>
  <si>
    <t xml:space="preserve">L-MENTS® 200 mm 6300 x 1200 - Bords feuillurés 2 longueurs </t>
  </si>
  <si>
    <t xml:space="preserve">L-MENTS® 200 mm 6500 x 1200 - Bords feuillurés 2 longueurs </t>
  </si>
  <si>
    <t>EUROTHANE G® BA13 41+13 mm 2600 x 1200 - Bord droits amincis 2 longueurs</t>
  </si>
  <si>
    <t>EUROTHANE G® BA13 62+13 mm 2600 x 1200 - Bord droits amincis 2 longueurs</t>
  </si>
  <si>
    <t>EUROTHANE G® BA13 82+13 mm 2600 x 1200 - Bord droits amincis 2 longueurs</t>
  </si>
  <si>
    <t>EUROTHANE G® BA13 103+13 mm 2600 x 1200 - Bord droits amincis 2 longueurs</t>
  </si>
  <si>
    <t>EUROTHANE G® BA13 123+13 mm 2600 x 1200 - Bord droits amincis 2 longueurs</t>
  </si>
  <si>
    <t>EUROTHANE G® BA13 41+13 mm 2700 x 1200 - Bord droits amincis 2 longueurs</t>
  </si>
  <si>
    <t>EUROTHANE G® BA13 62+13 mm 2700 x 1200 - Bord droits amincis 2 longueurs</t>
  </si>
  <si>
    <t>EUROTHANE G® BA13 82+13 mm 2700 x 1200 - Bord droits amincis 2 longueurs</t>
  </si>
  <si>
    <t>EUROTHANE G® BA13 103+13 mm 2700 x 1200 - Bord droits amincis 2 longueurs</t>
  </si>
  <si>
    <t>EUROTHANE G® BA13 123+13 mm 2700 x 1200 - Bord droits amincis 2 longueurs</t>
  </si>
  <si>
    <t>EUROTHANE G® BA13 HYDRO 62+13 mm 2600 x 1200 - Bord droits amincis 2 longueurs</t>
  </si>
  <si>
    <t>EUROTHANE G® BA13 HYDRO 82+13 mm 2600 x 1200 - Bord droits amincis 2 longueurs</t>
  </si>
  <si>
    <t>EUROTHANE G® BA13 HYDRO 103+13 mm 2600 x 1200 - Bord droits amincis 2 longueurs</t>
  </si>
  <si>
    <t>EUROTHANE G® BA13 HYDRO 123+13 mm 2600 x 1200 - Bord droits amincis 2 longueurs</t>
  </si>
  <si>
    <t>EUROTHANE MUR ® 62 mm 2600 x 1200 - Bords rainurés-bouvetés 2 largeurs</t>
  </si>
  <si>
    <t>EUROTHANE MUR ® 82 mm 2600 x 1200 - Bords rainurés-bouvetés 2 largeurs</t>
  </si>
  <si>
    <t>EUROTHANE MUR ® 103 mm 2600 x 1200 - Bords rainurés-bouvetés 2 largeurs</t>
  </si>
  <si>
    <t>EUROTHANE MUR ® 110 mm 2600 x 1200 - Bords rainurés-bouvetés 2 largeurs</t>
  </si>
  <si>
    <t>EUROTHANE MUR ® 123 mm 2600 x 1200 - Bords rainurés-bouvetés 2 largeurs</t>
  </si>
  <si>
    <t>EUROTHANE MUR ® 62 mm 2700 x 1200 - Bords rainurés-bouvetés 2 largeurs</t>
  </si>
  <si>
    <t>EUROTHANE MUR ® 82 mm 2700 x 1200 - Bords rainurés-bouvetés 2 largeurs</t>
  </si>
  <si>
    <t>EUROTHANE MUR ® 103 mm 2700 x 1200 - Bords rainurés-bouvetés 2 largeurs</t>
  </si>
  <si>
    <t>EUROTHANE MUR ® 110 mm 2700 x 1200 - Bords rainurés-bouvetés 2 largeurs</t>
  </si>
  <si>
    <t>EUROTHANE MUR ® 123 mm 2700 x 1200 - Bords rainurés-bouvetés 2 largeurs</t>
  </si>
  <si>
    <t>POWERWALL® 40 mm 1200 x 600 - Bords rainurés-bouvetés 4 côtés</t>
  </si>
  <si>
    <t>POWERWALL® 60 mm 1200 x 600 - Bords rainurés-bouvetés 4 côtés</t>
  </si>
  <si>
    <t>POWERWALL® 82 mm 1200 x 600 - Bords rainurés-bouvetés 4 côtés</t>
  </si>
  <si>
    <t>POWERWALL® 90 mm 1200 x 600 - Bords rainurés-bouvetés 4 côtés</t>
  </si>
  <si>
    <t>POWERWALL® 100 mm 1200 x 600 - Bords rainurés-bouvetés 4 côtés</t>
  </si>
  <si>
    <t>POWERWALL® 120 mm 1200 x 600 - Bords rainurés-bouvetés 4 côtés</t>
  </si>
  <si>
    <t>EUROWALL® 30 mm 1200 x 600 - Bords rainurés-bouvetés 4 côtés</t>
  </si>
  <si>
    <t>EUROWALL® 60 mm 1200 x 600 - Bords rainurés-bouvetés 4 côtés</t>
  </si>
  <si>
    <t>EUROWALL® 70 mm 1200 x 600 - Bords rainurés-bouvetés 4 côtés</t>
  </si>
  <si>
    <t>EUROWALL® 82 mm 1200 x 600 - Bords rainurés-bouvetés 4 côtés</t>
  </si>
  <si>
    <t>EUROWALL® 100 mm 1200 x 600 - Bords rainurés-bouvetés 4 côtés</t>
  </si>
  <si>
    <t>EUROWALL® 120 mm 1200 x 600 - Bords rainurés-bouvetés 4 côtés</t>
  </si>
  <si>
    <t>EUROTHANE Br-Bio® 30 mm 600 x 600 - Bords droits 4 côtés</t>
  </si>
  <si>
    <t>EUROTHANE Br-Bio® 40 mm 600 x 600 - Bords droits 4 côtés</t>
  </si>
  <si>
    <t>EUROTHANE Br-Bio® 50 mm 600 x 600 - Bords droits 4 côtés</t>
  </si>
  <si>
    <t>EUROTHANE Br-Bio® 60 mm 600 x 600 - Bords droits 4 côtés</t>
  </si>
  <si>
    <t>EUROTHANE Br-Bio® 70 mm 600 x 600 - Bords droits 4 côtés</t>
  </si>
  <si>
    <t>EUROTHANE Br-Bio® 80 mm 600 x 600 - Bords droits 4 côtés</t>
  </si>
  <si>
    <t>EUROTHANE Br-Bio® 90 mm 600 x 600 - Bords droits 4 côtés</t>
  </si>
  <si>
    <t>EUROTHANE Br-Bio® 100 mm 600 x 600 - Bords droits 4 côtés</t>
  </si>
  <si>
    <t>EUROTHANE Br-Bio® 110 mm 600 x 600 - Bords droits 4 côtés</t>
  </si>
  <si>
    <t>EUROTHANE Br-Bio® 120 mm 600 x 600 - Bords droits 4 côtés</t>
  </si>
  <si>
    <t>EUROTHANE Br-Bio® 132 mm 600 x 600 - Bords droits 4 côtés</t>
  </si>
  <si>
    <t>EUROTHANE Br-Bio® 140 mm 600 x 600 - Bords droits 4 côtés</t>
  </si>
  <si>
    <t>EUROTHANE Br-Bio® 150 mm 600 x 600 - Bords droits 4 côtés</t>
  </si>
  <si>
    <t>EUROTHANE Br-Bio® 160 mm 600 x 600 - Bords droits 4 côtés</t>
  </si>
  <si>
    <t>EUROTHANE AUTOPRO SI® 30 mm 600 x 600 - Bords droits 4 côtés</t>
  </si>
  <si>
    <t>EUROTHANE AUTOPRO SI® 40 mm 600 x 600 - Bords droits 4 côtés</t>
  </si>
  <si>
    <t>EUROTHANE AUTOPRO SI® 50 mm 600 x 600 - Bords droits 4 côtés</t>
  </si>
  <si>
    <t>EUROTHANE AUTOPRO SI® 60 mm 600 x 600 - Bords droits 4 côtés</t>
  </si>
  <si>
    <t>EUROTHANE AUTOPRO SI® 70 mm 600 x 600 - Bords droits 4 côtés</t>
  </si>
  <si>
    <t>EUROTHANE AUTOPRO SI® 80 mm 600 x 600 - Bords droits 4 côtés</t>
  </si>
  <si>
    <t>EUROTHANE AUTOPRO SI® 90 mm 600 x 600 - Bords droits 4 côtés</t>
  </si>
  <si>
    <t>EUROTHANE AUTOPRO SI® 100 mm 600 x 600 - Bords droits 4 côtés</t>
  </si>
  <si>
    <t>EUROTHANE AUTOPRO SI® 110 mm 600 x 600 - Bords droits 4 côtés</t>
  </si>
  <si>
    <t>EUROTHANE AUTOPRO SI® 120 mm 600 x 600 - Bords droits 4 côtés</t>
  </si>
  <si>
    <t>EUROTHANE AUTOPRO SI® 132 mm 600 x 600 - Bords droits 4 côtés</t>
  </si>
  <si>
    <t>EUROTHANE AUTOPRO SI® 140 mm 600 x 600 - Bords droits 4 côtés</t>
  </si>
  <si>
    <t>EUROTHANE AUTOPRO SI® 150 mm 600 x 600 - Bords droits 4 côtés</t>
  </si>
  <si>
    <t>EUROTHANE AUTOPRO SI® 160 mm 600 x 600 - Bords droits 4 côtés</t>
  </si>
  <si>
    <t>EUROTHANE Bi-4® 30 mm 1200 x 600 - Bords droits 4 côtés</t>
  </si>
  <si>
    <t>EUROTHANE Bi-4® 40 mm 1200 x 600 - Bords droits 4 côtés</t>
  </si>
  <si>
    <t>EUROTHANE Bi-4® 50 mm 1200 x 600 - Bords droits 4 côtés</t>
  </si>
  <si>
    <t>EUROTHANE Bi-4® 60 mm 1200 x 600 - Bords droits 4 côtés</t>
  </si>
  <si>
    <t>EUROTHANE Bi-4® 70 mm 1200 x 600 - Bords droits 4 côtés</t>
  </si>
  <si>
    <t>EUROTHANE Bi-4® 80 mm 1200 x 600 - Bords droits 4 côtés</t>
  </si>
  <si>
    <t>EUROTHANE Bi-4® 91 mm 1200 x 600 - Bords droits 4 côtés</t>
  </si>
  <si>
    <t>EUROTHANE Bi-4® 100 mm 1200 x 600 - Bords droits 4 côtés</t>
  </si>
  <si>
    <t>EUROTHANE Bi-4® 110 mm 1200 x 600 - Bords droits 4 côtés</t>
  </si>
  <si>
    <t>EUROTHANE Bi-4® 120 mm 1200 x 600 - Bords droits 4 côtés</t>
  </si>
  <si>
    <t>EUROTHANE SILVER A® 50A 30/55 mm 1200 x 600 - Bords droits 4 côtés</t>
  </si>
  <si>
    <t>EUROTHANE SILVER A® 50B 55/80 mm 1200 x 600 - Bords droits 4 côtés</t>
  </si>
  <si>
    <t>EUROTHANE SILVER A® 50C 80/105 mm 1200 x 600 - Bords droits 4 côtés</t>
  </si>
  <si>
    <t>EUROTHANE SILVER A® 50D 105/130 mm 1200 x 600 - Bords droits 4 côtés</t>
  </si>
  <si>
    <t>EUROTHANE SILVER A® 80A 30/45 mm 1200 x 1200 - Bords droits 4 côtés</t>
  </si>
  <si>
    <t>EUROTHANE SILVER A® 80B 45/60 mm 1200 x 1200 - Bords droits 4 côtés</t>
  </si>
  <si>
    <t>EUROTHANE SILVER A® 80C 60/75 mm 1200 x 1200 - Bords droits 4 côtés</t>
  </si>
  <si>
    <t>EUROTHANE SILVER A® 80D 75/90 mm 1200 x 1200 - Bords droits 4 côtés</t>
  </si>
  <si>
    <t>EUROTHANE SILVER A® 80E 90/105 mm 1200 x 1200 - Bords droits 4 côtés</t>
  </si>
  <si>
    <t>EUROTHANE SILVER A® 80F 105/120 mm 1200 x 1200 - Bords droits 4 côtés</t>
  </si>
  <si>
    <t>DECK-VQ® 40 mm 300 x 600 - Bords droits 4 côtés</t>
  </si>
  <si>
    <t>DECK-VQ® 40 mm 300 x 1200 - Bords droits 4 côtés</t>
  </si>
  <si>
    <t>DECK-VQ® 40 mm 600 x 600 - Bords droits 4 côtés</t>
  </si>
  <si>
    <t>DECK-VQ® 40 mm 600 x 1200 - Bords droits 4 côtés</t>
  </si>
  <si>
    <t>DECK-VQ® 45 mm 300 x 600 - Bords droits 4 côtés</t>
  </si>
  <si>
    <t>DECK-VQ® 45 mm 300 x 1200 - Bords droits 4 côtés</t>
  </si>
  <si>
    <t>DECK-VQ® 45 mm 600 x 600 - Bords droits 4 côtés</t>
  </si>
  <si>
    <t>DECK-VQ® 45 mm 600 x 1200 - Bords droits 4 côtés</t>
  </si>
  <si>
    <t>DECK-VQ® 50 mm 300 x 600 - Bords droits 4 côtés</t>
  </si>
  <si>
    <t>DECK-VQ® 50 mm 300 x 1200 - Bords droits 4 côtés</t>
  </si>
  <si>
    <t>DECK-VQ® 50 mm 600 x 600 - Bords droits 4 côtés</t>
  </si>
  <si>
    <t>DECK-VQ® 50 mm 600 x 1200 - Bords droits 4 côtés</t>
  </si>
  <si>
    <t>DECK-VQ® 60 mm 300 x 600 - Bords droits 4 côtés</t>
  </si>
  <si>
    <t>DECK-VQ® 60 mm 300 x 1200 - Bords droits 4 côtés</t>
  </si>
  <si>
    <t>DECK-VQ® 60 mm 600 x 600 - Bords droits 4 côtés</t>
  </si>
  <si>
    <t>DECK-VQ® 60 mm 600 x 1200 - Bords droits 4 côtés</t>
  </si>
  <si>
    <t>DECK-VQ® 70 mm 300 x 600 - Bords droits 4 côtés</t>
  </si>
  <si>
    <t>DECK-VQ® 70 mm 300 x 1200 - Bords droits 4 côtés</t>
  </si>
  <si>
    <t>DECK-VQ® 70 mm 600 x 600 - Bords droits 4 côtés</t>
  </si>
  <si>
    <t>DECK-VQ® 70 mm 600 x 1200 - Bords droits 4 côtés</t>
  </si>
  <si>
    <t>EUROTAN® 40 mm 2400 x 1200 - Bords droits 4 côtés</t>
  </si>
  <si>
    <t>EUROTAN® 60 mm 2400 x 1200 - Bords droits 4 côtés</t>
  </si>
  <si>
    <t>EUROTAN® 70 mm 2400 x 1200 - Bords droits 4 côtés</t>
  </si>
  <si>
    <t>EUROTAN® 80 mm 1200 x 1000 - Bords feuillurés 4 côtés</t>
  </si>
  <si>
    <t>EUROTAN® 100 mm 1200 x 1000 - Bords feuillurés 4 côtés</t>
  </si>
  <si>
    <t>EUROTAN® 120 mm 1200 x 1000 - Bords feuillurés 4 côtés</t>
  </si>
  <si>
    <t>EUROTAN® 130 mm 1200 x 1000 - Bords feuillurés 4 côtés</t>
  </si>
  <si>
    <t>EUROTAN® 140 mm 1200 x 1000 - Bords feuillurés 4 côtés</t>
  </si>
  <si>
    <t>EUROTAN® 150 mm 1200 x 1000 - Bords feuillurés 4 côtés</t>
  </si>
  <si>
    <t>EUROTAN® 160 mm 1200 x 1000 - Bords feuillurés 4 côtés</t>
  </si>
  <si>
    <t>POWERDECK® 30 mm 1200 x 1000 - Bords droits 4 côtés</t>
  </si>
  <si>
    <t>POWERDECK® 40 mm 1200 x 1000 - Bords droits 4 côtés</t>
  </si>
  <si>
    <t>POWERDECK® 50 mm 1200 x 1000 - Bords droits 4 côtés</t>
  </si>
  <si>
    <t>POWERDECK® 60 mm 1200 x 1000 - Bords droits 4 côtés</t>
  </si>
  <si>
    <t>POWERDECK® 70 mm 1200 x 1000 - Bords droits 4 côtés</t>
  </si>
  <si>
    <t>POWERDECK® 80 mm 1200 x 1000 - Bords feuillurés 4 côtés</t>
  </si>
  <si>
    <t>POWERDECK® 100 mm 1200 x 1000 - Bords feuillurés 4 côtés</t>
  </si>
  <si>
    <t>POWERDECK® 110 mm 1200 x 1000 - Bords feuillurés 4 côtés</t>
  </si>
  <si>
    <t>POWERDECK® 120 mm 1200 x 1000 - Bords feuillurés 4 côtés</t>
  </si>
  <si>
    <t>POWERDECK® 30 mm 2500 x 1200 - Bords droits 4 côtés</t>
  </si>
  <si>
    <t>POWERDECK® 40 mm 2500 x 1200 - Bords droits 4 côtés</t>
  </si>
  <si>
    <t>POWERDECK® 50 mm 2500 x 1200 - Bords droits 4 côtés</t>
  </si>
  <si>
    <t>POWERDECK® 60 mm 2500 x 1200 - Bords droits 4 côtés</t>
  </si>
  <si>
    <t>POWERDECK® 70 mm 2500 x 1200 - Bords droits 4 côtés</t>
  </si>
  <si>
    <t>POWERDECK® 80 mm 2500 x 1200 - Bords feuillurés 4 côtés</t>
  </si>
  <si>
    <t>POWERDECK® 90 mm 2500 x 1200 - Bords feuillurés 4 côtés</t>
  </si>
  <si>
    <t>POWERDECK® 100 mm 2500 x 1200 - Bords feuillurés 4 côtés</t>
  </si>
  <si>
    <t>POWERDECK® Bande 40 mm 300 x 220 x 1200 - Trapézoïdales 2 longueurs</t>
  </si>
  <si>
    <t>POWERDECK® Bande 40 mm 220 x 140 x 1200 - Trapézoïdales 2 longueurs</t>
  </si>
  <si>
    <t>POWERDECK® F (F) 30 mm 1200 x 600 - Bords droits 4 côtés</t>
  </si>
  <si>
    <t>POWERDECK® F (F) 40 mm 1200 x 600 - Bords droits 4 côtés</t>
  </si>
  <si>
    <t>POWERDECK® F (F) 50 mm 1200 x 600 - Bords droits 4 côtés</t>
  </si>
  <si>
    <t>POWERDECK® F (F) 60 mm 1200 x 600 - Bords droits 4 côtés</t>
  </si>
  <si>
    <t>POWERDECK® F (F) 70 mm 1200 x 600 - Bords droits 4 côtés</t>
  </si>
  <si>
    <t>POWERDECK® F (F) 80 mm 1200 x 600 - Bords droits 4 côtés</t>
  </si>
  <si>
    <t>POWERDECK® F (F) 100 mm 1200 x 600 - Bords droits 4 côtés</t>
  </si>
  <si>
    <t>POWERDECK® F (F) 120 mm 1200 x 600 - Bords droits 4 côtés</t>
  </si>
  <si>
    <t>POWERDECK® F (F) 80 mm 1200 x 600 - Bords feuillurés 4 côtés</t>
  </si>
  <si>
    <t>POWERDECK® F (F) 60 mm 1200 x 1000 - Bords feuillurés 4 côtés</t>
  </si>
  <si>
    <t>POWERDECK® F (F) 70 mm 1200 x 1000 - Bords feuillurés 4 côtés</t>
  </si>
  <si>
    <t>POWERDECK® F (F) 50 mm 1200 x 1000 - Bords droits 4 côtés</t>
  </si>
  <si>
    <t>POWERDECK® F (F) 30 mm 2500 x 1200 - Bords droits 4 côtés</t>
  </si>
  <si>
    <t>SILENTWALL® 40 mm 1200 x 600 - Bords droits 4 côtés</t>
  </si>
  <si>
    <t>SILENTWALL® 40 mm 2500 x 600 - Bords droits 4 côtés</t>
  </si>
  <si>
    <t>SILENTWALL® 40 mm 2600 x 1200 - Bords droits 4 côtés</t>
  </si>
  <si>
    <t>EUROTHANE AL® 30 mm Larg 1227 Long ≤ 13 m - Bords rebordés 2 longueurs</t>
  </si>
  <si>
    <t>EUROTHANE AL® 40 mm Larg 1227 Long ≤ 13 m - Bords rebordés 2 longueurs</t>
  </si>
  <si>
    <t>EUROTHANE AL® 50 mm Larg 1227 Long ≤ 13 m - Bords rebordés 2 longueurs</t>
  </si>
  <si>
    <t>EUROTHANE AL® 40 mm Larg 1227 Long ≤ 13 m - Bords rebordés-rainurés 2 Longueurs</t>
  </si>
  <si>
    <t>EUROTHANE AL® 50 mm Larg 1227 Long ≤ 13 m - Bords rebordés-rainurés 2 Longueurs</t>
  </si>
  <si>
    <t>EUROTHANE AL® 60 mm Larg 1227 Long ≤ 13 m - Bords rebordés-rainurés 2 Longueurs</t>
  </si>
  <si>
    <t>EUROTHANE AL® 40 mm Larg 1200 (utile 1180) Long ≤ 13 m - Bords feuillurés-rainurés 2 Longueurs</t>
  </si>
  <si>
    <t>EUROTHANE AL® 50 mm Larg 1200 (utile 1180) Long ≤ 13 m - Bords feuillurés-rainurés 2 Longueurs</t>
  </si>
  <si>
    <t>EUROTHANE AL® 60 mm Larg 1200 (utile 1180) Long ≤ 13 m - Bords feuillurés-rainurés 2 Longueurs</t>
  </si>
  <si>
    <t>EUROTHANE AL® 70 mm Larg 1200 (utile 1180) Long ≤ 13 m - Bords feuillurés-rainurés 2 Longueurs</t>
  </si>
  <si>
    <t>EUROTHANE AL® 80 mm Larg 1200 (utile 1180) Long ≤ 13 m - Bords feuillurés-rainurés 2 Longueurs</t>
  </si>
  <si>
    <t>EUROTHANE AL® 100 mm Larg 1200 (utile 1180) Long ≤ 13 m - Bords feuillurés-rainurés 2 Longueurs</t>
  </si>
  <si>
    <t>EUROTHANE AL® 120 mm Larg 1200 (utile 1180) Long ≤ 13 m - Bords feuillurés-rainurés 2 Longueurs</t>
  </si>
  <si>
    <t>EUROTHANE AL® 40 mm Larg 1200 Long ≤ 13 m - Bords droits 4 côtés</t>
  </si>
  <si>
    <t>EUROTHANE AL® 50 mm Larg 1200 Long ≤ 13 m - Bords droits 4 côtés</t>
  </si>
  <si>
    <t>EUROTHANE AL® 60 mm Larg 1200 Long ≤ 13 m - Bords droits 4 côtés</t>
  </si>
  <si>
    <t>EUROTHANE AL® 80 mm Larg 1200 Long ≤ 13 m - Bords droits 4 côtés</t>
  </si>
  <si>
    <t>EUROTHANE AL® 100 mm Larg 1200 Long ≤ 13 m - Bords droits 4 côtés</t>
  </si>
  <si>
    <t>EUROTHANE AL® 120 mm Larg 1200 Long ≤ 13 m - Bords droits 4 côtés</t>
  </si>
  <si>
    <t>POWERLINE® 30 mm Larg 1227 Long ≤ 13 m - Bords rebordés 2 longueurs</t>
  </si>
  <si>
    <t>POWERLINE® 40 mm Larg 1227 Long ≤ 13 m - Bords rebordés 2 longueurs</t>
  </si>
  <si>
    <t>POWERLINE® 50 mm Larg 1227 Long ≤ 13 m - Bords rebordés 2 longueurs</t>
  </si>
  <si>
    <t>POWERLINE® 40 mm Larg 1227 Long ≤ 13 m - Bords rebordés-rainurés 2 Longueurs</t>
  </si>
  <si>
    <t>POWERLINE® 50 mm Larg 1227 Long ≤13 m - Bords rebordés-rainurés 2 Longueurs</t>
  </si>
  <si>
    <t>POWERLINE® 60 mm Larg 1227 Long ≤ 13 m - Bords rebordés-rainurés 2 Longueurs</t>
  </si>
  <si>
    <t>POWERLINE® 40 mm Larg 1200 Long ≤ 13 m - Bords feuillurés-rainurés 2 Longueurs</t>
  </si>
  <si>
    <t>POWERLINE® 50 mm Larg 1200 Long ≤ 13 m - Bords feuillurés-rainurés 2 Longueurs</t>
  </si>
  <si>
    <t>POWERLINE® 60 mm Larg 1200 Long ≤ 13 m - Bords feuillurés-rainurés 2 Longueurs</t>
  </si>
  <si>
    <t>POWERLINE® 70 mm Larg 1200 Long ≤ 13 m - Bords feuillurés-rainurés 2 Longueurs</t>
  </si>
  <si>
    <t>POWERLINE® 80 mm Larg 1200 Long ≤ 13 m - Bords feuillurés-rainurés 2 Longueurs</t>
  </si>
  <si>
    <t>POWERLINE® 100 mm Larg 1200 Long ≤ 13 m - Bords feuillurés-rainurés 2 Longueurs</t>
  </si>
  <si>
    <t>POWERLINE® 30 mm Larg 1200 Long ≤ 13 m - Bords droits 4 côtés</t>
  </si>
  <si>
    <t>POWERLINE® 40 mm Larg 1200 Long ≤ 13 m - Bords droits 4 côtés</t>
  </si>
  <si>
    <t>POWERLINE® 50 mm Larg 1200 Long ≤ 13 m - Bords droits 4 côtés</t>
  </si>
  <si>
    <t>POWERLINE® 60 mm Larg 1200 Long ≤ 13 m - Bords droits 4 côtés</t>
  </si>
  <si>
    <t>POWERLINE® 80 mm Larg 1200 Long ≤ 13 m - Bords droits 4 côtés</t>
  </si>
  <si>
    <t>POWERLINE® 100 mm Larg 1200 Long ≤ 13 m - Bords droits 4 côtés</t>
  </si>
  <si>
    <t>DU.PANEL X® 30 mm Larg 1227 Long ≤ 8 m - Bords rebordés 2 longueurs</t>
  </si>
  <si>
    <t>DU.PANEL X® 40 mm Larg 1227 Long ≤ 8 m - Bords rebordés 2 longueurs</t>
  </si>
  <si>
    <t>DU.PANEL X® 50 mm Larg 1227 Long ≤ 8 m - Bords rebordés 2 longueurs</t>
  </si>
  <si>
    <t>DU.PANEL X® 60 mm Larg 1227 Long ≤ 8 m - Bords rebordés 2 longueurs</t>
  </si>
  <si>
    <t>DU.PANEL X® 40 mm Larg 1227 Long ≤ 8 m - Bords rebordés-rainurés 2 Longueurs</t>
  </si>
  <si>
    <t>DU.PANEL X® 50 mm Larg 1227 Long ≤ 8 m - Bords rebordés-rainurés 2 Longueurs</t>
  </si>
  <si>
    <t>DU.PANEL X® 60 mm Larg 1227 Long ≤ 8 m - Bords rebordés-rainurés 2 Longueurs</t>
  </si>
  <si>
    <t>DU.PANEL X® 40 mm Larg 1200 (utile 1180) Long ≤ 8 m - Bords feuillurés-rainurés 2 Longueurs</t>
  </si>
  <si>
    <t>DU.PANEL X® 50 mm Larg 1200 (utile 1180) Long ≤ 8 m - Bords feuillurés-rainurés 2 Longueurs</t>
  </si>
  <si>
    <t>DU.PANEL X® 60 mm Larg 1200 (utile 1180) Long ≤ 8 m - Bords feuillurés-rainurés 2 Longueurs</t>
  </si>
  <si>
    <t>DU.PANEL X® 80 mm Larg 1200 (utile 1180) Long ≤ 8 m - Bords feuillurés-rainurés 2 Longueurs</t>
  </si>
  <si>
    <t>DU.PANEL X® 100 mm Larg 1200 (utile 1180) Long ≤ 8 m - Bords feuillurés-rainurés 2 Longueurs</t>
  </si>
  <si>
    <t>DU.PANEL X® 30 mm Larg 1200 Long ≤ 8 m - Bords droits 4 côtés</t>
  </si>
  <si>
    <t>DU.PANEL X® 40 mm Larg 1200 Long ≤ 8 m - Bords droits 4 côtés</t>
  </si>
  <si>
    <t>DU.PANEL X® 50 mm Larg 1200 Long ≤ 8 m - Bords droits 4 côtés</t>
  </si>
  <si>
    <t>DU.PANEL X® 60 mm Larg 1200 Long ≤ 8 m - Bords droits 4 côtés</t>
  </si>
  <si>
    <t>DU.PANEL X® 80 mm Larg 1200 Long ≤ 8 m - Bords droits 4 côtés</t>
  </si>
  <si>
    <t>DU.PANEL X® 100 mm Larg 1200 Long ≤ 8 m - Bords droits 4 côtés</t>
  </si>
  <si>
    <t>CRONUS® 30 mm Larg 1225 Long ≤ 8 m - Bords rebordés 2 longueurs</t>
  </si>
  <si>
    <t>CRONUS® 40 mm Larg 1225 Long ≤ 8 m - Bords rebordés 2 longueurs</t>
  </si>
  <si>
    <t>CRONUS® 50 mm Larg 1225 Long ≤ 8 m - Bords rebordés 2 longueurs</t>
  </si>
  <si>
    <t>CRONUS® 60 mm Larg 1225 Long ≤ 8 m - Bords rebordés 2 longueurs</t>
  </si>
  <si>
    <t>CRONUS® 80 mm Larg 1225 Long ≤ 8 m - Bords rebordés 2 longueurs</t>
  </si>
  <si>
    <t>LUMIX 30 mm Larg 1227 Long ≤ 8 m - Bords rebordés 2 longueurs</t>
  </si>
  <si>
    <t>LUMIX 40 mm Larg 1227 Long ≤ 8 m - Bords rebordés 2 longueurs</t>
  </si>
  <si>
    <t>LUMIX 50 mm Larg 1227 Long ≤ 8 m - Bords rebordés 2 longueurs</t>
  </si>
  <si>
    <t>LUMIX 30 mm Larg 1227 Long ≤ 8 m - Bords rebordés-rainurés 2 Longueurs</t>
  </si>
  <si>
    <t>LUMIX 40 mm Larg 1227 Long ≤ 8 m - Bords rebordés-rainurés 2 Longueurs</t>
  </si>
  <si>
    <t>LUMIX 50 mm Larg 1227 Long ≤ 8 m - Bords rebordés-rainurés 2 Longueurs</t>
  </si>
  <si>
    <t>LUMIX 60 mm Larg 1227 Long ≤ 8 m - Bords rebordés-rainurés 2 Longueurs</t>
  </si>
  <si>
    <t>LUMIX 40 mm Larg 1200 (utile 1180) Long ≤ 8 m - Bords feuillurés-rainurés 2 Longueurs</t>
  </si>
  <si>
    <t>LUMIX 50 mm Larg 1200 (utile 1180) Long ≤ 8 m - Bords feuillurés-rainurés 2 Longueurs</t>
  </si>
  <si>
    <t>LUMIX 60 mm Larg 1200 (utile 1180) Long ≤ 8 m - Bords feuillurés-rainurés 2 Longueurs</t>
  </si>
  <si>
    <t>LUMIX 80 mm Larg 1200 (utile 1180) Long ≤ 8 m - Bords feuillurés-rainurés 2 Longueurs</t>
  </si>
  <si>
    <t>LUMIX 100 mm Larg 1200 (utile 1180) Long ≤ 8 m - Bords feuillurés-rainurés 2 Longueurs</t>
  </si>
  <si>
    <t>LUMIX 30 mm Larg 1200 Long ≤ 8 m - Bords droits 4 côtés</t>
  </si>
  <si>
    <t>LUMIX 40 mm Larg 1200 Long ≤ 8 m - Bords droits 4 côtés</t>
  </si>
  <si>
    <t>LUMIX 50 mm Larg 1200 Long ≤ 8 m - Bords droits 4 côtés</t>
  </si>
  <si>
    <t>LUMIX 60 mm Larg 1200 Long ≤ 8 m - Bords droits 4 côtés</t>
  </si>
  <si>
    <t>LUMIX 80 mm Larg 1200 Long ≤ 8 m - Bords droits 4 côtés</t>
  </si>
  <si>
    <t>LUMIX 100 mm Larg 1200 Long ≤ 8 m - Bords droits 4 côtés</t>
  </si>
  <si>
    <t>Hauteur 
CHARGEMENT</t>
  </si>
  <si>
    <t>DESIGNATION ARTICLE</t>
  </si>
  <si>
    <t>LONGUEUR
 (m)</t>
  </si>
  <si>
    <t>LARGEUR
 (m)</t>
  </si>
  <si>
    <t>EPAISSEUR</t>
  </si>
  <si>
    <t>LONGUEUR</t>
  </si>
  <si>
    <t>LARGEUR</t>
  </si>
  <si>
    <t>REF. ARTICLE</t>
  </si>
  <si>
    <t>GTIN /EAN13</t>
  </si>
  <si>
    <t>Palettes / CAMION</t>
  </si>
  <si>
    <t>Panneaux /
PALETTE</t>
  </si>
  <si>
    <t>m² / 
DEMI-CAMION</t>
  </si>
  <si>
    <t>Hauteur totale CHARGEMENT :</t>
  </si>
  <si>
    <t>NOMENCLATURE CONDITIONNEMENTS</t>
  </si>
  <si>
    <t>Saisissez d'abord le produit souhaité par le client dans "désignation article" tout en haut, puis saisissez ensuite la quantité souhaitée par le client ci-dessous :</t>
  </si>
  <si>
    <r>
      <t xml:space="preserve">Condit° 1 :
</t>
    </r>
    <r>
      <rPr>
        <b/>
        <sz val="11"/>
        <color rgb="FFFF0000"/>
        <rFont val="Calibri"/>
        <family val="2"/>
        <scheme val="minor"/>
      </rPr>
      <t>PAQUET</t>
    </r>
  </si>
  <si>
    <r>
      <t xml:space="preserve">Condit° 2 :
</t>
    </r>
    <r>
      <rPr>
        <b/>
        <sz val="11"/>
        <color rgb="FFFF0000"/>
        <rFont val="Calibri"/>
        <family val="2"/>
        <scheme val="minor"/>
      </rPr>
      <t>PALETTE</t>
    </r>
  </si>
  <si>
    <r>
      <t xml:space="preserve">Condit° 4 :
</t>
    </r>
    <r>
      <rPr>
        <b/>
        <sz val="11"/>
        <color rgb="FFFF0000"/>
        <rFont val="Calibri"/>
        <family val="2"/>
        <scheme val="minor"/>
      </rPr>
      <t>CAMION</t>
    </r>
  </si>
  <si>
    <t>CALCULATEUR BESOIN CLIENT</t>
  </si>
  <si>
    <t>Paquets / 
PALETTE</t>
  </si>
  <si>
    <t>Volume /
PAQUET</t>
  </si>
  <si>
    <t>Palettes / 
DEMI-CAMION</t>
  </si>
  <si>
    <t>m² / 
PAQUET</t>
  </si>
  <si>
    <t>Pièces / 
PAQUET</t>
  </si>
  <si>
    <t>m² / 
PALETTE</t>
  </si>
  <si>
    <t>Volume /
PALETTE</t>
  </si>
  <si>
    <t>Volume /
CAMION</t>
  </si>
  <si>
    <t>m² / 
CAMION</t>
  </si>
  <si>
    <t>Volume /
DEMI-CAMION</t>
  </si>
  <si>
    <r>
      <t xml:space="preserve">Condit° 3 :
</t>
    </r>
    <r>
      <rPr>
        <b/>
        <sz val="11"/>
        <color rgb="FFFF0000"/>
        <rFont val="Calibri"/>
        <family val="2"/>
        <scheme val="minor"/>
      </rPr>
      <t>DEMI-CAMION</t>
    </r>
  </si>
  <si>
    <t>QUANTITE SOUHAITEE PAR LE CLIENT :</t>
  </si>
  <si>
    <t>Liste</t>
  </si>
  <si>
    <t>La "hauteur totale de chargement" inclut les cales de polystyrène de 10 cm. Les palettes de certains produits pouvant être gerbées.(Ex : Eurothane G, L-Ments : 2 x 10 cm de cales dans la hauteur).</t>
  </si>
  <si>
    <t>Paquets /
CAMION</t>
  </si>
  <si>
    <t>Choisissez le produit dans le menu déroulant ci-dessous "désignation article" en tapant un mot-clé puis séléctionner dans la liste proposée.</t>
  </si>
  <si>
    <t>Champs libre pour calculs / simulations / annotations :</t>
  </si>
  <si>
    <t>Grand format</t>
  </si>
  <si>
    <t>Petit format</t>
  </si>
  <si>
    <t>Format mixte</t>
  </si>
  <si>
    <t>NbPalettes</t>
  </si>
  <si>
    <t>2 x 11 = 22 Pal.</t>
  </si>
  <si>
    <t>2 x 5 = 10 Pal.</t>
  </si>
  <si>
    <t>GF : 2 x 3 = 6 Pal.</t>
  </si>
  <si>
    <t>PF : 2 x 5 = 10 Pal.</t>
  </si>
  <si>
    <t>2.40 m x 13 m</t>
  </si>
  <si>
    <t>Soit surface au sol :</t>
  </si>
  <si>
    <t>1200 x 2600</t>
  </si>
  <si>
    <t>Total</t>
  </si>
  <si>
    <t>1200 x 1200:</t>
  </si>
  <si>
    <t>2.40 m x 13.20 m</t>
  </si>
  <si>
    <r>
      <t xml:space="preserve">Plateau camion : L= </t>
    </r>
    <r>
      <rPr>
        <b/>
        <i/>
        <sz val="11"/>
        <color theme="1"/>
        <rFont val="Calibri"/>
        <family val="2"/>
        <scheme val="minor"/>
      </rPr>
      <t>13.60</t>
    </r>
    <r>
      <rPr>
        <i/>
        <sz val="11"/>
        <color theme="1"/>
        <rFont val="Calibri"/>
        <family val="2"/>
        <scheme val="minor"/>
      </rPr>
      <t xml:space="preserve"> m / H= </t>
    </r>
    <r>
      <rPr>
        <b/>
        <i/>
        <sz val="11"/>
        <color theme="1"/>
        <rFont val="Calibri"/>
        <family val="2"/>
        <scheme val="minor"/>
      </rPr>
      <t>2.70</t>
    </r>
    <r>
      <rPr>
        <i/>
        <sz val="11"/>
        <color theme="1"/>
        <rFont val="Calibri"/>
        <family val="2"/>
        <scheme val="minor"/>
      </rPr>
      <t xml:space="preserve"> m / l= </t>
    </r>
    <r>
      <rPr>
        <b/>
        <i/>
        <sz val="11"/>
        <color theme="1"/>
        <rFont val="Calibri"/>
        <family val="2"/>
        <scheme val="minor"/>
      </rPr>
      <t>2.40</t>
    </r>
    <r>
      <rPr>
        <i/>
        <sz val="11"/>
        <color theme="1"/>
        <rFont val="Calibri"/>
        <family val="2"/>
        <scheme val="minor"/>
      </rPr>
      <t xml:space="preserve"> m</t>
    </r>
  </si>
  <si>
    <t>1200 x 2500</t>
  </si>
  <si>
    <t>2.40 m x 7.50 m</t>
  </si>
  <si>
    <t>2.40 m x 6 m</t>
  </si>
  <si>
    <t>2.40 m x 13.50 m</t>
  </si>
  <si>
    <t>CHARGEMENTS MAXI
Exemples</t>
  </si>
  <si>
    <r>
      <t xml:space="preserve">Volume camion hyper maxi : </t>
    </r>
    <r>
      <rPr>
        <b/>
        <sz val="11"/>
        <color theme="1"/>
        <rFont val="Calibri"/>
        <family val="2"/>
        <scheme val="minor"/>
      </rPr>
      <t xml:space="preserve">88 </t>
    </r>
    <r>
      <rPr>
        <sz val="11"/>
        <color theme="1"/>
        <rFont val="Calibri"/>
        <family val="2"/>
        <scheme val="minor"/>
      </rPr>
      <t>m3</t>
    </r>
  </si>
  <si>
    <t>Formule matricielle de liste conditionnelle :</t>
  </si>
  <si>
    <t>ESTNUM(CHERCHE(CALCULATEUR!$B$5;Table14[DESIGNATION ARTICLE])) :
n'affiche que les valeurs vraies pour lesquelles on trouve ce qu'on a écrit dans $B$5 (la fonction cherche() renvoie la position du contenu de $B$5 dans les différentes désignation et #n/a si elle ne trouve rien) et estnum() transforme le résultat en VRAI ou FAUX
On a donc une matrice conditionnelle (VRAI;VRAI;FAUX;etc...) qui filtre les lignes de la liste de départ (liste _article). avec la fonction (index), on affiche la valeur correspondante de la liste_article .Au fur et a mesure qu'on remplit $B$5, la liste s'affine.</t>
  </si>
  <si>
    <t>RECHERCHE MOT CLEF :</t>
  </si>
  <si>
    <t>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</si>
</sst>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\ &quot;mm&quot;"/>
    <numFmt numFmtId="165" formatCode="0.000"/>
    <numFmt numFmtId="166" formatCode="0&quot; mm&quot;"/>
    <numFmt numFmtId="167" formatCode="0.000&quot; m&quot;"/>
    <numFmt numFmtId="168" formatCode="0.00&quot; m²&quot;"/>
    <numFmt numFmtId="169" formatCode="0.00&quot; m3&quot;"/>
    <numFmt numFmtId="170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theme="0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D206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3" borderId="1" applyNumberFormat="0" applyFont="0" applyAlignment="0" applyProtection="0"/>
    <xf numFmtId="0" fontId="1" fillId="0" borderId="0"/>
    <xf numFmtId="0" fontId="6" fillId="0" borderId="0"/>
    <xf numFmtId="0" fontId="7" fillId="3" borderId="1" applyNumberFormat="0" applyFont="0" applyAlignment="0" applyProtection="0"/>
  </cellStyleXfs>
  <cellXfs count="3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" fontId="4" fillId="0" borderId="10" xfId="0" applyNumberFormat="1" applyFont="1" applyFill="1" applyBorder="1" applyAlignment="1">
      <alignment horizontal="left" vertical="center"/>
    </xf>
    <xf numFmtId="1" fontId="4" fillId="16" borderId="10" xfId="0" applyNumberFormat="1" applyFont="1" applyFill="1" applyBorder="1" applyAlignment="1">
      <alignment horizontal="left" vertical="center"/>
    </xf>
    <xf numFmtId="1" fontId="4" fillId="0" borderId="12" xfId="0" applyNumberFormat="1" applyFont="1" applyFill="1" applyBorder="1" applyAlignment="1">
      <alignment horizontal="left" vertical="center"/>
    </xf>
    <xf numFmtId="1" fontId="4" fillId="16" borderId="12" xfId="0" applyNumberFormat="1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horizontal="left" vertical="center"/>
    </xf>
    <xf numFmtId="1" fontId="4" fillId="16" borderId="11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/>
    </xf>
    <xf numFmtId="1" fontId="4" fillId="0" borderId="14" xfId="5" applyNumberFormat="1" applyFont="1" applyFill="1" applyBorder="1" applyAlignment="1">
      <alignment horizontal="left" vertical="center"/>
    </xf>
    <xf numFmtId="1" fontId="4" fillId="0" borderId="15" xfId="5" applyNumberFormat="1" applyFont="1" applyFill="1" applyBorder="1" applyAlignment="1">
      <alignment horizontal="left" vertical="center"/>
    </xf>
    <xf numFmtId="1" fontId="4" fillId="0" borderId="13" xfId="12" applyNumberFormat="1" applyFont="1" applyFill="1" applyBorder="1" applyAlignment="1" applyProtection="1">
      <alignment horizontal="left"/>
    </xf>
    <xf numFmtId="1" fontId="4" fillId="0" borderId="14" xfId="12" applyNumberFormat="1" applyFont="1" applyFill="1" applyBorder="1" applyAlignment="1" applyProtection="1">
      <alignment horizontal="left"/>
    </xf>
    <xf numFmtId="1" fontId="4" fillId="0" borderId="14" xfId="0" applyNumberFormat="1" applyFont="1" applyFill="1" applyBorder="1" applyAlignment="1" applyProtection="1">
      <alignment horizontal="left"/>
    </xf>
    <xf numFmtId="1" fontId="4" fillId="0" borderId="14" xfId="14" quotePrefix="1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 applyProtection="1">
      <alignment horizontal="left"/>
    </xf>
    <xf numFmtId="1" fontId="4" fillId="0" borderId="13" xfId="0" applyNumberFormat="1" applyFont="1" applyFill="1" applyBorder="1" applyAlignment="1" applyProtection="1">
      <alignment horizontal="left"/>
    </xf>
    <xf numFmtId="1" fontId="4" fillId="0" borderId="14" xfId="1" applyNumberFormat="1" applyFont="1" applyFill="1" applyBorder="1" applyAlignment="1">
      <alignment horizontal="left"/>
    </xf>
    <xf numFmtId="1" fontId="4" fillId="0" borderId="14" xfId="11" applyNumberFormat="1" applyFont="1" applyFill="1" applyBorder="1" applyAlignment="1">
      <alignment horizontal="left" vertical="center"/>
    </xf>
    <xf numFmtId="1" fontId="4" fillId="0" borderId="15" xfId="11" applyNumberFormat="1" applyFont="1" applyFill="1" applyBorder="1" applyAlignment="1">
      <alignment horizontal="left" vertical="center"/>
    </xf>
    <xf numFmtId="1" fontId="4" fillId="0" borderId="13" xfId="6" applyNumberFormat="1" applyFont="1" applyFill="1" applyBorder="1" applyAlignment="1">
      <alignment horizontal="left" vertical="center"/>
    </xf>
    <xf numFmtId="1" fontId="4" fillId="0" borderId="14" xfId="6" applyNumberFormat="1" applyFont="1" applyFill="1" applyBorder="1" applyAlignment="1">
      <alignment horizontal="left" vertical="center"/>
    </xf>
    <xf numFmtId="1" fontId="4" fillId="0" borderId="13" xfId="6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left"/>
    </xf>
    <xf numFmtId="1" fontId="4" fillId="0" borderId="14" xfId="1" applyNumberFormat="1" applyFont="1" applyFill="1" applyBorder="1" applyAlignment="1">
      <alignment horizontal="left" vertical="center"/>
    </xf>
    <xf numFmtId="1" fontId="4" fillId="0" borderId="15" xfId="1" applyNumberFormat="1" applyFont="1" applyFill="1" applyBorder="1" applyAlignment="1">
      <alignment horizontal="left" vertical="center"/>
    </xf>
    <xf numFmtId="1" fontId="4" fillId="0" borderId="13" xfId="1" applyNumberFormat="1" applyFont="1" applyFill="1" applyBorder="1" applyAlignment="1">
      <alignment horizontal="left" vertical="center"/>
    </xf>
    <xf numFmtId="1" fontId="4" fillId="0" borderId="13" xfId="9" applyNumberFormat="1" applyFont="1" applyFill="1" applyBorder="1" applyAlignment="1">
      <alignment horizontal="left" vertical="center"/>
    </xf>
    <xf numFmtId="1" fontId="4" fillId="0" borderId="14" xfId="9" applyNumberFormat="1" applyFont="1" applyFill="1" applyBorder="1" applyAlignment="1">
      <alignment horizontal="left" vertical="center"/>
    </xf>
    <xf numFmtId="1" fontId="4" fillId="0" borderId="15" xfId="9" applyNumberFormat="1" applyFont="1" applyFill="1" applyBorder="1" applyAlignment="1">
      <alignment horizontal="left" vertical="center"/>
    </xf>
    <xf numFmtId="1" fontId="4" fillId="0" borderId="13" xfId="1" applyNumberFormat="1" applyFont="1" applyFill="1" applyBorder="1" applyAlignment="1">
      <alignment horizontal="left"/>
    </xf>
    <xf numFmtId="1" fontId="4" fillId="0" borderId="15" xfId="1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4" fillId="17" borderId="14" xfId="0" applyNumberFormat="1" applyFont="1" applyFill="1" applyBorder="1" applyAlignment="1">
      <alignment horizontal="left" vertical="center"/>
    </xf>
    <xf numFmtId="1" fontId="10" fillId="0" borderId="13" xfId="1" applyNumberFormat="1" applyFont="1" applyFill="1" applyBorder="1" applyAlignment="1">
      <alignment horizontal="left"/>
    </xf>
    <xf numFmtId="1" fontId="10" fillId="0" borderId="14" xfId="1" applyNumberFormat="1" applyFont="1" applyFill="1" applyBorder="1" applyAlignment="1">
      <alignment horizontal="left"/>
    </xf>
    <xf numFmtId="1" fontId="10" fillId="0" borderId="15" xfId="1" applyNumberFormat="1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 vertical="center"/>
    </xf>
    <xf numFmtId="1" fontId="10" fillId="16" borderId="11" xfId="0" applyNumberFormat="1" applyFont="1" applyFill="1" applyBorder="1" applyAlignment="1">
      <alignment horizontal="left" vertical="center"/>
    </xf>
    <xf numFmtId="1" fontId="10" fillId="0" borderId="14" xfId="1" applyNumberFormat="1" applyFont="1" applyFill="1" applyBorder="1" applyAlignment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1" fontId="10" fillId="0" borderId="14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left" vertical="center"/>
    </xf>
    <xf numFmtId="1" fontId="4" fillId="0" borderId="18" xfId="1" applyNumberFormat="1" applyFont="1" applyFill="1" applyBorder="1" applyAlignment="1">
      <alignment horizontal="left"/>
    </xf>
    <xf numFmtId="1" fontId="4" fillId="0" borderId="20" xfId="1" applyNumberFormat="1" applyFont="1" applyFill="1" applyBorder="1" applyAlignment="1">
      <alignment horizontal="left"/>
    </xf>
    <xf numFmtId="1" fontId="10" fillId="0" borderId="13" xfId="11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1" fontId="10" fillId="0" borderId="14" xfId="1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4" fillId="0" borderId="11" xfId="11" applyFont="1" applyFill="1" applyBorder="1" applyAlignment="1">
      <alignment horizontal="center" vertical="center"/>
    </xf>
    <xf numFmtId="0" fontId="4" fillId="0" borderId="10" xfId="11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/>
    </xf>
    <xf numFmtId="0" fontId="4" fillId="0" borderId="10" xfId="6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10" fillId="0" borderId="12" xfId="11" applyFont="1" applyFill="1" applyBorder="1" applyAlignment="1">
      <alignment horizontal="center" vertical="center"/>
    </xf>
    <xf numFmtId="0" fontId="10" fillId="0" borderId="11" xfId="11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/>
    </xf>
    <xf numFmtId="0" fontId="4" fillId="0" borderId="10" xfId="8" applyFont="1" applyFill="1" applyBorder="1" applyAlignment="1">
      <alignment horizontal="center"/>
    </xf>
    <xf numFmtId="0" fontId="4" fillId="0" borderId="12" xfId="8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" fontId="4" fillId="0" borderId="19" xfId="1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0" fontId="4" fillId="0" borderId="19" xfId="8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15" borderId="7" xfId="0" applyFont="1" applyFill="1" applyBorder="1" applyAlignment="1">
      <alignment horizontal="center"/>
    </xf>
    <xf numFmtId="2" fontId="4" fillId="0" borderId="12" xfId="1" applyNumberFormat="1" applyFont="1" applyFill="1" applyBorder="1" applyAlignment="1">
      <alignment horizontal="center" vertical="center"/>
    </xf>
    <xf numFmtId="2" fontId="10" fillId="0" borderId="12" xfId="1" applyNumberFormat="1" applyFont="1" applyFill="1" applyBorder="1" applyAlignment="1">
      <alignment horizontal="center" vertical="center"/>
    </xf>
    <xf numFmtId="2" fontId="10" fillId="0" borderId="11" xfId="1" applyNumberFormat="1" applyFont="1" applyFill="1" applyBorder="1" applyAlignment="1">
      <alignment horizontal="center" vertical="center"/>
    </xf>
    <xf numFmtId="2" fontId="10" fillId="0" borderId="10" xfId="1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11" applyFont="1" applyFill="1" applyBorder="1" applyAlignment="1">
      <alignment horizontal="left" vertical="center"/>
    </xf>
    <xf numFmtId="0" fontId="4" fillId="0" borderId="7" xfId="11" applyFont="1" applyFill="1" applyBorder="1" applyAlignment="1">
      <alignment horizontal="left" vertical="center"/>
    </xf>
    <xf numFmtId="0" fontId="11" fillId="18" borderId="6" xfId="11" applyFont="1" applyFill="1" applyBorder="1" applyAlignment="1">
      <alignment horizontal="left" vertical="center"/>
    </xf>
    <xf numFmtId="0" fontId="11" fillId="18" borderId="0" xfId="11" applyFont="1" applyFill="1" applyBorder="1" applyAlignment="1">
      <alignment horizontal="left" vertical="center"/>
    </xf>
    <xf numFmtId="0" fontId="11" fillId="18" borderId="6" xfId="0" applyFont="1" applyFill="1" applyBorder="1" applyAlignment="1">
      <alignment horizontal="left" vertical="center"/>
    </xf>
    <xf numFmtId="0" fontId="11" fillId="18" borderId="0" xfId="0" applyFont="1" applyFill="1" applyBorder="1" applyAlignment="1">
      <alignment horizontal="left" vertical="center"/>
    </xf>
    <xf numFmtId="0" fontId="11" fillId="18" borderId="7" xfId="0" applyFont="1" applyFill="1" applyBorder="1" applyAlignment="1">
      <alignment horizontal="left" vertical="center"/>
    </xf>
    <xf numFmtId="1" fontId="10" fillId="0" borderId="21" xfId="1" applyNumberFormat="1" applyFont="1" applyFill="1" applyBorder="1" applyAlignment="1">
      <alignment horizontal="left"/>
    </xf>
    <xf numFmtId="1" fontId="4" fillId="0" borderId="8" xfId="1" applyNumberFormat="1" applyFont="1" applyFill="1" applyBorder="1" applyAlignment="1">
      <alignment horizontal="left"/>
    </xf>
    <xf numFmtId="1" fontId="4" fillId="0" borderId="9" xfId="1" applyNumberFormat="1" applyFont="1" applyFill="1" applyBorder="1" applyAlignment="1">
      <alignment horizontal="left"/>
    </xf>
    <xf numFmtId="49" fontId="3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7" xfId="0" applyNumberFormat="1" applyFont="1" applyFill="1" applyBorder="1" applyAlignment="1" applyProtection="1">
      <alignment horizontal="left" vertical="center"/>
      <protection locked="0"/>
    </xf>
    <xf numFmtId="1" fontId="3" fillId="6" borderId="17" xfId="0" applyNumberFormat="1" applyFont="1" applyFill="1" applyBorder="1" applyAlignment="1" applyProtection="1">
      <alignment horizontal="left" vertical="center" wrapText="1"/>
      <protection locked="0"/>
    </xf>
    <xf numFmtId="1" fontId="3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3" fillId="17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7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5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0" borderId="17" xfId="0" applyNumberFormat="1" applyFont="1" applyFill="1" applyBorder="1" applyAlignment="1" applyProtection="1">
      <alignment horizontal="left" vertical="center" wrapText="1"/>
      <protection locked="0"/>
    </xf>
    <xf numFmtId="2" fontId="3" fillId="19" borderId="17" xfId="0" applyNumberFormat="1" applyFont="1" applyFill="1" applyBorder="1" applyAlignment="1" applyProtection="1">
      <alignment horizontal="left" vertical="top" wrapText="1"/>
      <protection locked="0"/>
    </xf>
    <xf numFmtId="1" fontId="4" fillId="16" borderId="26" xfId="0" applyNumberFormat="1" applyFont="1" applyFill="1" applyBorder="1" applyAlignment="1">
      <alignment horizontal="left" vertical="center"/>
    </xf>
    <xf numFmtId="0" fontId="0" fillId="0" borderId="0" xfId="0" applyProtection="1"/>
    <xf numFmtId="1" fontId="3" fillId="6" borderId="30" xfId="1" applyNumberFormat="1" applyFont="1" applyFill="1" applyBorder="1" applyAlignment="1" applyProtection="1">
      <alignment horizontal="center" wrapText="1"/>
    </xf>
    <xf numFmtId="1" fontId="13" fillId="0" borderId="33" xfId="0" applyNumberFormat="1" applyFont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0" xfId="0" applyFill="1" applyBorder="1" applyProtection="1"/>
    <xf numFmtId="0" fontId="1" fillId="0" borderId="0" xfId="0" applyFont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2" fontId="14" fillId="0" borderId="46" xfId="0" applyNumberFormat="1" applyFont="1" applyBorder="1" applyAlignment="1" applyProtection="1">
      <alignment horizontal="center" vertical="center"/>
    </xf>
    <xf numFmtId="4" fontId="14" fillId="0" borderId="43" xfId="0" applyNumberFormat="1" applyFont="1" applyBorder="1" applyAlignment="1" applyProtection="1">
      <alignment horizontal="center" vertical="center"/>
    </xf>
    <xf numFmtId="0" fontId="14" fillId="15" borderId="45" xfId="0" applyFont="1" applyFill="1" applyBorder="1" applyAlignment="1" applyProtection="1">
      <alignment horizontal="center" vertical="center"/>
    </xf>
    <xf numFmtId="0" fontId="14" fillId="15" borderId="3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0" fillId="0" borderId="36" xfId="0" applyBorder="1" applyProtection="1"/>
    <xf numFmtId="0" fontId="13" fillId="6" borderId="23" xfId="0" applyFont="1" applyFill="1" applyBorder="1" applyAlignment="1" applyProtection="1">
      <alignment horizontal="right" vertical="center"/>
    </xf>
    <xf numFmtId="2" fontId="14" fillId="17" borderId="8" xfId="0" applyNumberFormat="1" applyFont="1" applyFill="1" applyBorder="1" applyAlignment="1" applyProtection="1">
      <alignment horizontal="center"/>
    </xf>
    <xf numFmtId="0" fontId="9" fillId="12" borderId="3" xfId="0" applyFont="1" applyFill="1" applyBorder="1" applyAlignment="1">
      <alignment vertical="center" wrapText="1"/>
    </xf>
    <xf numFmtId="0" fontId="9" fillId="12" borderId="4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textRotation="255"/>
    </xf>
    <xf numFmtId="0" fontId="3" fillId="9" borderId="4" xfId="0" applyFont="1" applyFill="1" applyBorder="1" applyAlignment="1">
      <alignment vertical="center" textRotation="255"/>
    </xf>
    <xf numFmtId="0" fontId="3" fillId="9" borderId="5" xfId="0" applyFont="1" applyFill="1" applyBorder="1" applyAlignment="1">
      <alignment vertical="center" textRotation="255"/>
    </xf>
    <xf numFmtId="0" fontId="3" fillId="13" borderId="3" xfId="0" applyFont="1" applyFill="1" applyBorder="1" applyAlignment="1">
      <alignment vertical="center" textRotation="255"/>
    </xf>
    <xf numFmtId="0" fontId="3" fillId="13" borderId="4" xfId="0" applyFont="1" applyFill="1" applyBorder="1" applyAlignment="1">
      <alignment vertical="center" textRotation="255"/>
    </xf>
    <xf numFmtId="0" fontId="3" fillId="13" borderId="5" xfId="0" applyFont="1" applyFill="1" applyBorder="1" applyAlignment="1">
      <alignment vertical="center" textRotation="255"/>
    </xf>
    <xf numFmtId="0" fontId="3" fillId="14" borderId="3" xfId="0" applyFont="1" applyFill="1" applyBorder="1" applyAlignment="1">
      <alignment vertical="center" textRotation="255" wrapText="1"/>
    </xf>
    <xf numFmtId="0" fontId="3" fillId="14" borderId="4" xfId="0" applyFont="1" applyFill="1" applyBorder="1" applyAlignment="1">
      <alignment vertical="center" textRotation="255" wrapText="1"/>
    </xf>
    <xf numFmtId="0" fontId="3" fillId="11" borderId="8" xfId="0" applyFont="1" applyFill="1" applyBorder="1" applyAlignment="1">
      <alignment vertical="center" textRotation="255"/>
    </xf>
    <xf numFmtId="0" fontId="3" fillId="11" borderId="9" xfId="0" applyFont="1" applyFill="1" applyBorder="1" applyAlignment="1">
      <alignment vertical="center" textRotation="255"/>
    </xf>
    <xf numFmtId="0" fontId="3" fillId="7" borderId="8" xfId="0" applyFont="1" applyFill="1" applyBorder="1" applyAlignment="1">
      <alignment vertical="center" textRotation="255"/>
    </xf>
    <xf numFmtId="0" fontId="3" fillId="7" borderId="9" xfId="0" applyFont="1" applyFill="1" applyBorder="1" applyAlignment="1">
      <alignment vertical="center" textRotation="255"/>
    </xf>
    <xf numFmtId="0" fontId="3" fillId="7" borderId="21" xfId="0" applyFont="1" applyFill="1" applyBorder="1" applyAlignment="1">
      <alignment vertical="center" textRotation="255"/>
    </xf>
    <xf numFmtId="0" fontId="3" fillId="4" borderId="4" xfId="0" applyFont="1" applyFill="1" applyBorder="1" applyAlignment="1">
      <alignment vertical="center" textRotation="255"/>
    </xf>
    <xf numFmtId="0" fontId="4" fillId="0" borderId="47" xfId="0" applyFont="1" applyBorder="1" applyAlignment="1">
      <alignment horizontal="left"/>
    </xf>
    <xf numFmtId="164" fontId="3" fillId="6" borderId="42" xfId="1" applyNumberFormat="1" applyFont="1" applyFill="1" applyBorder="1" applyAlignment="1" applyProtection="1">
      <alignment horizontal="center" wrapText="1"/>
    </xf>
    <xf numFmtId="165" fontId="3" fillId="6" borderId="30" xfId="0" applyNumberFormat="1" applyFont="1" applyFill="1" applyBorder="1" applyAlignment="1" applyProtection="1">
      <alignment horizontal="center" wrapText="1"/>
    </xf>
    <xf numFmtId="165" fontId="3" fillId="6" borderId="31" xfId="0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8" borderId="1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11" xfId="0" applyNumberFormat="1" applyFont="1" applyFill="1" applyBorder="1" applyAlignment="1">
      <alignment horizontal="center" vertical="center"/>
    </xf>
    <xf numFmtId="165" fontId="4" fillId="16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4" fillId="16" borderId="12" xfId="0" applyNumberFormat="1" applyFont="1" applyFill="1" applyBorder="1" applyAlignment="1">
      <alignment horizontal="center" vertical="center"/>
    </xf>
    <xf numFmtId="165" fontId="4" fillId="16" borderId="12" xfId="0" applyNumberFormat="1" applyFont="1" applyFill="1" applyBorder="1" applyAlignment="1">
      <alignment horizontal="center" vertical="center"/>
    </xf>
    <xf numFmtId="0" fontId="4" fillId="16" borderId="10" xfId="0" applyNumberFormat="1" applyFont="1" applyFill="1" applyBorder="1" applyAlignment="1">
      <alignment horizontal="center" vertical="center"/>
    </xf>
    <xf numFmtId="165" fontId="4" fillId="16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" fontId="4" fillId="16" borderId="11" xfId="0" applyNumberFormat="1" applyFont="1" applyFill="1" applyBorder="1" applyAlignment="1">
      <alignment horizontal="center" vertical="center"/>
    </xf>
    <xf numFmtId="1" fontId="4" fillId="16" borderId="10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16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16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6" fontId="13" fillId="0" borderId="38" xfId="0" applyNumberFormat="1" applyFont="1" applyBorder="1" applyAlignment="1" applyProtection="1">
      <alignment horizontal="right"/>
    </xf>
    <xf numFmtId="167" fontId="13" fillId="0" borderId="38" xfId="0" applyNumberFormat="1" applyFont="1" applyBorder="1" applyAlignment="1" applyProtection="1"/>
    <xf numFmtId="0" fontId="14" fillId="0" borderId="0" xfId="0" applyFont="1" applyFill="1" applyBorder="1" applyAlignment="1" applyProtection="1">
      <alignment horizontal="left" vertical="center"/>
    </xf>
    <xf numFmtId="167" fontId="14" fillId="15" borderId="47" xfId="0" applyNumberFormat="1" applyFont="1" applyFill="1" applyBorder="1" applyAlignment="1" applyProtection="1">
      <alignment horizontal="right" vertical="center"/>
    </xf>
    <xf numFmtId="1" fontId="3" fillId="6" borderId="29" xfId="0" applyNumberFormat="1" applyFont="1" applyFill="1" applyBorder="1" applyAlignment="1" applyProtection="1">
      <alignment horizontal="center" wrapText="1"/>
    </xf>
    <xf numFmtId="1" fontId="13" fillId="0" borderId="32" xfId="0" applyNumberFormat="1" applyFont="1" applyBorder="1" applyAlignment="1" applyProtection="1">
      <alignment horizontal="center"/>
    </xf>
    <xf numFmtId="167" fontId="13" fillId="0" borderId="34" xfId="0" applyNumberFormat="1" applyFont="1" applyBorder="1" applyAlignment="1" applyProtection="1"/>
    <xf numFmtId="0" fontId="15" fillId="15" borderId="30" xfId="0" applyNumberFormat="1" applyFont="1" applyFill="1" applyBorder="1" applyAlignment="1" applyProtection="1">
      <alignment horizontal="center" vertical="center" wrapText="1"/>
    </xf>
    <xf numFmtId="0" fontId="15" fillId="15" borderId="42" xfId="0" applyNumberFormat="1" applyFont="1" applyFill="1" applyBorder="1" applyAlignment="1" applyProtection="1">
      <alignment horizontal="center" vertical="center" wrapText="1"/>
    </xf>
    <xf numFmtId="0" fontId="14" fillId="15" borderId="31" xfId="0" applyFont="1" applyFill="1" applyBorder="1" applyAlignment="1" applyProtection="1">
      <alignment horizontal="center" vertical="center" wrapText="1"/>
    </xf>
    <xf numFmtId="1" fontId="14" fillId="15" borderId="33" xfId="0" applyNumberFormat="1" applyFont="1" applyFill="1" applyBorder="1" applyAlignment="1" applyProtection="1">
      <alignment horizontal="center" vertical="center"/>
    </xf>
    <xf numFmtId="1" fontId="14" fillId="15" borderId="38" xfId="0" applyNumberFormat="1" applyFont="1" applyFill="1" applyBorder="1" applyAlignment="1" applyProtection="1">
      <alignment horizontal="center" vertical="center"/>
    </xf>
    <xf numFmtId="2" fontId="15" fillId="15" borderId="42" xfId="0" applyNumberFormat="1" applyFont="1" applyFill="1" applyBorder="1" applyAlignment="1" applyProtection="1">
      <alignment horizontal="center" vertical="center" wrapText="1"/>
    </xf>
    <xf numFmtId="2" fontId="15" fillId="15" borderId="30" xfId="0" applyNumberFormat="1" applyFont="1" applyFill="1" applyBorder="1" applyAlignment="1" applyProtection="1">
      <alignment horizontal="center" vertical="center" wrapText="1"/>
    </xf>
    <xf numFmtId="0" fontId="14" fillId="15" borderId="33" xfId="0" applyFont="1" applyFill="1" applyBorder="1" applyAlignment="1" applyProtection="1">
      <alignment horizontal="center"/>
    </xf>
    <xf numFmtId="1" fontId="14" fillId="15" borderId="38" xfId="0" applyNumberFormat="1" applyFont="1" applyFill="1" applyBorder="1" applyAlignment="1" applyProtection="1">
      <alignment horizontal="center"/>
    </xf>
    <xf numFmtId="1" fontId="14" fillId="15" borderId="33" xfId="0" applyNumberFormat="1" applyFont="1" applyFill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36" xfId="0" applyFont="1" applyBorder="1" applyProtection="1"/>
    <xf numFmtId="1" fontId="14" fillId="0" borderId="36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0" fillId="0" borderId="7" xfId="0" applyBorder="1" applyProtection="1"/>
    <xf numFmtId="0" fontId="0" fillId="0" borderId="28" xfId="0" applyBorder="1" applyProtection="1"/>
    <xf numFmtId="0" fontId="15" fillId="0" borderId="4" xfId="0" applyFont="1" applyFill="1" applyBorder="1" applyAlignment="1" applyProtection="1">
      <alignment horizontal="center" vertical="center"/>
    </xf>
    <xf numFmtId="168" fontId="14" fillId="15" borderId="38" xfId="0" applyNumberFormat="1" applyFont="1" applyFill="1" applyBorder="1" applyAlignment="1" applyProtection="1">
      <alignment horizontal="center"/>
    </xf>
    <xf numFmtId="168" fontId="14" fillId="15" borderId="38" xfId="0" applyNumberFormat="1" applyFont="1" applyFill="1" applyBorder="1" applyAlignment="1" applyProtection="1">
      <alignment horizontal="center" vertical="center"/>
    </xf>
    <xf numFmtId="169" fontId="14" fillId="15" borderId="34" xfId="0" applyNumberFormat="1" applyFont="1" applyFill="1" applyBorder="1" applyAlignment="1" applyProtection="1">
      <alignment horizontal="center"/>
    </xf>
    <xf numFmtId="169" fontId="14" fillId="15" borderId="34" xfId="0" applyNumberFormat="1" applyFont="1" applyFill="1" applyBorder="1" applyAlignment="1" applyProtection="1">
      <alignment horizontal="center" vertical="center"/>
    </xf>
    <xf numFmtId="0" fontId="14" fillId="15" borderId="29" xfId="0" applyFont="1" applyFill="1" applyBorder="1" applyAlignment="1" applyProtection="1">
      <alignment horizontal="center" vertical="center"/>
    </xf>
    <xf numFmtId="168" fontId="14" fillId="0" borderId="22" xfId="0" applyNumberFormat="1" applyFont="1" applyBorder="1" applyAlignment="1" applyProtection="1">
      <alignment horizontal="center" vertical="center"/>
      <protection locked="0"/>
    </xf>
    <xf numFmtId="0" fontId="14" fillId="17" borderId="8" xfId="0" applyFont="1" applyFill="1" applyBorder="1" applyAlignment="1" applyProtection="1">
      <alignment horizontal="right"/>
    </xf>
    <xf numFmtId="0" fontId="14" fillId="17" borderId="9" xfId="0" applyFont="1" applyFill="1" applyBorder="1" applyAlignment="1" applyProtection="1">
      <alignment horizontal="right"/>
    </xf>
    <xf numFmtId="168" fontId="14" fillId="0" borderId="9" xfId="0" applyNumberFormat="1" applyFont="1" applyBorder="1" applyAlignment="1" applyProtection="1">
      <alignment horizontal="center"/>
    </xf>
    <xf numFmtId="0" fontId="14" fillId="17" borderId="21" xfId="0" applyFont="1" applyFill="1" applyBorder="1" applyAlignment="1" applyProtection="1">
      <alignment horizontal="right"/>
    </xf>
    <xf numFmtId="169" fontId="14" fillId="0" borderId="21" xfId="0" applyNumberFormat="1" applyFont="1" applyBorder="1" applyAlignment="1" applyProtection="1">
      <alignment horizontal="center"/>
    </xf>
    <xf numFmtId="0" fontId="0" fillId="0" borderId="5" xfId="0" applyBorder="1" applyProtection="1"/>
    <xf numFmtId="169" fontId="13" fillId="6" borderId="6" xfId="0" applyNumberFormat="1" applyFont="1" applyFill="1" applyBorder="1" applyAlignment="1" applyProtection="1">
      <alignment horizontal="left" vertical="center"/>
    </xf>
    <xf numFmtId="0" fontId="14" fillId="15" borderId="40" xfId="0" applyFont="1" applyFill="1" applyBorder="1" applyAlignment="1" applyProtection="1">
      <alignment horizontal="center" vertical="center"/>
    </xf>
    <xf numFmtId="2" fontId="14" fillId="17" borderId="3" xfId="0" applyNumberFormat="1" applyFont="1" applyFill="1" applyBorder="1" applyAlignment="1" applyProtection="1">
      <alignment horizontal="center"/>
    </xf>
    <xf numFmtId="168" fontId="14" fillId="0" borderId="4" xfId="0" applyNumberFormat="1" applyFont="1" applyBorder="1" applyAlignment="1" applyProtection="1">
      <alignment horizontal="center"/>
    </xf>
    <xf numFmtId="169" fontId="14" fillId="0" borderId="5" xfId="0" applyNumberFormat="1" applyFont="1" applyBorder="1" applyAlignment="1" applyProtection="1">
      <alignment horizontal="center"/>
    </xf>
    <xf numFmtId="0" fontId="20" fillId="0" borderId="0" xfId="0" applyFont="1" applyBorder="1" applyProtection="1"/>
    <xf numFmtId="0" fontId="14" fillId="0" borderId="0" xfId="0" applyFont="1" applyBorder="1" applyProtection="1"/>
    <xf numFmtId="0" fontId="21" fillId="0" borderId="4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4" fillId="0" borderId="0" xfId="0" applyFont="1" applyFill="1" applyBorder="1" applyProtection="1"/>
    <xf numFmtId="0" fontId="1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14" fillId="0" borderId="7" xfId="0" applyFont="1" applyFill="1" applyBorder="1" applyAlignment="1" applyProtection="1">
      <alignment horizontal="left"/>
    </xf>
    <xf numFmtId="0" fontId="14" fillId="0" borderId="4" xfId="0" applyFont="1" applyBorder="1" applyProtection="1"/>
    <xf numFmtId="0" fontId="0" fillId="0" borderId="0" xfId="0" applyBorder="1" applyAlignment="1" applyProtection="1">
      <alignment horizontal="left"/>
      <protection locked="0"/>
    </xf>
    <xf numFmtId="0" fontId="0" fillId="0" borderId="36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170" fontId="14" fillId="0" borderId="32" xfId="0" applyNumberFormat="1" applyFont="1" applyBorder="1" applyAlignment="1" applyProtection="1">
      <alignment horizontal="center" vertical="center"/>
    </xf>
    <xf numFmtId="170" fontId="14" fillId="0" borderId="4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Protection="1"/>
    <xf numFmtId="0" fontId="14" fillId="0" borderId="50" xfId="0" applyFont="1" applyBorder="1" applyAlignment="1" applyProtection="1">
      <alignment horizontal="left"/>
    </xf>
    <xf numFmtId="0" fontId="14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</xf>
    <xf numFmtId="0" fontId="14" fillId="0" borderId="50" xfId="0" applyFont="1" applyFill="1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6" borderId="0" xfId="0" applyFill="1"/>
    <xf numFmtId="0" fontId="0" fillId="0" borderId="0" xfId="0" applyAlignment="1">
      <alignment wrapText="1"/>
    </xf>
    <xf numFmtId="1" fontId="3" fillId="6" borderId="51" xfId="0" applyNumberFormat="1" applyFont="1" applyFill="1" applyBorder="1" applyAlignment="1" applyProtection="1">
      <alignment horizontal="center" wrapText="1"/>
    </xf>
    <xf numFmtId="1" fontId="3" fillId="6" borderId="52" xfId="1" applyNumberFormat="1" applyFont="1" applyFill="1" applyBorder="1" applyAlignment="1" applyProtection="1">
      <alignment horizontal="center" wrapText="1"/>
    </xf>
    <xf numFmtId="164" fontId="3" fillId="6" borderId="53" xfId="1" applyNumberFormat="1" applyFont="1" applyFill="1" applyBorder="1" applyAlignment="1" applyProtection="1">
      <alignment horizontal="center" wrapText="1"/>
    </xf>
    <xf numFmtId="165" fontId="3" fillId="6" borderId="53" xfId="0" applyNumberFormat="1" applyFont="1" applyFill="1" applyBorder="1" applyAlignment="1" applyProtection="1">
      <alignment horizontal="center" wrapText="1"/>
    </xf>
    <xf numFmtId="165" fontId="3" fillId="6" borderId="54" xfId="0" applyNumberFormat="1" applyFont="1" applyFill="1" applyBorder="1" applyAlignment="1" applyProtection="1">
      <alignment horizontal="center" wrapText="1"/>
    </xf>
    <xf numFmtId="0" fontId="17" fillId="0" borderId="3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left"/>
    </xf>
    <xf numFmtId="0" fontId="17" fillId="0" borderId="23" xfId="0" applyFont="1" applyBorder="1" applyAlignment="1" applyProtection="1">
      <alignment horizontal="left"/>
    </xf>
    <xf numFmtId="0" fontId="17" fillId="0" borderId="25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/>
    </xf>
    <xf numFmtId="0" fontId="16" fillId="20" borderId="3" xfId="0" applyFont="1" applyFill="1" applyBorder="1" applyAlignment="1" applyProtection="1">
      <alignment horizontal="center" vertical="center" wrapText="1"/>
    </xf>
    <xf numFmtId="0" fontId="16" fillId="20" borderId="4" xfId="0" applyFont="1" applyFill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0" fontId="17" fillId="0" borderId="25" xfId="0" applyFont="1" applyBorder="1" applyAlignment="1" applyProtection="1">
      <alignment horizontal="center"/>
    </xf>
    <xf numFmtId="0" fontId="15" fillId="15" borderId="48" xfId="0" applyFont="1" applyFill="1" applyBorder="1" applyAlignment="1" applyProtection="1">
      <alignment horizontal="center" vertical="center" wrapText="1"/>
    </xf>
    <xf numFmtId="0" fontId="15" fillId="15" borderId="49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 wrapText="1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35" xfId="0" applyNumberFormat="1" applyFont="1" applyFill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0" fillId="0" borderId="36" xfId="0" applyBorder="1" applyAlignment="1" applyProtection="1">
      <alignment horizontal="center" vertical="top"/>
    </xf>
    <xf numFmtId="0" fontId="16" fillId="18" borderId="24" xfId="0" applyFont="1" applyFill="1" applyBorder="1" applyAlignment="1" applyProtection="1">
      <alignment horizontal="center"/>
    </xf>
    <xf numFmtId="0" fontId="16" fillId="18" borderId="23" xfId="0" applyFont="1" applyFill="1" applyBorder="1" applyAlignment="1" applyProtection="1">
      <alignment horizontal="center"/>
    </xf>
    <xf numFmtId="0" fontId="16" fillId="18" borderId="25" xfId="0" applyFont="1" applyFill="1" applyBorder="1" applyAlignment="1" applyProtection="1">
      <alignment horizontal="center"/>
    </xf>
    <xf numFmtId="0" fontId="3" fillId="6" borderId="40" xfId="0" applyNumberFormat="1" applyFont="1" applyFill="1" applyBorder="1" applyAlignment="1" applyProtection="1">
      <alignment horizontal="center"/>
    </xf>
    <xf numFmtId="0" fontId="3" fillId="6" borderId="37" xfId="0" applyNumberFormat="1" applyFont="1" applyFill="1" applyBorder="1" applyAlignment="1" applyProtection="1">
      <alignment horizontal="center"/>
    </xf>
    <xf numFmtId="0" fontId="3" fillId="6" borderId="44" xfId="0" applyNumberFormat="1" applyFont="1" applyFill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15" fillId="15" borderId="29" xfId="1" applyNumberFormat="1" applyFont="1" applyFill="1" applyBorder="1" applyAlignment="1" applyProtection="1">
      <alignment horizontal="center" vertical="center" wrapText="1"/>
    </xf>
    <xf numFmtId="0" fontId="15" fillId="15" borderId="32" xfId="1" applyNumberFormat="1" applyFont="1" applyFill="1" applyBorder="1" applyAlignment="1" applyProtection="1">
      <alignment horizontal="center" vertical="center" wrapText="1"/>
    </xf>
    <xf numFmtId="0" fontId="15" fillId="15" borderId="29" xfId="0" applyFont="1" applyFill="1" applyBorder="1" applyAlignment="1" applyProtection="1">
      <alignment horizontal="center" vertical="center" wrapText="1"/>
    </xf>
    <xf numFmtId="0" fontId="15" fillId="15" borderId="3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2" fontId="15" fillId="14" borderId="24" xfId="0" applyNumberFormat="1" applyFont="1" applyFill="1" applyBorder="1" applyAlignment="1" applyProtection="1">
      <alignment horizontal="center" vertical="center" wrapText="1"/>
    </xf>
    <xf numFmtId="2" fontId="15" fillId="14" borderId="25" xfId="0" applyNumberFormat="1" applyFont="1" applyFill="1" applyBorder="1" applyAlignment="1" applyProtection="1">
      <alignment horizontal="center" vertical="center" wrapText="1"/>
    </xf>
    <xf numFmtId="0" fontId="3" fillId="17" borderId="22" xfId="1" applyNumberFormat="1" applyFont="1" applyFill="1" applyBorder="1" applyAlignment="1">
      <alignment horizontal="center" wrapText="1"/>
    </xf>
    <xf numFmtId="0" fontId="3" fillId="17" borderId="23" xfId="1" applyNumberFormat="1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15" borderId="24" xfId="0" applyFont="1" applyFill="1" applyBorder="1" applyAlignment="1">
      <alignment horizontal="center"/>
    </xf>
    <xf numFmtId="0" fontId="3" fillId="15" borderId="25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23" fillId="20" borderId="57" xfId="0" applyNumberFormat="1" applyFont="1" applyFill="1" applyBorder="1" applyAlignment="1" applyProtection="1">
      <alignment horizontal="center"/>
      <protection locked="0"/>
    </xf>
    <xf numFmtId="0" fontId="23" fillId="20" borderId="55" xfId="0" applyNumberFormat="1" applyFont="1" applyFill="1" applyBorder="1" applyAlignment="1" applyProtection="1">
      <alignment horizontal="center"/>
      <protection locked="0"/>
    </xf>
    <xf numFmtId="0" fontId="3" fillId="6" borderId="55" xfId="0" applyNumberFormat="1" applyFont="1" applyFill="1" applyBorder="1" applyAlignment="1" applyProtection="1">
      <alignment horizontal="center"/>
      <protection locked="0"/>
    </xf>
    <xf numFmtId="0" fontId="3" fillId="6" borderId="56" xfId="0" applyNumberFormat="1" applyFont="1" applyFill="1" applyBorder="1" applyAlignment="1" applyProtection="1">
      <alignment horizontal="center"/>
      <protection locked="0"/>
    </xf>
  </cellXfs>
  <cellStyles count="15">
    <cellStyle name="Commentaire 2" xfId="14" xr:uid="{00000000-0005-0000-0000-000000000000}"/>
    <cellStyle name="Normal" xfId="0" builtinId="0"/>
    <cellStyle name="Normal 10 13" xfId="3" xr:uid="{00000000-0005-0000-0000-000002000000}"/>
    <cellStyle name="Normal 10 15" xfId="4" xr:uid="{00000000-0005-0000-0000-000003000000}"/>
    <cellStyle name="Normal 11 14" xfId="5" xr:uid="{00000000-0005-0000-0000-000004000000}"/>
    <cellStyle name="Normal 2" xfId="7" xr:uid="{00000000-0005-0000-0000-000005000000}"/>
    <cellStyle name="Normal 26" xfId="2" xr:uid="{00000000-0005-0000-0000-000006000000}"/>
    <cellStyle name="Normal 4 2" xfId="1" xr:uid="{00000000-0005-0000-0000-000007000000}"/>
    <cellStyle name="Normal 4 2 2" xfId="8" xr:uid="{00000000-0005-0000-0000-000008000000}"/>
    <cellStyle name="Normal 4 3" xfId="13" xr:uid="{00000000-0005-0000-0000-000009000000}"/>
    <cellStyle name="Normal 5 13 2" xfId="12" xr:uid="{00000000-0005-0000-0000-00000A000000}"/>
    <cellStyle name="Normal 5 19" xfId="10" xr:uid="{00000000-0005-0000-0000-00000B000000}"/>
    <cellStyle name="Normal 6" xfId="9" xr:uid="{00000000-0005-0000-0000-00000C000000}"/>
    <cellStyle name="Normal 7 19" xfId="6" xr:uid="{00000000-0005-0000-0000-00000D000000}"/>
    <cellStyle name="Note" xfId="11" builtinId="1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\ &quot;m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\ &quot;m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dash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AD206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56445</xdr:colOff>
      <xdr:row>18</xdr:row>
      <xdr:rowOff>297407</xdr:rowOff>
    </xdr:from>
    <xdr:to>
      <xdr:col>10</xdr:col>
      <xdr:colOff>757062</xdr:colOff>
      <xdr:row>24</xdr:row>
      <xdr:rowOff>36851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79D8EC4-B2E9-4769-B4B3-563E596FC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4" y="4650685"/>
          <a:ext cx="2640895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107667</xdr:colOff>
      <xdr:row>29</xdr:row>
      <xdr:rowOff>170048</xdr:rowOff>
    </xdr:from>
    <xdr:to>
      <xdr:col>10</xdr:col>
      <xdr:colOff>793297</xdr:colOff>
      <xdr:row>35</xdr:row>
      <xdr:rowOff>135270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D24E54D2-8912-4B54-9D7C-A667E5119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2556" y="6802270"/>
          <a:ext cx="2625908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95388</xdr:colOff>
      <xdr:row>24</xdr:row>
      <xdr:rowOff>45998</xdr:rowOff>
    </xdr:from>
    <xdr:to>
      <xdr:col>10</xdr:col>
      <xdr:colOff>784092</xdr:colOff>
      <xdr:row>29</xdr:row>
      <xdr:rowOff>173498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7E76E39D-D9CE-4E11-8409-E6D25BD1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277" y="5739831"/>
          <a:ext cx="2628982" cy="108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4:U299" totalsRowShown="0" headerRowDxfId="22" dataDxfId="20" headerRowBorderDxfId="21">
  <autoFilter ref="B4:U299" xr:uid="{191A998A-75B6-4568-BBD5-5207544FA85A}"/>
  <tableColumns count="20">
    <tableColumn id="27" xr3:uid="{D92821FD-1367-486C-B052-5D5581E6B687}" name="DESIGNATION ARTICLE" dataDxfId="19"/>
    <tableColumn id="3" xr3:uid="{00000000-0010-0000-0000-000003000000}" name="N° REFERENCE _x000a_ARTICLE" dataDxfId="18"/>
    <tableColumn id="40" xr3:uid="{9C54C739-CE5D-44B8-BA31-21B5292321CC}" name="GTIN /EAN13_x000a_ARTICLE" dataDxfId="17"/>
    <tableColumn id="6" xr3:uid="{00000000-0010-0000-0000-000006000000}" name="EPAISSEUR_x000a_(mm)" dataDxfId="16"/>
    <tableColumn id="31" xr3:uid="{E9B86FDF-E5E7-4E73-9915-B16C9FB692BF}" name="LONGUEUR_x000a_ (m)" dataDxfId="15" dataCellStyle="Normal 4 2"/>
    <tableColumn id="32" xr3:uid="{D4E088CB-12C1-40FE-8AEA-79C7AD7B3082}" name="LARGEUR_x000a_ (m)" dataDxfId="14" dataCellStyle="Normal 4 2"/>
    <tableColumn id="15" xr3:uid="{00000000-0010-0000-0000-00000F000000}" name="Nbre de pièces / Paquet" dataDxfId="13"/>
    <tableColumn id="16" xr3:uid="{00000000-0010-0000-0000-000010000000}" name="Nbre de m² / Paquet" dataDxfId="12"/>
    <tableColumn id="17" xr3:uid="{00000000-0010-0000-0000-000011000000}" name="Unité1" dataDxfId="11"/>
    <tableColumn id="19" xr3:uid="{00000000-0010-0000-0000-000013000000}" name="Nbre de Paquets / Palette" dataDxfId="10"/>
    <tableColumn id="28" xr3:uid="{67CF4B1F-723F-4307-BA66-27FB440F2A33}" name="Nbre de Panneaux /_x000a_Palette" dataDxfId="9">
      <calculatedColumnFormula>Table14[[#This Row],[Nbre de Paquets / Palette]]*Table14[[#This Row],[Nbre de pièces / Paquet]]</calculatedColumnFormula>
    </tableColumn>
    <tableColumn id="20" xr3:uid="{00000000-0010-0000-0000-000014000000}" name="Nbre de m² / Palette" dataDxfId="8">
      <calculatedColumnFormula>I5*K5</calculatedColumnFormula>
    </tableColumn>
    <tableColumn id="8" xr3:uid="{734A4C89-08B1-4416-B987-74D5654C3218}" name="Unité2" dataDxfId="7" dataCellStyle="Normal 4 2"/>
    <tableColumn id="29" xr3:uid="{A56899ED-923C-478B-8834-6BC8257314FE}" name="Nbre de Palettes / DEMI-CAMION" dataDxfId="6" dataCellStyle="Normal 4 2"/>
    <tableColumn id="35" xr3:uid="{7C46A14C-D721-4E95-BA40-356D334B7E20}" name="Nbre de m² / DEMI-CAMION" dataDxfId="5" dataCellStyle="Normal 4 2">
      <calculatedColumnFormula>Table14[[#This Row],[Nbre de Palettes / DEMI-CAMION]]*Table14[[#This Row],[Nbre de m² / Palette]]</calculatedColumnFormula>
    </tableColumn>
    <tableColumn id="38" xr3:uid="{6DA2B3C6-CA1C-4B1D-B8E5-1A7430679F1B}" name="Unité3" dataDxfId="4" dataCellStyle="Normal 4 2"/>
    <tableColumn id="30" xr3:uid="{79DFB4B7-40B5-45E8-AB25-B97046DECF26}" name="Nbre de Palettes / CAMION" dataDxfId="3" dataCellStyle="Normal 4 2"/>
    <tableColumn id="36" xr3:uid="{2FB20709-2489-40C3-A800-9AFE35AA91D2}" name="Nbre de m² / CAMION" dataDxfId="2" dataCellStyle="Normal 4 2">
      <calculatedColumnFormula>Table14[[#This Row],[Nbre de Palettes / CAMION]]*Table14[[#This Row],[Nbre de m² / Palette]]</calculatedColumnFormula>
    </tableColumn>
    <tableColumn id="39" xr3:uid="{5A3139F5-F26A-44DE-BF06-3C88ECE6816F}" name="Unité4" dataDxfId="1" dataCellStyle="Normal 4 2"/>
    <tableColumn id="37" xr3:uid="{43DB9F66-0823-4E0F-AC61-C9CBD38363A9}" name="Hauteur _x000a_CHARGEMENT" dataDxfId="0" dataCellStyle="Normal 4 2">
      <calculatedColumnFormula>0.1+(L5*(E5/1000))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47D6-E4EF-43D1-A88D-4D49C8E19BD3}">
  <sheetPr>
    <tabColor rgb="FFFFFF00"/>
  </sheetPr>
  <dimension ref="B1:K38"/>
  <sheetViews>
    <sheetView showGridLines="0" tabSelected="1" zoomScale="90" zoomScaleNormal="90" workbookViewId="0">
      <selection activeCell="B6" sqref="B6:F6"/>
    </sheetView>
  </sheetViews>
  <sheetFormatPr baseColWidth="10" defaultColWidth="10.85546875" defaultRowHeight="15" x14ac:dyDescent="0.25"/>
  <cols>
    <col min="1" max="1" width="3.28515625" style="160" customWidth="1"/>
    <col min="2" max="2" width="17.28515625" style="160" bestFit="1" customWidth="1"/>
    <col min="3" max="3" width="15.85546875" style="160" bestFit="1" customWidth="1"/>
    <col min="4" max="4" width="13.42578125" style="160" bestFit="1" customWidth="1"/>
    <col min="5" max="5" width="14.5703125" style="160" bestFit="1" customWidth="1"/>
    <col min="6" max="6" width="24.28515625" style="160" customWidth="1"/>
    <col min="7" max="7" width="21.28515625" style="160" customWidth="1"/>
    <col min="8" max="8" width="19.7109375" style="160" customWidth="1"/>
    <col min="9" max="9" width="16.5703125" style="160" customWidth="1"/>
    <col min="10" max="10" width="11.140625" style="160" customWidth="1"/>
    <col min="11" max="11" width="12.7109375" style="160" customWidth="1"/>
    <col min="12" max="16384" width="10.85546875" style="160"/>
  </cols>
  <sheetData>
    <row r="1" spans="2:11" ht="15.75" thickBot="1" x14ac:dyDescent="0.3"/>
    <row r="2" spans="2:11" ht="16.5" thickBot="1" x14ac:dyDescent="0.3">
      <c r="B2" s="323" t="s">
        <v>341</v>
      </c>
      <c r="C2" s="324"/>
      <c r="D2" s="324"/>
      <c r="E2" s="324"/>
      <c r="F2" s="324"/>
      <c r="G2" s="324"/>
      <c r="H2" s="324"/>
      <c r="I2" s="324"/>
      <c r="J2" s="324"/>
      <c r="K2" s="325"/>
    </row>
    <row r="3" spans="2:11" ht="15.75" thickBot="1" x14ac:dyDescent="0.3">
      <c r="B3" s="310" t="s">
        <v>362</v>
      </c>
      <c r="C3" s="311"/>
      <c r="D3" s="311"/>
      <c r="E3" s="311"/>
      <c r="F3" s="311"/>
      <c r="G3" s="311"/>
      <c r="H3" s="311"/>
      <c r="I3" s="311"/>
      <c r="J3" s="311"/>
      <c r="K3" s="312"/>
    </row>
    <row r="4" spans="2:11" ht="14.45" customHeight="1" x14ac:dyDescent="0.25">
      <c r="B4" s="326" t="s">
        <v>329</v>
      </c>
      <c r="C4" s="327"/>
      <c r="D4" s="327"/>
      <c r="E4" s="327"/>
      <c r="F4" s="328"/>
      <c r="G4" s="232" t="s">
        <v>335</v>
      </c>
      <c r="H4" s="161" t="s">
        <v>336</v>
      </c>
      <c r="I4" s="197" t="s">
        <v>332</v>
      </c>
      <c r="J4" s="198" t="s">
        <v>333</v>
      </c>
      <c r="K4" s="199" t="s">
        <v>334</v>
      </c>
    </row>
    <row r="5" spans="2:11" ht="14.45" customHeight="1" x14ac:dyDescent="0.25">
      <c r="B5" s="352" t="s">
        <v>387</v>
      </c>
      <c r="C5" s="353"/>
      <c r="D5" s="354" t="s">
        <v>388</v>
      </c>
      <c r="E5" s="354"/>
      <c r="F5" s="355"/>
      <c r="G5" s="297"/>
      <c r="H5" s="298"/>
      <c r="I5" s="299"/>
      <c r="J5" s="300"/>
      <c r="K5" s="301"/>
    </row>
    <row r="6" spans="2:11" ht="16.5" thickBot="1" x14ac:dyDescent="0.3">
      <c r="B6" s="329" t="s">
        <v>135</v>
      </c>
      <c r="C6" s="330"/>
      <c r="D6" s="330"/>
      <c r="E6" s="330"/>
      <c r="F6" s="331"/>
      <c r="G6" s="233">
        <f>IF(B6="","",VLOOKUP(CALCULATEUR!$B$6,Table14[],2,FALSE))</f>
        <v>646740000000010</v>
      </c>
      <c r="H6" s="162">
        <f>IF(B6="","",VLOOKUP(CALCULATEUR!$B$6,Table14[],3,FALSE))</f>
        <v>5411545022207</v>
      </c>
      <c r="I6" s="228">
        <f>IF(B6="","",VLOOKUP(CALCULATEUR!$B$6,Table14[],4,FALSE))</f>
        <v>100</v>
      </c>
      <c r="J6" s="229">
        <f>IF(B6="","",VLOOKUP(CALCULATEUR!$B$6,Table14[],5,FALSE))</f>
        <v>1.2</v>
      </c>
      <c r="K6" s="234">
        <f>IF(B6="","",VLOOKUP(CALCULATEUR!$B$6,Table14[],6,FALSE))</f>
        <v>0.6</v>
      </c>
    </row>
    <row r="7" spans="2:11" ht="15.75" thickBot="1" x14ac:dyDescent="0.3">
      <c r="B7" s="165"/>
      <c r="C7" s="164"/>
      <c r="D7" s="164"/>
      <c r="E7" s="164"/>
      <c r="F7" s="164"/>
      <c r="G7" s="164"/>
      <c r="H7" s="164"/>
      <c r="I7" s="164"/>
      <c r="J7" s="164"/>
      <c r="K7" s="177"/>
    </row>
    <row r="8" spans="2:11" ht="43.5" customHeight="1" x14ac:dyDescent="0.25">
      <c r="B8" s="332" t="s">
        <v>343</v>
      </c>
      <c r="C8" s="235" t="s">
        <v>351</v>
      </c>
      <c r="D8" s="241" t="s">
        <v>350</v>
      </c>
      <c r="E8" s="237" t="s">
        <v>348</v>
      </c>
      <c r="F8" s="167"/>
      <c r="G8" s="313" t="s">
        <v>344</v>
      </c>
      <c r="H8" s="235" t="s">
        <v>347</v>
      </c>
      <c r="I8" s="236" t="s">
        <v>338</v>
      </c>
      <c r="J8" s="235" t="s">
        <v>352</v>
      </c>
      <c r="K8" s="237" t="s">
        <v>353</v>
      </c>
    </row>
    <row r="9" spans="2:11" ht="15.75" thickBot="1" x14ac:dyDescent="0.3">
      <c r="B9" s="333"/>
      <c r="C9" s="244">
        <f>IF(B6="","",VLOOKUP(CALCULATEUR!$B$6,Table14[],7,FALSE))</f>
        <v>5</v>
      </c>
      <c r="D9" s="252">
        <f>IF(B6="","",VLOOKUP(CALCULATEUR!$B$6,Table14[],8,FALSE))</f>
        <v>3.5999999999999996</v>
      </c>
      <c r="E9" s="254">
        <f>IF(B6="","",D9*(I6/1000))</f>
        <v>0.36</v>
      </c>
      <c r="F9" s="167"/>
      <c r="G9" s="314"/>
      <c r="H9" s="238">
        <f>IF(B6="","",VLOOKUP(CALCULATEUR!$B$6,Table14[],10,FALSE))</f>
        <v>10</v>
      </c>
      <c r="I9" s="239">
        <f>IF(B6="","",VLOOKUP(CALCULATEUR!$B$6,Table14[],11,FALSE))</f>
        <v>50</v>
      </c>
      <c r="J9" s="253">
        <f>IF(B6="","",VLOOKUP(CALCULATEUR!$B$6,Table14[],12,FALSE))</f>
        <v>36</v>
      </c>
      <c r="K9" s="255">
        <f>IF(B6="","",E9*H9)</f>
        <v>3.5999999999999996</v>
      </c>
    </row>
    <row r="10" spans="2:11" ht="15.75" thickBot="1" x14ac:dyDescent="0.3">
      <c r="B10" s="245"/>
      <c r="C10" s="167"/>
      <c r="D10" s="167"/>
      <c r="E10" s="167"/>
      <c r="F10" s="167"/>
      <c r="G10" s="167"/>
      <c r="H10" s="167"/>
      <c r="I10" s="167"/>
      <c r="J10" s="167"/>
      <c r="K10" s="246"/>
    </row>
    <row r="11" spans="2:11" ht="43.5" customHeight="1" x14ac:dyDescent="0.25">
      <c r="B11" s="334" t="s">
        <v>357</v>
      </c>
      <c r="C11" s="241" t="s">
        <v>349</v>
      </c>
      <c r="D11" s="241" t="s">
        <v>339</v>
      </c>
      <c r="E11" s="237" t="s">
        <v>356</v>
      </c>
      <c r="F11" s="164"/>
      <c r="G11" s="313" t="s">
        <v>345</v>
      </c>
      <c r="H11" s="235" t="s">
        <v>361</v>
      </c>
      <c r="I11" s="240" t="s">
        <v>337</v>
      </c>
      <c r="J11" s="241" t="s">
        <v>355</v>
      </c>
      <c r="K11" s="237" t="s">
        <v>354</v>
      </c>
    </row>
    <row r="12" spans="2:11" ht="15.75" thickBot="1" x14ac:dyDescent="0.3">
      <c r="B12" s="335"/>
      <c r="C12" s="244">
        <f>IF(B6="","",VLOOKUP(CALCULATEUR!$B$6,Table14[],14,FALSE))</f>
        <v>12</v>
      </c>
      <c r="D12" s="252">
        <f>IF(B6="","",VLOOKUP(CALCULATEUR!$B$6,Table14[],15,FALSE))</f>
        <v>432</v>
      </c>
      <c r="E12" s="254">
        <f>IF(B6="","",C12*K9)</f>
        <v>43.199999999999996</v>
      </c>
      <c r="F12" s="164"/>
      <c r="G12" s="314"/>
      <c r="H12" s="242">
        <f>IF(B6="","",I12*H9)</f>
        <v>220</v>
      </c>
      <c r="I12" s="243">
        <f>IF(B6="","",VLOOKUP(CALCULATEUR!$B$6,Table14[],17,FALSE))</f>
        <v>22</v>
      </c>
      <c r="J12" s="252">
        <f>IF(B6="","",VLOOKUP(CALCULATEUR!$B$6,Table14[],18,FALSE))</f>
        <v>792</v>
      </c>
      <c r="K12" s="254">
        <f>IF(B6="","",I12*K9)</f>
        <v>79.199999999999989</v>
      </c>
    </row>
    <row r="13" spans="2:11" s="163" customFormat="1" ht="15.75" thickBot="1" x14ac:dyDescent="0.3">
      <c r="B13" s="251"/>
      <c r="C13" s="168"/>
      <c r="D13" s="168"/>
      <c r="E13" s="169"/>
      <c r="F13" s="166"/>
      <c r="G13" s="170"/>
      <c r="H13" s="170"/>
      <c r="I13" s="166"/>
      <c r="J13" s="168"/>
      <c r="K13" s="247"/>
    </row>
    <row r="14" spans="2:11" s="163" customFormat="1" ht="15.75" thickBot="1" x14ac:dyDescent="0.3">
      <c r="B14" s="336" t="s">
        <v>360</v>
      </c>
      <c r="C14" s="337"/>
      <c r="D14" s="337"/>
      <c r="E14" s="337"/>
      <c r="F14" s="337"/>
      <c r="G14" s="340" t="s">
        <v>340</v>
      </c>
      <c r="H14" s="341"/>
      <c r="I14" s="231">
        <f>IF(B6="","",VLOOKUP(CALCULATEUR!$B$6,Table14[],20,FALSE))</f>
        <v>2.6</v>
      </c>
      <c r="J14" s="230"/>
      <c r="K14" s="248"/>
    </row>
    <row r="15" spans="2:11" ht="44.25" customHeight="1" thickBot="1" x14ac:dyDescent="0.3">
      <c r="B15" s="338"/>
      <c r="C15" s="339"/>
      <c r="D15" s="339"/>
      <c r="E15" s="339"/>
      <c r="F15" s="339"/>
      <c r="G15" s="249"/>
      <c r="H15" s="249"/>
      <c r="I15" s="249"/>
      <c r="J15" s="249"/>
      <c r="K15" s="250"/>
    </row>
    <row r="16" spans="2:11" x14ac:dyDescent="0.25">
      <c r="B16" s="176"/>
      <c r="C16" s="176"/>
      <c r="D16" s="176"/>
      <c r="E16" s="176"/>
      <c r="F16" s="176"/>
      <c r="G16" s="164"/>
      <c r="H16" s="164"/>
      <c r="I16" s="164"/>
      <c r="J16" s="164"/>
      <c r="K16" s="164"/>
    </row>
    <row r="17" spans="2:11" ht="15.75" thickBot="1" x14ac:dyDescent="0.3">
      <c r="B17" s="167"/>
      <c r="C17" s="167"/>
      <c r="D17" s="171"/>
      <c r="E17" s="167"/>
      <c r="F17" s="167"/>
      <c r="G17" s="164"/>
      <c r="H17" s="164"/>
      <c r="I17" s="164"/>
      <c r="J17" s="164"/>
      <c r="K17" s="164"/>
    </row>
    <row r="18" spans="2:11" ht="16.5" thickBot="1" x14ac:dyDescent="0.3">
      <c r="B18" s="323" t="s">
        <v>346</v>
      </c>
      <c r="C18" s="324"/>
      <c r="D18" s="324"/>
      <c r="E18" s="324"/>
      <c r="F18" s="324"/>
      <c r="G18" s="308" t="s">
        <v>383</v>
      </c>
      <c r="H18" s="306" t="s">
        <v>378</v>
      </c>
      <c r="I18" s="306"/>
      <c r="J18" s="306"/>
      <c r="K18" s="307"/>
    </row>
    <row r="19" spans="2:11" ht="30" customHeight="1" thickBot="1" x14ac:dyDescent="0.3">
      <c r="B19" s="315" t="s">
        <v>342</v>
      </c>
      <c r="C19" s="316"/>
      <c r="D19" s="316"/>
      <c r="E19" s="316"/>
      <c r="F19" s="316"/>
      <c r="G19" s="309"/>
      <c r="H19" s="321" t="s">
        <v>384</v>
      </c>
      <c r="I19" s="321"/>
      <c r="J19" s="321"/>
      <c r="K19" s="322"/>
    </row>
    <row r="20" spans="2:11" ht="18" thickBot="1" x14ac:dyDescent="0.3">
      <c r="B20" s="317" t="s">
        <v>358</v>
      </c>
      <c r="C20" s="318"/>
      <c r="D20" s="257">
        <v>6080</v>
      </c>
      <c r="E20" s="178" t="str">
        <f>IF(D20="","","Soit :")</f>
        <v>Soit :</v>
      </c>
      <c r="F20" s="264">
        <f>IF(D20="","",(I6/1000)*D20)</f>
        <v>608</v>
      </c>
      <c r="G20" s="271" t="s">
        <v>364</v>
      </c>
      <c r="H20" s="276" t="s">
        <v>367</v>
      </c>
      <c r="I20" s="166"/>
      <c r="J20" s="269"/>
      <c r="K20" s="177"/>
    </row>
    <row r="21" spans="2:11" x14ac:dyDescent="0.25">
      <c r="B21" s="319" t="str">
        <f>IF(D20="","","Soit :")</f>
        <v>Soit :</v>
      </c>
      <c r="C21" s="174" t="str">
        <f>IF(D20="","","Nb PAQUETS")</f>
        <v>Nb PAQUETS</v>
      </c>
      <c r="D21" s="175" t="str">
        <f>IF(D20="","","Nb PALETTES")</f>
        <v>Nb PALETTES</v>
      </c>
      <c r="E21" s="256" t="str">
        <f>IF(D20="","","Nb 1/2 CAMION")</f>
        <v>Nb 1/2 CAMION</v>
      </c>
      <c r="F21" s="265" t="str">
        <f>IF(D20="","","Nb CAMION")</f>
        <v>Nb CAMION</v>
      </c>
      <c r="G21" s="281" t="s">
        <v>374</v>
      </c>
      <c r="H21" s="230" t="s">
        <v>369</v>
      </c>
      <c r="I21" s="270"/>
      <c r="J21" s="270"/>
      <c r="K21" s="177"/>
    </row>
    <row r="22" spans="2:11" ht="15.75" thickBot="1" x14ac:dyDescent="0.3">
      <c r="B22" s="320"/>
      <c r="C22" s="172">
        <f>IF(D20="","",D20/D9)</f>
        <v>1688.8888888888891</v>
      </c>
      <c r="D22" s="173">
        <f>IF(D20="","",D20/J9)</f>
        <v>168.88888888888889</v>
      </c>
      <c r="E22" s="285">
        <f>IF(F20="","",F20/E12)</f>
        <v>14.074074074074076</v>
      </c>
      <c r="F22" s="286">
        <f>IF(F20="","",F20/K12)</f>
        <v>7.6767676767676782</v>
      </c>
      <c r="G22" s="165" t="s">
        <v>373</v>
      </c>
      <c r="H22" s="277" t="s">
        <v>372</v>
      </c>
      <c r="I22" s="164"/>
      <c r="J22" s="164"/>
      <c r="K22" s="177"/>
    </row>
    <row r="23" spans="2:11" x14ac:dyDescent="0.25">
      <c r="B23" s="258" t="str">
        <f>IF(D20="","","Ajustement Qtités :")</f>
        <v>Ajustement Qtités :</v>
      </c>
      <c r="C23" s="179">
        <f>IF(D20="","",ROUNDUP(C22,0))</f>
        <v>1689</v>
      </c>
      <c r="D23" s="179">
        <f>IF(D20="","",ROUNDUP(D22,0))</f>
        <v>169</v>
      </c>
      <c r="E23" s="179">
        <f>IF(F20="","",ROUNDUP(E22,0))</f>
        <v>15</v>
      </c>
      <c r="F23" s="266">
        <f>IF(F20="","",ROUNDUP(F22,0))</f>
        <v>8</v>
      </c>
      <c r="G23" s="165"/>
      <c r="H23" s="278"/>
      <c r="I23" s="164"/>
      <c r="J23" s="164"/>
      <c r="K23" s="177"/>
    </row>
    <row r="24" spans="2:11" x14ac:dyDescent="0.25">
      <c r="B24" s="259" t="str">
        <f>IF(D20="","","Soit en m² :")</f>
        <v>Soit en m² :</v>
      </c>
      <c r="C24" s="260">
        <f>IF(D20="","",(C23*D9))</f>
        <v>6080.4</v>
      </c>
      <c r="D24" s="260">
        <f>IF(D20="","",(D23*J9))</f>
        <v>6084</v>
      </c>
      <c r="E24" s="260">
        <f>IF(F20="","",(E23*D12))</f>
        <v>6480</v>
      </c>
      <c r="F24" s="267">
        <f>IF(F20="","",(F23*J12))</f>
        <v>6336</v>
      </c>
      <c r="G24" s="165"/>
      <c r="H24" s="278"/>
      <c r="I24" s="164"/>
      <c r="J24" s="164"/>
      <c r="K24" s="177"/>
    </row>
    <row r="25" spans="2:11" ht="15.75" thickBot="1" x14ac:dyDescent="0.3">
      <c r="B25" s="261" t="str">
        <f>IF(D21="","","Soit en m3 :")</f>
        <v>Soit en m3 :</v>
      </c>
      <c r="C25" s="262">
        <f>IF(D20="","",(C23*E9))</f>
        <v>608.04</v>
      </c>
      <c r="D25" s="262">
        <f>IF(D20="","",(D23*K9))</f>
        <v>608.4</v>
      </c>
      <c r="E25" s="262">
        <f>IF(D20="","",(E23*E12))</f>
        <v>647.99999999999989</v>
      </c>
      <c r="F25" s="268">
        <f>IF(D20="","",(F23*K12))</f>
        <v>633.59999999999991</v>
      </c>
      <c r="G25" s="165"/>
      <c r="H25" s="164"/>
      <c r="I25" s="164"/>
      <c r="J25" s="164"/>
      <c r="K25" s="177"/>
    </row>
    <row r="26" spans="2:11" ht="16.5" thickBot="1" x14ac:dyDescent="0.3">
      <c r="G26" s="271" t="s">
        <v>365</v>
      </c>
      <c r="H26" s="276" t="s">
        <v>367</v>
      </c>
      <c r="I26" s="164"/>
      <c r="J26" s="164"/>
      <c r="K26" s="177"/>
    </row>
    <row r="27" spans="2:11" ht="15.75" thickBot="1" x14ac:dyDescent="0.3">
      <c r="B27" s="302" t="s">
        <v>363</v>
      </c>
      <c r="C27" s="303"/>
      <c r="D27" s="303"/>
      <c r="E27" s="304"/>
      <c r="F27" s="305"/>
      <c r="G27" s="281" t="s">
        <v>376</v>
      </c>
      <c r="H27" s="230" t="s">
        <v>368</v>
      </c>
      <c r="I27" s="164"/>
      <c r="J27" s="164"/>
      <c r="K27" s="177"/>
    </row>
    <row r="28" spans="2:11" x14ac:dyDescent="0.25">
      <c r="B28" s="289"/>
      <c r="C28" s="289"/>
      <c r="D28" s="290"/>
      <c r="E28" s="287"/>
      <c r="F28" s="283"/>
      <c r="G28" s="165" t="s">
        <v>373</v>
      </c>
      <c r="H28" s="277" t="s">
        <v>377</v>
      </c>
      <c r="I28" s="164"/>
      <c r="J28" s="164"/>
      <c r="K28" s="177"/>
    </row>
    <row r="29" spans="2:11" x14ac:dyDescent="0.25">
      <c r="B29" s="291"/>
      <c r="C29" s="292"/>
      <c r="D29" s="291"/>
      <c r="E29" s="282"/>
      <c r="F29" s="283"/>
      <c r="G29" s="165"/>
      <c r="H29" s="278"/>
      <c r="I29" s="164"/>
      <c r="J29" s="164"/>
      <c r="K29" s="177"/>
    </row>
    <row r="30" spans="2:11" x14ac:dyDescent="0.25">
      <c r="B30" s="291"/>
      <c r="C30" s="292"/>
      <c r="D30" s="292"/>
      <c r="E30" s="282"/>
      <c r="F30" s="283"/>
      <c r="G30" s="165"/>
      <c r="H30" s="278"/>
      <c r="I30" s="164"/>
      <c r="J30" s="164"/>
      <c r="K30" s="177"/>
    </row>
    <row r="31" spans="2:11" ht="15.75" x14ac:dyDescent="0.25">
      <c r="B31" s="291"/>
      <c r="C31" s="292"/>
      <c r="D31" s="291"/>
      <c r="E31" s="282"/>
      <c r="F31" s="283"/>
      <c r="G31" s="271" t="s">
        <v>366</v>
      </c>
      <c r="H31" s="276" t="s">
        <v>367</v>
      </c>
      <c r="I31" s="164"/>
      <c r="J31" s="164"/>
      <c r="K31" s="177"/>
    </row>
    <row r="32" spans="2:11" x14ac:dyDescent="0.25">
      <c r="B32" s="290"/>
      <c r="C32" s="290"/>
      <c r="D32" s="290"/>
      <c r="E32" s="287"/>
      <c r="F32" s="177"/>
      <c r="G32" s="281" t="s">
        <v>379</v>
      </c>
      <c r="H32" s="277" t="s">
        <v>370</v>
      </c>
      <c r="I32" s="164"/>
      <c r="J32" s="164"/>
      <c r="K32" s="177"/>
    </row>
    <row r="33" spans="2:11" x14ac:dyDescent="0.25">
      <c r="B33" s="293"/>
      <c r="C33" s="290"/>
      <c r="D33" s="294"/>
      <c r="E33" s="274"/>
      <c r="F33" s="283"/>
      <c r="G33" s="165"/>
      <c r="H33" s="277" t="s">
        <v>371</v>
      </c>
      <c r="I33" s="164"/>
      <c r="J33" s="164"/>
      <c r="K33" s="177"/>
    </row>
    <row r="34" spans="2:11" x14ac:dyDescent="0.25">
      <c r="B34" s="273"/>
      <c r="C34" s="274"/>
      <c r="D34" s="274"/>
      <c r="E34" s="274"/>
      <c r="F34" s="283"/>
      <c r="G34" s="165" t="s">
        <v>373</v>
      </c>
      <c r="H34" s="279" t="s">
        <v>380</v>
      </c>
      <c r="I34" s="164"/>
      <c r="J34" s="164"/>
      <c r="K34" s="177"/>
    </row>
    <row r="35" spans="2:11" x14ac:dyDescent="0.25">
      <c r="B35" s="273"/>
      <c r="C35" s="274"/>
      <c r="D35" s="274"/>
      <c r="E35" s="274"/>
      <c r="F35" s="283"/>
      <c r="G35" s="165"/>
      <c r="H35" s="279" t="s">
        <v>381</v>
      </c>
      <c r="I35" s="164"/>
      <c r="J35" s="164"/>
      <c r="K35" s="177"/>
    </row>
    <row r="36" spans="2:11" ht="15.75" thickBot="1" x14ac:dyDescent="0.3">
      <c r="B36" s="275"/>
      <c r="C36" s="272"/>
      <c r="D36" s="272"/>
      <c r="E36" s="272"/>
      <c r="F36" s="284"/>
      <c r="G36" s="263" t="s">
        <v>375</v>
      </c>
      <c r="H36" s="280" t="s">
        <v>382</v>
      </c>
      <c r="I36" s="249"/>
      <c r="J36" s="249"/>
      <c r="K36" s="250"/>
    </row>
    <row r="38" spans="2:11" x14ac:dyDescent="0.25">
      <c r="E38" s="288"/>
    </row>
  </sheetData>
  <sheetProtection sheet="1" selectLockedCells="1" autoFilter="0"/>
  <mergeCells count="20">
    <mergeCell ref="B2:K2"/>
    <mergeCell ref="B4:F4"/>
    <mergeCell ref="B6:F6"/>
    <mergeCell ref="B18:F18"/>
    <mergeCell ref="B8:B9"/>
    <mergeCell ref="B11:B12"/>
    <mergeCell ref="B14:F15"/>
    <mergeCell ref="G14:H14"/>
    <mergeCell ref="D5:F5"/>
    <mergeCell ref="B5:C5"/>
    <mergeCell ref="B27:F27"/>
    <mergeCell ref="H18:K18"/>
    <mergeCell ref="G18:G19"/>
    <mergeCell ref="B3:K3"/>
    <mergeCell ref="G11:G12"/>
    <mergeCell ref="G8:G9"/>
    <mergeCell ref="B19:F19"/>
    <mergeCell ref="B20:C20"/>
    <mergeCell ref="B21:B22"/>
    <mergeCell ref="H19:K19"/>
  </mergeCells>
  <conditionalFormatting sqref="C24:F24">
    <cfRule type="notContainsBlanks" dxfId="39" priority="8">
      <formula>LEN(TRIM(C24))&gt;0</formula>
    </cfRule>
  </conditionalFormatting>
  <conditionalFormatting sqref="D20">
    <cfRule type="notContainsBlanks" dxfId="38" priority="6">
      <formula>LEN(TRIM(D20))&gt;0</formula>
    </cfRule>
    <cfRule type="containsBlanks" dxfId="37" priority="7">
      <formula>LEN(TRIM(D20))=0</formula>
    </cfRule>
  </conditionalFormatting>
  <conditionalFormatting sqref="B6">
    <cfRule type="containsBlanks" dxfId="36" priority="10">
      <formula>LEN(TRIM(B6))=0</formula>
    </cfRule>
  </conditionalFormatting>
  <conditionalFormatting sqref="B6:K6">
    <cfRule type="notContainsBlanks" dxfId="35" priority="4">
      <formula>LEN(TRIM(B6))&gt;0</formula>
    </cfRule>
  </conditionalFormatting>
  <conditionalFormatting sqref="C25:F25">
    <cfRule type="notContainsBlanks" dxfId="34" priority="2">
      <formula>LEN(TRIM(C25))&gt;0</formula>
    </cfRule>
  </conditionalFormatting>
  <conditionalFormatting sqref="D5:F5">
    <cfRule type="containsBlanks" dxfId="33" priority="1">
      <formula>LEN(TRIM(D5))=0</formula>
    </cfRule>
  </conditionalFormatting>
  <dataValidations count="1">
    <dataValidation type="list" sqref="B6" xr:uid="{751ABECF-72D8-4B07-85AE-8552845E8B98}">
      <formula1>Liste</formula1>
    </dataValidation>
  </dataValidations>
  <pageMargins left="0.7" right="0.7" top="0.75" bottom="0.75" header="0.3" footer="0.3"/>
  <pageSetup paperSize="9" orientation="portrait" verticalDpi="0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Z299"/>
  <sheetViews>
    <sheetView zoomScaleNormal="100" workbookViewId="0">
      <pane xSplit="3" ySplit="4" topLeftCell="Y5" activePane="bottomRight" state="frozenSplit"/>
      <selection pane="topRight" activeCell="D1" sqref="D1"/>
      <selection pane="bottomLeft" activeCell="A4" sqref="A4"/>
      <selection pane="bottomRight" activeCell="Z5" sqref="Z5:Z299"/>
    </sheetView>
  </sheetViews>
  <sheetFormatPr baseColWidth="10" defaultColWidth="10.85546875" defaultRowHeight="15" x14ac:dyDescent="0.25"/>
  <cols>
    <col min="1" max="1" width="7.42578125" style="1" customWidth="1"/>
    <col min="2" max="2" width="58.140625" style="2" customWidth="1"/>
    <col min="3" max="3" width="18.28515625" style="3" customWidth="1"/>
    <col min="4" max="4" width="13.85546875" style="2" bestFit="1" customWidth="1"/>
    <col min="5" max="5" width="11.28515625" style="200" bestFit="1" customWidth="1"/>
    <col min="6" max="6" width="11.7109375" style="1" bestFit="1" customWidth="1"/>
    <col min="7" max="7" width="10.140625" style="201" bestFit="1" customWidth="1"/>
    <col min="8" max="8" width="14.42578125" style="128" bestFit="1" customWidth="1"/>
    <col min="9" max="9" width="13.42578125" style="1" bestFit="1" customWidth="1"/>
    <col min="10" max="10" width="10.28515625" style="1" bestFit="1" customWidth="1"/>
    <col min="11" max="11" width="15.140625" style="1" customWidth="1"/>
    <col min="12" max="12" width="16.85546875" style="1" customWidth="1"/>
    <col min="13" max="13" width="11.7109375" style="1" bestFit="1" customWidth="1"/>
    <col min="14" max="14" width="6.5703125" style="1" customWidth="1"/>
    <col min="15" max="15" width="14.85546875" style="1" customWidth="1"/>
    <col min="16" max="16" width="12.5703125" style="134" customWidth="1"/>
    <col min="17" max="17" width="4.5703125" style="1" customWidth="1"/>
    <col min="18" max="18" width="15.140625" style="1" customWidth="1"/>
    <col min="19" max="19" width="14.140625" style="134" customWidth="1"/>
    <col min="20" max="20" width="7.140625" style="1" customWidth="1"/>
    <col min="21" max="21" width="15.140625" style="134" customWidth="1"/>
    <col min="23" max="23" width="9.85546875" style="2" bestFit="1" customWidth="1"/>
    <col min="24" max="16384" width="10.85546875" style="2"/>
  </cols>
  <sheetData>
    <row r="2" spans="1:26" ht="15.75" thickBot="1" x14ac:dyDescent="0.3"/>
    <row r="3" spans="1:26" ht="15.75" thickBot="1" x14ac:dyDescent="0.3">
      <c r="E3" s="202"/>
      <c r="G3" s="203"/>
      <c r="H3" s="342" t="s">
        <v>17</v>
      </c>
      <c r="I3" s="343"/>
      <c r="J3" s="343"/>
      <c r="K3" s="344" t="s">
        <v>18</v>
      </c>
      <c r="L3" s="345"/>
      <c r="M3" s="345"/>
      <c r="N3" s="346"/>
      <c r="O3" s="347" t="s">
        <v>19</v>
      </c>
      <c r="P3" s="348"/>
      <c r="Q3" s="129"/>
      <c r="R3" s="349" t="s">
        <v>20</v>
      </c>
      <c r="S3" s="350"/>
      <c r="T3" s="351"/>
      <c r="U3" s="135"/>
    </row>
    <row r="4" spans="1:26" s="4" customFormat="1" ht="26.25" thickBot="1" x14ac:dyDescent="0.25">
      <c r="A4" s="148" t="s">
        <v>0</v>
      </c>
      <c r="B4" s="149" t="s">
        <v>329</v>
      </c>
      <c r="C4" s="150" t="s">
        <v>2</v>
      </c>
      <c r="D4" s="151" t="s">
        <v>14</v>
      </c>
      <c r="E4" s="204" t="s">
        <v>11</v>
      </c>
      <c r="F4" s="205" t="s">
        <v>330</v>
      </c>
      <c r="G4" s="205" t="s">
        <v>331</v>
      </c>
      <c r="H4" s="152" t="s">
        <v>32</v>
      </c>
      <c r="I4" s="153" t="s">
        <v>24</v>
      </c>
      <c r="J4" s="153" t="s">
        <v>22</v>
      </c>
      <c r="K4" s="154" t="s">
        <v>25</v>
      </c>
      <c r="L4" s="154" t="s">
        <v>26</v>
      </c>
      <c r="M4" s="154" t="s">
        <v>27</v>
      </c>
      <c r="N4" s="155" t="s">
        <v>23</v>
      </c>
      <c r="O4" s="156" t="s">
        <v>28</v>
      </c>
      <c r="P4" s="156" t="s">
        <v>16</v>
      </c>
      <c r="Q4" s="156" t="s">
        <v>29</v>
      </c>
      <c r="R4" s="157" t="s">
        <v>30</v>
      </c>
      <c r="S4" s="157" t="s">
        <v>21</v>
      </c>
      <c r="T4" s="157" t="s">
        <v>31</v>
      </c>
      <c r="U4" s="158" t="s">
        <v>328</v>
      </c>
      <c r="Z4" s="4" t="s">
        <v>359</v>
      </c>
    </row>
    <row r="5" spans="1:26" ht="12.95" customHeight="1" thickBot="1" x14ac:dyDescent="0.3">
      <c r="A5" s="195" t="s">
        <v>3</v>
      </c>
      <c r="B5" s="5" t="s">
        <v>33</v>
      </c>
      <c r="C5" s="14">
        <v>646390000000101</v>
      </c>
      <c r="D5" s="12">
        <v>5411545021835</v>
      </c>
      <c r="E5" s="206">
        <v>20</v>
      </c>
      <c r="F5" s="207">
        <v>1.2</v>
      </c>
      <c r="G5" s="207">
        <v>1</v>
      </c>
      <c r="H5" s="55">
        <v>22</v>
      </c>
      <c r="I5" s="56">
        <f t="shared" ref="I5:I19" si="0">H5*(F5*G5)</f>
        <v>26.4</v>
      </c>
      <c r="J5" s="55" t="s">
        <v>1</v>
      </c>
      <c r="K5" s="55">
        <v>5</v>
      </c>
      <c r="L5" s="55">
        <f>H5*K5</f>
        <v>110</v>
      </c>
      <c r="M5" s="56">
        <f t="shared" ref="M5:M19" si="1">I5*K5</f>
        <v>132</v>
      </c>
      <c r="N5" s="55" t="s">
        <v>1</v>
      </c>
      <c r="O5" s="55">
        <v>12</v>
      </c>
      <c r="P5" s="56">
        <f>M5*O5</f>
        <v>1584</v>
      </c>
      <c r="Q5" s="55" t="s">
        <v>1</v>
      </c>
      <c r="R5" s="55">
        <v>26</v>
      </c>
      <c r="S5" s="56">
        <f>R5*M5</f>
        <v>3432</v>
      </c>
      <c r="T5" s="55" t="s">
        <v>1</v>
      </c>
      <c r="U5" s="56">
        <f t="shared" ref="U5:U19" si="2">0.1+(L5*(E5/1000))</f>
        <v>2.3000000000000003</v>
      </c>
      <c r="W5" s="196"/>
      <c r="Z5" s="2" t="str">
        <f t="array" ref="Z5">IFERROR(INDEX(Table14[DESIGNATION ARTICLE],SMALL(IF(ISNUMBER(SEARCH(CALCULATEUR!$D$5,Table14[DESIGNATION ARTICLE])),ROW(Table14[DESIGNATION ARTICLE])-4),ROWS($1:1))),"")</f>
        <v>EUROTOIT® 100 mm 1200 x 1000 - Bords rainurés-bouvetés 4 côtés</v>
      </c>
    </row>
    <row r="6" spans="1:26" x14ac:dyDescent="0.25">
      <c r="A6" s="195"/>
      <c r="B6" s="5" t="s">
        <v>34</v>
      </c>
      <c r="C6" s="14">
        <v>646390000000046</v>
      </c>
      <c r="D6" s="11">
        <v>5411545021842</v>
      </c>
      <c r="E6" s="208">
        <v>30</v>
      </c>
      <c r="F6" s="209">
        <v>1.2</v>
      </c>
      <c r="G6" s="209">
        <v>1</v>
      </c>
      <c r="H6" s="55">
        <v>16</v>
      </c>
      <c r="I6" s="56">
        <f t="shared" si="0"/>
        <v>19.2</v>
      </c>
      <c r="J6" s="55" t="s">
        <v>1</v>
      </c>
      <c r="K6" s="55">
        <v>5</v>
      </c>
      <c r="L6" s="55">
        <f t="shared" ref="L6:L68" si="3">H6*K6</f>
        <v>80</v>
      </c>
      <c r="M6" s="56">
        <f t="shared" si="1"/>
        <v>96</v>
      </c>
      <c r="N6" s="55" t="s">
        <v>1</v>
      </c>
      <c r="O6" s="55">
        <v>12</v>
      </c>
      <c r="P6" s="56">
        <f t="shared" ref="P6:P28" si="4">M6*O6</f>
        <v>1152</v>
      </c>
      <c r="Q6" s="55" t="s">
        <v>1</v>
      </c>
      <c r="R6" s="55">
        <v>26</v>
      </c>
      <c r="S6" s="56">
        <f t="shared" ref="S6:S19" si="5">R6*M6</f>
        <v>2496</v>
      </c>
      <c r="T6" s="55" t="s">
        <v>1</v>
      </c>
      <c r="U6" s="56">
        <f t="shared" si="2"/>
        <v>2.5</v>
      </c>
      <c r="Z6" s="2" t="str">
        <f t="array" ref="Z6">IFERROR(INDEX(Table14[DESIGNATION ARTICLE],SMALL(IF(ISNUMBER(SEARCH(CALCULATEUR!$D$5,Table14[DESIGNATION ARTICLE])),ROW(Table14[DESIGNATION ARTICLE])-4),ROWS($1:2))),"")</f>
        <v>POWERWALL® 100 mm 1200 x 600 - Bords rainurés-bouvetés 4 côtés</v>
      </c>
    </row>
    <row r="7" spans="1:26" x14ac:dyDescent="0.25">
      <c r="A7" s="195"/>
      <c r="B7" s="5" t="s">
        <v>35</v>
      </c>
      <c r="C7" s="14">
        <v>646390000000069</v>
      </c>
      <c r="D7" s="12">
        <v>5411545021859</v>
      </c>
      <c r="E7" s="206">
        <v>40</v>
      </c>
      <c r="F7" s="207">
        <v>1.2</v>
      </c>
      <c r="G7" s="207">
        <v>1</v>
      </c>
      <c r="H7" s="55">
        <v>12</v>
      </c>
      <c r="I7" s="56">
        <f t="shared" si="0"/>
        <v>14.399999999999999</v>
      </c>
      <c r="J7" s="55" t="s">
        <v>1</v>
      </c>
      <c r="K7" s="55">
        <v>5</v>
      </c>
      <c r="L7" s="55">
        <f t="shared" si="3"/>
        <v>60</v>
      </c>
      <c r="M7" s="56">
        <f t="shared" si="1"/>
        <v>72</v>
      </c>
      <c r="N7" s="55" t="s">
        <v>1</v>
      </c>
      <c r="O7" s="55">
        <v>12</v>
      </c>
      <c r="P7" s="56">
        <f t="shared" si="4"/>
        <v>864</v>
      </c>
      <c r="Q7" s="55" t="s">
        <v>1</v>
      </c>
      <c r="R7" s="55">
        <v>26</v>
      </c>
      <c r="S7" s="56">
        <f t="shared" si="5"/>
        <v>1872</v>
      </c>
      <c r="T7" s="55" t="s">
        <v>1</v>
      </c>
      <c r="U7" s="56">
        <f t="shared" si="2"/>
        <v>2.5</v>
      </c>
      <c r="Z7" s="2" t="str">
        <f t="array" ref="Z7">IFERROR(INDEX(Table14[DESIGNATION ARTICLE],SMALL(IF(ISNUMBER(SEARCH(CALCULATEUR!$D$5,Table14[DESIGNATION ARTICLE])),ROW(Table14[DESIGNATION ARTICLE])-4),ROWS($1:3))),"")</f>
        <v>EUROWALL® 100 mm 1200 x 600 - Bords rainurés-bouvetés 4 côtés</v>
      </c>
    </row>
    <row r="8" spans="1:26" x14ac:dyDescent="0.25">
      <c r="A8" s="195"/>
      <c r="B8" s="5" t="s">
        <v>36</v>
      </c>
      <c r="C8" s="14">
        <v>646390000000103</v>
      </c>
      <c r="D8" s="11">
        <v>5411545021866</v>
      </c>
      <c r="E8" s="208">
        <v>44</v>
      </c>
      <c r="F8" s="209">
        <v>1.2</v>
      </c>
      <c r="G8" s="209">
        <v>1</v>
      </c>
      <c r="H8" s="55">
        <v>11</v>
      </c>
      <c r="I8" s="56">
        <f t="shared" si="0"/>
        <v>13.2</v>
      </c>
      <c r="J8" s="55" t="s">
        <v>1</v>
      </c>
      <c r="K8" s="55">
        <v>5</v>
      </c>
      <c r="L8" s="55">
        <f t="shared" si="3"/>
        <v>55</v>
      </c>
      <c r="M8" s="56">
        <f t="shared" si="1"/>
        <v>66</v>
      </c>
      <c r="N8" s="55" t="s">
        <v>1</v>
      </c>
      <c r="O8" s="55">
        <v>12</v>
      </c>
      <c r="P8" s="56">
        <f t="shared" si="4"/>
        <v>792</v>
      </c>
      <c r="Q8" s="55" t="s">
        <v>1</v>
      </c>
      <c r="R8" s="55">
        <v>26</v>
      </c>
      <c r="S8" s="56">
        <f t="shared" si="5"/>
        <v>1716</v>
      </c>
      <c r="T8" s="55" t="s">
        <v>1</v>
      </c>
      <c r="U8" s="56">
        <f t="shared" si="2"/>
        <v>2.52</v>
      </c>
      <c r="Z8" s="2" t="str">
        <f t="array" ref="Z8">IFERROR(INDEX(Table14[DESIGNATION ARTICLE],SMALL(IF(ISNUMBER(SEARCH(CALCULATEUR!$D$5,Table14[DESIGNATION ARTICLE])),ROW(Table14[DESIGNATION ARTICLE])-4),ROWS($1:4))),"")</f>
        <v>EUROTHANE Br-Bio® 100 mm 600 x 600 - Bords droits 4 côtés</v>
      </c>
    </row>
    <row r="9" spans="1:26" x14ac:dyDescent="0.25">
      <c r="A9" s="195"/>
      <c r="B9" s="5" t="s">
        <v>37</v>
      </c>
      <c r="C9" s="14">
        <v>646390000000121</v>
      </c>
      <c r="D9" s="12">
        <v>5411545021873</v>
      </c>
      <c r="E9" s="206">
        <v>50</v>
      </c>
      <c r="F9" s="207">
        <v>1.2</v>
      </c>
      <c r="G9" s="207">
        <v>1</v>
      </c>
      <c r="H9" s="55">
        <v>10</v>
      </c>
      <c r="I9" s="56">
        <f t="shared" si="0"/>
        <v>12</v>
      </c>
      <c r="J9" s="55" t="s">
        <v>1</v>
      </c>
      <c r="K9" s="55">
        <v>5</v>
      </c>
      <c r="L9" s="55">
        <f t="shared" si="3"/>
        <v>50</v>
      </c>
      <c r="M9" s="56">
        <f t="shared" si="1"/>
        <v>60</v>
      </c>
      <c r="N9" s="55" t="s">
        <v>1</v>
      </c>
      <c r="O9" s="55">
        <v>12</v>
      </c>
      <c r="P9" s="56">
        <f t="shared" si="4"/>
        <v>720</v>
      </c>
      <c r="Q9" s="55" t="s">
        <v>1</v>
      </c>
      <c r="R9" s="55">
        <v>26</v>
      </c>
      <c r="S9" s="56">
        <f t="shared" si="5"/>
        <v>1560</v>
      </c>
      <c r="T9" s="55" t="s">
        <v>1</v>
      </c>
      <c r="U9" s="56">
        <f t="shared" si="2"/>
        <v>2.6</v>
      </c>
      <c r="Z9" s="2" t="str">
        <f t="array" ref="Z9">IFERROR(INDEX(Table14[DESIGNATION ARTICLE],SMALL(IF(ISNUMBER(SEARCH(CALCULATEUR!$D$5,Table14[DESIGNATION ARTICLE])),ROW(Table14[DESIGNATION ARTICLE])-4),ROWS($1:5))),"")</f>
        <v>EUROTHANE AUTOPRO SI® 100 mm 600 x 600 - Bords droits 4 côtés</v>
      </c>
    </row>
    <row r="10" spans="1:26" x14ac:dyDescent="0.25">
      <c r="A10" s="195"/>
      <c r="B10" s="5" t="s">
        <v>38</v>
      </c>
      <c r="C10" s="14">
        <v>646390000000105</v>
      </c>
      <c r="D10" s="11">
        <v>5411545021880</v>
      </c>
      <c r="E10" s="208">
        <v>53</v>
      </c>
      <c r="F10" s="209">
        <v>1.2</v>
      </c>
      <c r="G10" s="209">
        <v>1</v>
      </c>
      <c r="H10" s="55">
        <v>9</v>
      </c>
      <c r="I10" s="56">
        <f t="shared" si="0"/>
        <v>10.799999999999999</v>
      </c>
      <c r="J10" s="55" t="s">
        <v>1</v>
      </c>
      <c r="K10" s="55">
        <v>5</v>
      </c>
      <c r="L10" s="55">
        <f t="shared" si="3"/>
        <v>45</v>
      </c>
      <c r="M10" s="56">
        <f t="shared" si="1"/>
        <v>53.999999999999993</v>
      </c>
      <c r="N10" s="55" t="s">
        <v>1</v>
      </c>
      <c r="O10" s="55">
        <v>12</v>
      </c>
      <c r="P10" s="56">
        <f t="shared" si="4"/>
        <v>647.99999999999989</v>
      </c>
      <c r="Q10" s="55" t="s">
        <v>1</v>
      </c>
      <c r="R10" s="55">
        <v>26</v>
      </c>
      <c r="S10" s="56">
        <f t="shared" si="5"/>
        <v>1403.9999999999998</v>
      </c>
      <c r="T10" s="55" t="s">
        <v>1</v>
      </c>
      <c r="U10" s="56">
        <f t="shared" si="2"/>
        <v>2.4849999999999999</v>
      </c>
      <c r="Z10" s="2" t="str">
        <f t="array" ref="Z10">IFERROR(INDEX(Table14[DESIGNATION ARTICLE],SMALL(IF(ISNUMBER(SEARCH(CALCULATEUR!$D$5,Table14[DESIGNATION ARTICLE])),ROW(Table14[DESIGNATION ARTICLE])-4),ROWS($1:6))),"")</f>
        <v>EUROTHANE Bi-4® 100 mm 1200 x 600 - Bords droits 4 côtés</v>
      </c>
    </row>
    <row r="11" spans="1:26" x14ac:dyDescent="0.25">
      <c r="A11" s="195"/>
      <c r="B11" s="5" t="s">
        <v>39</v>
      </c>
      <c r="C11" s="14">
        <v>646390000000107</v>
      </c>
      <c r="D11" s="12">
        <v>5411545021897</v>
      </c>
      <c r="E11" s="206">
        <v>58</v>
      </c>
      <c r="F11" s="207">
        <v>1.2</v>
      </c>
      <c r="G11" s="207">
        <v>1</v>
      </c>
      <c r="H11" s="55">
        <v>7</v>
      </c>
      <c r="I11" s="56">
        <f t="shared" si="0"/>
        <v>8.4</v>
      </c>
      <c r="J11" s="55" t="s">
        <v>1</v>
      </c>
      <c r="K11" s="55">
        <v>6</v>
      </c>
      <c r="L11" s="55">
        <f t="shared" si="3"/>
        <v>42</v>
      </c>
      <c r="M11" s="56">
        <f t="shared" si="1"/>
        <v>50.400000000000006</v>
      </c>
      <c r="N11" s="55" t="s">
        <v>1</v>
      </c>
      <c r="O11" s="55">
        <v>12</v>
      </c>
      <c r="P11" s="56">
        <f t="shared" si="4"/>
        <v>604.80000000000007</v>
      </c>
      <c r="Q11" s="55" t="s">
        <v>1</v>
      </c>
      <c r="R11" s="55">
        <v>26</v>
      </c>
      <c r="S11" s="56">
        <f t="shared" si="5"/>
        <v>1310.4000000000001</v>
      </c>
      <c r="T11" s="55" t="s">
        <v>1</v>
      </c>
      <c r="U11" s="56">
        <f t="shared" si="2"/>
        <v>2.536</v>
      </c>
      <c r="Z11" s="2" t="str">
        <f t="array" ref="Z11">IFERROR(INDEX(Table14[DESIGNATION ARTICLE],SMALL(IF(ISNUMBER(SEARCH(CALCULATEUR!$D$5,Table14[DESIGNATION ARTICLE])),ROW(Table14[DESIGNATION ARTICLE])-4),ROWS($1:7))),"")</f>
        <v>EUROTAN® 100 mm 1200 x 1000 - Bords feuillurés 4 côtés</v>
      </c>
    </row>
    <row r="12" spans="1:26" x14ac:dyDescent="0.25">
      <c r="A12" s="195"/>
      <c r="B12" s="5" t="s">
        <v>40</v>
      </c>
      <c r="C12" s="14">
        <v>646390000000109</v>
      </c>
      <c r="D12" s="11">
        <v>5411545021903</v>
      </c>
      <c r="E12" s="208">
        <v>66</v>
      </c>
      <c r="F12" s="209">
        <v>1.2</v>
      </c>
      <c r="G12" s="209">
        <v>1</v>
      </c>
      <c r="H12" s="55">
        <v>6</v>
      </c>
      <c r="I12" s="56">
        <f t="shared" si="0"/>
        <v>7.1999999999999993</v>
      </c>
      <c r="J12" s="55" t="s">
        <v>1</v>
      </c>
      <c r="K12" s="55">
        <v>6</v>
      </c>
      <c r="L12" s="55">
        <f t="shared" si="3"/>
        <v>36</v>
      </c>
      <c r="M12" s="56">
        <f t="shared" si="1"/>
        <v>43.199999999999996</v>
      </c>
      <c r="N12" s="55" t="s">
        <v>1</v>
      </c>
      <c r="O12" s="55">
        <v>12</v>
      </c>
      <c r="P12" s="56">
        <f t="shared" si="4"/>
        <v>518.4</v>
      </c>
      <c r="Q12" s="55" t="s">
        <v>1</v>
      </c>
      <c r="R12" s="55">
        <v>26</v>
      </c>
      <c r="S12" s="56">
        <f t="shared" si="5"/>
        <v>1123.1999999999998</v>
      </c>
      <c r="T12" s="55" t="s">
        <v>1</v>
      </c>
      <c r="U12" s="56">
        <f t="shared" si="2"/>
        <v>2.4760000000000004</v>
      </c>
      <c r="Z12" s="2" t="str">
        <f t="array" ref="Z12">IFERROR(INDEX(Table14[DESIGNATION ARTICLE],SMALL(IF(ISNUMBER(SEARCH(CALCULATEUR!$D$5,Table14[DESIGNATION ARTICLE])),ROW(Table14[DESIGNATION ARTICLE])-4),ROWS($1:8))),"")</f>
        <v>POWERDECK® 100 mm 1200 x 1000 - Bords feuillurés 4 côtés</v>
      </c>
    </row>
    <row r="13" spans="1:26" x14ac:dyDescent="0.25">
      <c r="A13" s="195"/>
      <c r="B13" s="5" t="s">
        <v>41</v>
      </c>
      <c r="C13" s="14">
        <v>646390000000051</v>
      </c>
      <c r="D13" s="12">
        <v>5411545021910</v>
      </c>
      <c r="E13" s="206">
        <v>70</v>
      </c>
      <c r="F13" s="207">
        <v>1.2</v>
      </c>
      <c r="G13" s="207">
        <v>1</v>
      </c>
      <c r="H13" s="55">
        <v>7</v>
      </c>
      <c r="I13" s="56">
        <f t="shared" si="0"/>
        <v>8.4</v>
      </c>
      <c r="J13" s="55" t="s">
        <v>1</v>
      </c>
      <c r="K13" s="55">
        <v>5</v>
      </c>
      <c r="L13" s="55">
        <f t="shared" si="3"/>
        <v>35</v>
      </c>
      <c r="M13" s="56">
        <f t="shared" si="1"/>
        <v>42</v>
      </c>
      <c r="N13" s="55" t="s">
        <v>1</v>
      </c>
      <c r="O13" s="55">
        <v>12</v>
      </c>
      <c r="P13" s="56">
        <f t="shared" si="4"/>
        <v>504</v>
      </c>
      <c r="Q13" s="55" t="s">
        <v>1</v>
      </c>
      <c r="R13" s="55">
        <v>26</v>
      </c>
      <c r="S13" s="56">
        <f t="shared" si="5"/>
        <v>1092</v>
      </c>
      <c r="T13" s="55" t="s">
        <v>1</v>
      </c>
      <c r="U13" s="56">
        <f t="shared" si="2"/>
        <v>2.5500000000000003</v>
      </c>
      <c r="Z13" s="2" t="str">
        <f t="array" ref="Z13">IFERROR(INDEX(Table14[DESIGNATION ARTICLE],SMALL(IF(ISNUMBER(SEARCH(CALCULATEUR!$D$5,Table14[DESIGNATION ARTICLE])),ROW(Table14[DESIGNATION ARTICLE])-4),ROWS($1:9))),"")</f>
        <v>POWERDECK® 100 mm 2500 x 1200 - Bords feuillurés 4 côtés</v>
      </c>
    </row>
    <row r="14" spans="1:26" x14ac:dyDescent="0.25">
      <c r="A14" s="195"/>
      <c r="B14" s="5" t="s">
        <v>42</v>
      </c>
      <c r="C14" s="14">
        <v>646390000000111</v>
      </c>
      <c r="D14" s="11">
        <v>5411545021927</v>
      </c>
      <c r="E14" s="208">
        <v>77</v>
      </c>
      <c r="F14" s="209">
        <v>1.2</v>
      </c>
      <c r="G14" s="209">
        <v>1</v>
      </c>
      <c r="H14" s="55">
        <v>6</v>
      </c>
      <c r="I14" s="56">
        <f t="shared" si="0"/>
        <v>7.1999999999999993</v>
      </c>
      <c r="J14" s="55" t="s">
        <v>1</v>
      </c>
      <c r="K14" s="55">
        <v>5</v>
      </c>
      <c r="L14" s="55">
        <f t="shared" si="3"/>
        <v>30</v>
      </c>
      <c r="M14" s="56">
        <f t="shared" si="1"/>
        <v>36</v>
      </c>
      <c r="N14" s="55" t="s">
        <v>1</v>
      </c>
      <c r="O14" s="55">
        <v>12</v>
      </c>
      <c r="P14" s="56">
        <f t="shared" si="4"/>
        <v>432</v>
      </c>
      <c r="Q14" s="55" t="s">
        <v>1</v>
      </c>
      <c r="R14" s="55">
        <v>26</v>
      </c>
      <c r="S14" s="56">
        <f t="shared" si="5"/>
        <v>936</v>
      </c>
      <c r="T14" s="55" t="s">
        <v>1</v>
      </c>
      <c r="U14" s="56">
        <f t="shared" si="2"/>
        <v>2.41</v>
      </c>
      <c r="Z14" s="2" t="str">
        <f t="array" ref="Z14">IFERROR(INDEX(Table14[DESIGNATION ARTICLE],SMALL(IF(ISNUMBER(SEARCH(CALCULATEUR!$D$5,Table14[DESIGNATION ARTICLE])),ROW(Table14[DESIGNATION ARTICLE])-4),ROWS($1:10))),"")</f>
        <v>POWERDECK® F (F) 100 mm 1200 x 600 - Bords droits 4 côtés</v>
      </c>
    </row>
    <row r="15" spans="1:26" x14ac:dyDescent="0.25">
      <c r="A15" s="195"/>
      <c r="B15" s="5" t="s">
        <v>43</v>
      </c>
      <c r="C15" s="14">
        <v>646390000000113</v>
      </c>
      <c r="D15" s="12">
        <v>5411545021934</v>
      </c>
      <c r="E15" s="206">
        <v>82</v>
      </c>
      <c r="F15" s="207">
        <v>1.2</v>
      </c>
      <c r="G15" s="207">
        <v>1</v>
      </c>
      <c r="H15" s="55">
        <v>6</v>
      </c>
      <c r="I15" s="56">
        <f t="shared" si="0"/>
        <v>7.1999999999999993</v>
      </c>
      <c r="J15" s="55" t="s">
        <v>1</v>
      </c>
      <c r="K15" s="55">
        <v>5</v>
      </c>
      <c r="L15" s="55">
        <f t="shared" si="3"/>
        <v>30</v>
      </c>
      <c r="M15" s="56">
        <f t="shared" si="1"/>
        <v>36</v>
      </c>
      <c r="N15" s="55" t="s">
        <v>1</v>
      </c>
      <c r="O15" s="55">
        <v>12</v>
      </c>
      <c r="P15" s="56">
        <f t="shared" si="4"/>
        <v>432</v>
      </c>
      <c r="Q15" s="55" t="s">
        <v>1</v>
      </c>
      <c r="R15" s="55">
        <v>26</v>
      </c>
      <c r="S15" s="56">
        <f t="shared" si="5"/>
        <v>936</v>
      </c>
      <c r="T15" s="55" t="s">
        <v>1</v>
      </c>
      <c r="U15" s="56">
        <f t="shared" si="2"/>
        <v>2.56</v>
      </c>
      <c r="Z15" s="2" t="str">
        <f t="array" ref="Z15">IFERROR(INDEX(Table14[DESIGNATION ARTICLE],SMALL(IF(ISNUMBER(SEARCH(CALCULATEUR!$D$5,Table14[DESIGNATION ARTICLE])),ROW(Table14[DESIGNATION ARTICLE])-4),ROWS($1:11))),"")</f>
        <v>EUROTHANE AL® 100 mm Larg 1200 (utile 1180) Long ≤ 13 m - Bords feuillurés-rainurés 2 Longueurs</v>
      </c>
    </row>
    <row r="16" spans="1:26" x14ac:dyDescent="0.25">
      <c r="A16" s="195"/>
      <c r="B16" s="5" t="s">
        <v>44</v>
      </c>
      <c r="C16" s="14">
        <v>646390000000054</v>
      </c>
      <c r="D16" s="11">
        <v>5411545021941</v>
      </c>
      <c r="E16" s="208">
        <v>90</v>
      </c>
      <c r="F16" s="209">
        <v>1.2</v>
      </c>
      <c r="G16" s="209">
        <v>1</v>
      </c>
      <c r="H16" s="55">
        <v>4</v>
      </c>
      <c r="I16" s="56">
        <f t="shared" si="0"/>
        <v>4.8</v>
      </c>
      <c r="J16" s="55" t="s">
        <v>1</v>
      </c>
      <c r="K16" s="55">
        <v>7</v>
      </c>
      <c r="L16" s="55">
        <f t="shared" si="3"/>
        <v>28</v>
      </c>
      <c r="M16" s="56">
        <f t="shared" si="1"/>
        <v>33.6</v>
      </c>
      <c r="N16" s="55" t="s">
        <v>1</v>
      </c>
      <c r="O16" s="55">
        <v>12</v>
      </c>
      <c r="P16" s="56">
        <f t="shared" si="4"/>
        <v>403.20000000000005</v>
      </c>
      <c r="Q16" s="55" t="s">
        <v>1</v>
      </c>
      <c r="R16" s="55">
        <v>26</v>
      </c>
      <c r="S16" s="56">
        <f t="shared" si="5"/>
        <v>873.6</v>
      </c>
      <c r="T16" s="55" t="s">
        <v>1</v>
      </c>
      <c r="U16" s="56">
        <f t="shared" si="2"/>
        <v>2.62</v>
      </c>
      <c r="Z16" s="2" t="str">
        <f t="array" ref="Z16">IFERROR(INDEX(Table14[DESIGNATION ARTICLE],SMALL(IF(ISNUMBER(SEARCH(CALCULATEUR!$D$5,Table14[DESIGNATION ARTICLE])),ROW(Table14[DESIGNATION ARTICLE])-4),ROWS($1:12))),"")</f>
        <v>EUROTHANE AL® 100 mm Larg 1200 Long ≤ 13 m - Bords droits 4 côtés</v>
      </c>
    </row>
    <row r="17" spans="1:26" x14ac:dyDescent="0.25">
      <c r="A17" s="195"/>
      <c r="B17" s="5" t="s">
        <v>45</v>
      </c>
      <c r="C17" s="14">
        <v>646390000000115</v>
      </c>
      <c r="D17" s="12">
        <v>5411545021958</v>
      </c>
      <c r="E17" s="206">
        <v>103</v>
      </c>
      <c r="F17" s="207">
        <v>1.2</v>
      </c>
      <c r="G17" s="207">
        <v>1</v>
      </c>
      <c r="H17" s="55">
        <v>4</v>
      </c>
      <c r="I17" s="56">
        <f t="shared" si="0"/>
        <v>4.8</v>
      </c>
      <c r="J17" s="55" t="s">
        <v>1</v>
      </c>
      <c r="K17" s="55">
        <v>6</v>
      </c>
      <c r="L17" s="55">
        <f t="shared" si="3"/>
        <v>24</v>
      </c>
      <c r="M17" s="56">
        <f t="shared" si="1"/>
        <v>28.799999999999997</v>
      </c>
      <c r="N17" s="55" t="s">
        <v>1</v>
      </c>
      <c r="O17" s="55">
        <v>12</v>
      </c>
      <c r="P17" s="56">
        <f t="shared" si="4"/>
        <v>345.59999999999997</v>
      </c>
      <c r="Q17" s="55" t="s">
        <v>1</v>
      </c>
      <c r="R17" s="55">
        <v>26</v>
      </c>
      <c r="S17" s="56">
        <f t="shared" si="5"/>
        <v>748.8</v>
      </c>
      <c r="T17" s="55" t="s">
        <v>1</v>
      </c>
      <c r="U17" s="56">
        <f t="shared" si="2"/>
        <v>2.5720000000000001</v>
      </c>
      <c r="Z17" s="2" t="str">
        <f t="array" ref="Z17">IFERROR(INDEX(Table14[DESIGNATION ARTICLE],SMALL(IF(ISNUMBER(SEARCH(CALCULATEUR!$D$5,Table14[DESIGNATION ARTICLE])),ROW(Table14[DESIGNATION ARTICLE])-4),ROWS($1:13))),"")</f>
        <v>POWERLINE® 100 mm Larg 1200 Long ≤ 13 m - Bords feuillurés-rainurés 2 Longueurs</v>
      </c>
    </row>
    <row r="18" spans="1:26" x14ac:dyDescent="0.25">
      <c r="A18" s="195"/>
      <c r="B18" s="5" t="s">
        <v>46</v>
      </c>
      <c r="C18" s="14">
        <v>646390000000056</v>
      </c>
      <c r="D18" s="11">
        <v>5411545021965</v>
      </c>
      <c r="E18" s="208">
        <v>110</v>
      </c>
      <c r="F18" s="209">
        <v>1.2</v>
      </c>
      <c r="G18" s="209">
        <v>1</v>
      </c>
      <c r="H18" s="55">
        <v>4</v>
      </c>
      <c r="I18" s="56">
        <f t="shared" si="0"/>
        <v>4.8</v>
      </c>
      <c r="J18" s="55" t="s">
        <v>1</v>
      </c>
      <c r="K18" s="55">
        <v>5</v>
      </c>
      <c r="L18" s="55">
        <f t="shared" si="3"/>
        <v>20</v>
      </c>
      <c r="M18" s="56">
        <f t="shared" si="1"/>
        <v>24</v>
      </c>
      <c r="N18" s="55" t="s">
        <v>1</v>
      </c>
      <c r="O18" s="55">
        <v>12</v>
      </c>
      <c r="P18" s="56">
        <f t="shared" si="4"/>
        <v>288</v>
      </c>
      <c r="Q18" s="55" t="s">
        <v>1</v>
      </c>
      <c r="R18" s="55">
        <v>26</v>
      </c>
      <c r="S18" s="56">
        <f t="shared" si="5"/>
        <v>624</v>
      </c>
      <c r="T18" s="55" t="s">
        <v>1</v>
      </c>
      <c r="U18" s="56">
        <f t="shared" si="2"/>
        <v>2.3000000000000003</v>
      </c>
      <c r="Z18" s="2" t="str">
        <f t="array" ref="Z18">IFERROR(INDEX(Table14[DESIGNATION ARTICLE],SMALL(IF(ISNUMBER(SEARCH(CALCULATEUR!$D$5,Table14[DESIGNATION ARTICLE])),ROW(Table14[DESIGNATION ARTICLE])-4),ROWS($1:14))),"")</f>
        <v>POWERLINE® 100 mm Larg 1200 Long ≤ 13 m - Bords droits 4 côtés</v>
      </c>
    </row>
    <row r="19" spans="1:26" ht="15.75" thickBot="1" x14ac:dyDescent="0.3">
      <c r="A19" s="195"/>
      <c r="B19" s="5" t="s">
        <v>47</v>
      </c>
      <c r="C19" s="14">
        <v>646390000000117</v>
      </c>
      <c r="D19" s="12">
        <v>5411545021972</v>
      </c>
      <c r="E19" s="206">
        <v>120</v>
      </c>
      <c r="F19" s="207">
        <v>1.2</v>
      </c>
      <c r="G19" s="207">
        <v>1</v>
      </c>
      <c r="H19" s="55">
        <v>4</v>
      </c>
      <c r="I19" s="56">
        <f t="shared" si="0"/>
        <v>4.8</v>
      </c>
      <c r="J19" s="55" t="s">
        <v>1</v>
      </c>
      <c r="K19" s="55">
        <v>5</v>
      </c>
      <c r="L19" s="57">
        <f t="shared" si="3"/>
        <v>20</v>
      </c>
      <c r="M19" s="56">
        <f t="shared" si="1"/>
        <v>24</v>
      </c>
      <c r="N19" s="55" t="s">
        <v>1</v>
      </c>
      <c r="O19" s="55">
        <v>12</v>
      </c>
      <c r="P19" s="56">
        <f t="shared" si="4"/>
        <v>288</v>
      </c>
      <c r="Q19" s="55" t="s">
        <v>1</v>
      </c>
      <c r="R19" s="55">
        <v>26</v>
      </c>
      <c r="S19" s="58">
        <f t="shared" si="5"/>
        <v>624</v>
      </c>
      <c r="T19" s="57" t="s">
        <v>1</v>
      </c>
      <c r="U19" s="58">
        <f t="shared" si="2"/>
        <v>2.5</v>
      </c>
      <c r="Z19" s="2" t="str">
        <f t="array" ref="Z19">IFERROR(INDEX(Table14[DESIGNATION ARTICLE],SMALL(IF(ISNUMBER(SEARCH(CALCULATEUR!$D$5,Table14[DESIGNATION ARTICLE])),ROW(Table14[DESIGNATION ARTICLE])-4),ROWS($1:15))),"")</f>
        <v>DU.PANEL X® 100 mm Larg 1200 (utile 1180) Long ≤ 8 m - Bords feuillurés-rainurés 2 Longueurs</v>
      </c>
    </row>
    <row r="20" spans="1:26" ht="12.95" customHeight="1" x14ac:dyDescent="0.25">
      <c r="A20" s="188" t="s">
        <v>9</v>
      </c>
      <c r="B20" s="137" t="s">
        <v>48</v>
      </c>
      <c r="C20" s="13">
        <v>646820000000015</v>
      </c>
      <c r="D20" s="10">
        <v>5411545021996</v>
      </c>
      <c r="E20" s="210">
        <v>60</v>
      </c>
      <c r="F20" s="211">
        <v>2.4</v>
      </c>
      <c r="G20" s="211">
        <v>1.2</v>
      </c>
      <c r="H20" s="59">
        <v>6</v>
      </c>
      <c r="I20" s="60">
        <f t="shared" ref="I20:I51" si="6">H20*(F20*G20)</f>
        <v>17.28</v>
      </c>
      <c r="J20" s="59" t="s">
        <v>1</v>
      </c>
      <c r="K20" s="61">
        <v>7</v>
      </c>
      <c r="L20" s="55">
        <f t="shared" si="3"/>
        <v>42</v>
      </c>
      <c r="M20" s="60">
        <f t="shared" ref="M20:M51" si="7">I20*K20</f>
        <v>120.96000000000001</v>
      </c>
      <c r="N20" s="59" t="s">
        <v>1</v>
      </c>
      <c r="O20" s="59">
        <v>6</v>
      </c>
      <c r="P20" s="60">
        <f t="shared" si="4"/>
        <v>725.76</v>
      </c>
      <c r="Q20" s="59" t="s">
        <v>1</v>
      </c>
      <c r="R20" s="59">
        <v>11</v>
      </c>
      <c r="S20" s="56">
        <f>R20*M20</f>
        <v>1330.5600000000002</v>
      </c>
      <c r="T20" s="55" t="s">
        <v>1</v>
      </c>
      <c r="U20" s="56">
        <f t="shared" ref="U20:U28" si="8">0.1+(L20*(E20/1000))</f>
        <v>2.62</v>
      </c>
      <c r="Z20" s="2" t="str">
        <f t="array" ref="Z20">IFERROR(INDEX(Table14[DESIGNATION ARTICLE],SMALL(IF(ISNUMBER(SEARCH(CALCULATEUR!$D$5,Table14[DESIGNATION ARTICLE])),ROW(Table14[DESIGNATION ARTICLE])-4),ROWS($1:16))),"")</f>
        <v>DU.PANEL X® 100 mm Larg 1200 Long ≤ 8 m - Bords droits 4 côtés</v>
      </c>
    </row>
    <row r="21" spans="1:26" ht="14.45" customHeight="1" x14ac:dyDescent="0.25">
      <c r="A21" s="189"/>
      <c r="B21" s="5" t="s">
        <v>49</v>
      </c>
      <c r="C21" s="14">
        <v>646820000000034</v>
      </c>
      <c r="D21" s="11">
        <v>5411545022009</v>
      </c>
      <c r="E21" s="208">
        <v>88</v>
      </c>
      <c r="F21" s="209">
        <v>2.4</v>
      </c>
      <c r="G21" s="209">
        <v>1.2</v>
      </c>
      <c r="H21" s="55">
        <v>4</v>
      </c>
      <c r="I21" s="56">
        <f t="shared" si="6"/>
        <v>11.52</v>
      </c>
      <c r="J21" s="55" t="s">
        <v>1</v>
      </c>
      <c r="K21" s="62">
        <v>7</v>
      </c>
      <c r="L21" s="55">
        <f t="shared" si="3"/>
        <v>28</v>
      </c>
      <c r="M21" s="56">
        <f t="shared" si="7"/>
        <v>80.64</v>
      </c>
      <c r="N21" s="55" t="s">
        <v>1</v>
      </c>
      <c r="O21" s="55">
        <v>6</v>
      </c>
      <c r="P21" s="56">
        <f t="shared" si="4"/>
        <v>483.84000000000003</v>
      </c>
      <c r="Q21" s="55" t="s">
        <v>1</v>
      </c>
      <c r="R21" s="55">
        <v>11</v>
      </c>
      <c r="S21" s="56">
        <f t="shared" ref="S21:S28" si="9">R21*M21</f>
        <v>887.04</v>
      </c>
      <c r="T21" s="55" t="s">
        <v>1</v>
      </c>
      <c r="U21" s="56">
        <f t="shared" si="8"/>
        <v>2.5640000000000001</v>
      </c>
      <c r="Z21" s="2" t="str">
        <f t="array" ref="Z21">IFERROR(INDEX(Table14[DESIGNATION ARTICLE],SMALL(IF(ISNUMBER(SEARCH(CALCULATEUR!$D$5,Table14[DESIGNATION ARTICLE])),ROW(Table14[DESIGNATION ARTICLE])-4),ROWS($1:17))),"")</f>
        <v>LUMIX 100 mm Larg 1200 (utile 1180) Long ≤ 8 m - Bords feuillurés-rainurés 2 Longueurs</v>
      </c>
    </row>
    <row r="22" spans="1:26" ht="14.45" customHeight="1" x14ac:dyDescent="0.25">
      <c r="A22" s="189"/>
      <c r="B22" s="5" t="s">
        <v>50</v>
      </c>
      <c r="C22" s="14">
        <v>646820000000036</v>
      </c>
      <c r="D22" s="12">
        <v>5411545022016</v>
      </c>
      <c r="E22" s="206">
        <v>110</v>
      </c>
      <c r="F22" s="207">
        <v>2.4</v>
      </c>
      <c r="G22" s="207">
        <v>1.2</v>
      </c>
      <c r="H22" s="55">
        <v>3</v>
      </c>
      <c r="I22" s="56">
        <f t="shared" si="6"/>
        <v>8.64</v>
      </c>
      <c r="J22" s="55" t="s">
        <v>1</v>
      </c>
      <c r="K22" s="62">
        <v>7</v>
      </c>
      <c r="L22" s="55">
        <f t="shared" si="3"/>
        <v>21</v>
      </c>
      <c r="M22" s="56">
        <f t="shared" si="7"/>
        <v>60.480000000000004</v>
      </c>
      <c r="N22" s="55" t="s">
        <v>1</v>
      </c>
      <c r="O22" s="55">
        <v>6</v>
      </c>
      <c r="P22" s="56">
        <f t="shared" si="4"/>
        <v>362.88</v>
      </c>
      <c r="Q22" s="55" t="s">
        <v>1</v>
      </c>
      <c r="R22" s="55">
        <v>11</v>
      </c>
      <c r="S22" s="56">
        <f t="shared" si="9"/>
        <v>665.28000000000009</v>
      </c>
      <c r="T22" s="55" t="s">
        <v>1</v>
      </c>
      <c r="U22" s="56">
        <f t="shared" si="8"/>
        <v>2.41</v>
      </c>
      <c r="Z22" s="2" t="str">
        <f t="array" ref="Z22">IFERROR(INDEX(Table14[DESIGNATION ARTICLE],SMALL(IF(ISNUMBER(SEARCH(CALCULATEUR!$D$5,Table14[DESIGNATION ARTICLE])),ROW(Table14[DESIGNATION ARTICLE])-4),ROWS($1:18))),"")</f>
        <v>LUMIX 100 mm Larg 1200 Long ≤ 8 m - Bords droits 4 côtés</v>
      </c>
    </row>
    <row r="23" spans="1:26" ht="14.45" customHeight="1" x14ac:dyDescent="0.25">
      <c r="A23" s="189"/>
      <c r="B23" s="5" t="s">
        <v>51</v>
      </c>
      <c r="C23" s="14">
        <v>646820000000038</v>
      </c>
      <c r="D23" s="11">
        <v>5411545022023</v>
      </c>
      <c r="E23" s="208">
        <v>132</v>
      </c>
      <c r="F23" s="209">
        <v>2.4</v>
      </c>
      <c r="G23" s="209">
        <v>1.2</v>
      </c>
      <c r="H23" s="55">
        <v>3</v>
      </c>
      <c r="I23" s="56">
        <f t="shared" si="6"/>
        <v>8.64</v>
      </c>
      <c r="J23" s="55" t="s">
        <v>1</v>
      </c>
      <c r="K23" s="62">
        <v>6</v>
      </c>
      <c r="L23" s="55">
        <f t="shared" si="3"/>
        <v>18</v>
      </c>
      <c r="M23" s="56">
        <f t="shared" si="7"/>
        <v>51.84</v>
      </c>
      <c r="N23" s="55" t="s">
        <v>1</v>
      </c>
      <c r="O23" s="55">
        <v>6</v>
      </c>
      <c r="P23" s="56">
        <f t="shared" si="4"/>
        <v>311.04000000000002</v>
      </c>
      <c r="Q23" s="55" t="s">
        <v>1</v>
      </c>
      <c r="R23" s="55">
        <v>11</v>
      </c>
      <c r="S23" s="56">
        <f t="shared" si="9"/>
        <v>570.24</v>
      </c>
      <c r="T23" s="55" t="s">
        <v>1</v>
      </c>
      <c r="U23" s="56">
        <f t="shared" si="8"/>
        <v>2.4760000000000004</v>
      </c>
      <c r="Z23" s="2" t="str">
        <f t="array" ref="Z23">IFERROR(INDEX(Table14[DESIGNATION ARTICLE],SMALL(IF(ISNUMBER(SEARCH(CALCULATEUR!$D$5,Table14[DESIGNATION ARTICLE])),ROW(Table14[DESIGNATION ARTICLE])-4),ROWS($1:19))),"")</f>
        <v/>
      </c>
    </row>
    <row r="24" spans="1:26" ht="14.45" customHeight="1" x14ac:dyDescent="0.25">
      <c r="A24" s="189"/>
      <c r="B24" s="5" t="s">
        <v>52</v>
      </c>
      <c r="C24" s="14">
        <v>646820000000020</v>
      </c>
      <c r="D24" s="12">
        <v>5411545022030</v>
      </c>
      <c r="E24" s="206">
        <v>160</v>
      </c>
      <c r="F24" s="207">
        <v>2.4</v>
      </c>
      <c r="G24" s="207">
        <v>1.2</v>
      </c>
      <c r="H24" s="55">
        <v>2</v>
      </c>
      <c r="I24" s="56">
        <f t="shared" si="6"/>
        <v>5.76</v>
      </c>
      <c r="J24" s="55" t="s">
        <v>1</v>
      </c>
      <c r="K24" s="62">
        <v>8</v>
      </c>
      <c r="L24" s="55">
        <f t="shared" si="3"/>
        <v>16</v>
      </c>
      <c r="M24" s="56">
        <f t="shared" si="7"/>
        <v>46.08</v>
      </c>
      <c r="N24" s="55" t="s">
        <v>1</v>
      </c>
      <c r="O24" s="55">
        <v>6</v>
      </c>
      <c r="P24" s="56">
        <f t="shared" si="4"/>
        <v>276.48</v>
      </c>
      <c r="Q24" s="55" t="s">
        <v>1</v>
      </c>
      <c r="R24" s="55">
        <v>11</v>
      </c>
      <c r="S24" s="56">
        <f t="shared" si="9"/>
        <v>506.88</v>
      </c>
      <c r="T24" s="55" t="s">
        <v>1</v>
      </c>
      <c r="U24" s="56">
        <f t="shared" si="8"/>
        <v>2.66</v>
      </c>
      <c r="Z24" s="2" t="str">
        <f t="array" ref="Z24">IFERROR(INDEX(Table14[DESIGNATION ARTICLE],SMALL(IF(ISNUMBER(SEARCH(CALCULATEUR!$D$5,Table14[DESIGNATION ARTICLE])),ROW(Table14[DESIGNATION ARTICLE])-4),ROWS($1:20))),"")</f>
        <v/>
      </c>
    </row>
    <row r="25" spans="1:26" ht="14.45" customHeight="1" x14ac:dyDescent="0.25">
      <c r="A25" s="189"/>
      <c r="B25" s="5" t="s">
        <v>53</v>
      </c>
      <c r="C25" s="15">
        <v>646820000000050</v>
      </c>
      <c r="D25" s="11">
        <v>5411545029206</v>
      </c>
      <c r="E25" s="208">
        <v>100</v>
      </c>
      <c r="F25" s="209">
        <v>1.2</v>
      </c>
      <c r="G25" s="209">
        <v>1</v>
      </c>
      <c r="H25" s="63">
        <v>5</v>
      </c>
      <c r="I25" s="56">
        <f t="shared" si="6"/>
        <v>6</v>
      </c>
      <c r="J25" s="55" t="s">
        <v>1</v>
      </c>
      <c r="K25" s="64">
        <v>5</v>
      </c>
      <c r="L25" s="55">
        <f t="shared" si="3"/>
        <v>25</v>
      </c>
      <c r="M25" s="65">
        <f t="shared" si="7"/>
        <v>30</v>
      </c>
      <c r="N25" s="55" t="s">
        <v>1</v>
      </c>
      <c r="O25" s="55">
        <v>12</v>
      </c>
      <c r="P25" s="56">
        <f t="shared" si="4"/>
        <v>360</v>
      </c>
      <c r="Q25" s="55" t="s">
        <v>1</v>
      </c>
      <c r="R25" s="55">
        <v>26</v>
      </c>
      <c r="S25" s="56">
        <f t="shared" si="9"/>
        <v>780</v>
      </c>
      <c r="T25" s="55" t="s">
        <v>1</v>
      </c>
      <c r="U25" s="56">
        <f t="shared" si="8"/>
        <v>2.6</v>
      </c>
      <c r="Z25" s="2" t="str">
        <f t="array" ref="Z25">IFERROR(INDEX(Table14[DESIGNATION ARTICLE],SMALL(IF(ISNUMBER(SEARCH(CALCULATEUR!$D$5,Table14[DESIGNATION ARTICLE])),ROW(Table14[DESIGNATION ARTICLE])-4),ROWS($1:21))),"")</f>
        <v/>
      </c>
    </row>
    <row r="26" spans="1:26" ht="14.45" customHeight="1" x14ac:dyDescent="0.25">
      <c r="A26" s="189"/>
      <c r="B26" s="5" t="s">
        <v>54</v>
      </c>
      <c r="C26" s="15">
        <v>646820000000048</v>
      </c>
      <c r="D26" s="12">
        <v>5411545029183</v>
      </c>
      <c r="E26" s="206">
        <v>120</v>
      </c>
      <c r="F26" s="207">
        <v>1.2</v>
      </c>
      <c r="G26" s="207">
        <v>1</v>
      </c>
      <c r="H26" s="63">
        <v>4</v>
      </c>
      <c r="I26" s="56">
        <f t="shared" si="6"/>
        <v>4.8</v>
      </c>
      <c r="J26" s="55" t="s">
        <v>1</v>
      </c>
      <c r="K26" s="64">
        <v>5</v>
      </c>
      <c r="L26" s="55">
        <f t="shared" si="3"/>
        <v>20</v>
      </c>
      <c r="M26" s="65">
        <f t="shared" si="7"/>
        <v>24</v>
      </c>
      <c r="N26" s="55" t="s">
        <v>1</v>
      </c>
      <c r="O26" s="55">
        <v>12</v>
      </c>
      <c r="P26" s="56">
        <f t="shared" si="4"/>
        <v>288</v>
      </c>
      <c r="Q26" s="55" t="s">
        <v>1</v>
      </c>
      <c r="R26" s="55">
        <v>26</v>
      </c>
      <c r="S26" s="56">
        <f t="shared" si="9"/>
        <v>624</v>
      </c>
      <c r="T26" s="55" t="s">
        <v>1</v>
      </c>
      <c r="U26" s="56">
        <f t="shared" si="8"/>
        <v>2.5</v>
      </c>
      <c r="Z26" s="2" t="str">
        <f t="array" ref="Z26">IFERROR(INDEX(Table14[DESIGNATION ARTICLE],SMALL(IF(ISNUMBER(SEARCH(CALCULATEUR!$D$5,Table14[DESIGNATION ARTICLE])),ROW(Table14[DESIGNATION ARTICLE])-4),ROWS($1:22))),"")</f>
        <v/>
      </c>
    </row>
    <row r="27" spans="1:26" ht="14.45" customHeight="1" x14ac:dyDescent="0.25">
      <c r="A27" s="189"/>
      <c r="B27" s="5" t="s">
        <v>55</v>
      </c>
      <c r="C27" s="16">
        <v>646820000000040</v>
      </c>
      <c r="D27" s="11">
        <v>5411545022047</v>
      </c>
      <c r="E27" s="208">
        <v>132</v>
      </c>
      <c r="F27" s="209">
        <v>1.2</v>
      </c>
      <c r="G27" s="209">
        <v>1</v>
      </c>
      <c r="H27" s="55">
        <v>3</v>
      </c>
      <c r="I27" s="56">
        <f t="shared" si="6"/>
        <v>3.5999999999999996</v>
      </c>
      <c r="J27" s="55" t="s">
        <v>1</v>
      </c>
      <c r="K27" s="62">
        <v>6</v>
      </c>
      <c r="L27" s="55">
        <f t="shared" si="3"/>
        <v>18</v>
      </c>
      <c r="M27" s="56">
        <f t="shared" si="7"/>
        <v>21.599999999999998</v>
      </c>
      <c r="N27" s="55" t="s">
        <v>1</v>
      </c>
      <c r="O27" s="55">
        <v>12</v>
      </c>
      <c r="P27" s="56">
        <f t="shared" si="4"/>
        <v>259.2</v>
      </c>
      <c r="Q27" s="55" t="s">
        <v>1</v>
      </c>
      <c r="R27" s="55">
        <v>26</v>
      </c>
      <c r="S27" s="56">
        <f t="shared" si="9"/>
        <v>561.59999999999991</v>
      </c>
      <c r="T27" s="55" t="s">
        <v>1</v>
      </c>
      <c r="U27" s="56">
        <f t="shared" si="8"/>
        <v>2.4760000000000004</v>
      </c>
      <c r="Z27" s="2" t="str">
        <f t="array" ref="Z27">IFERROR(INDEX(Table14[DESIGNATION ARTICLE],SMALL(IF(ISNUMBER(SEARCH(CALCULATEUR!$D$5,Table14[DESIGNATION ARTICLE])),ROW(Table14[DESIGNATION ARTICLE])-4),ROWS($1:23))),"")</f>
        <v/>
      </c>
    </row>
    <row r="28" spans="1:26" ht="14.45" customHeight="1" thickBot="1" x14ac:dyDescent="0.3">
      <c r="A28" s="189"/>
      <c r="B28" s="136" t="s">
        <v>56</v>
      </c>
      <c r="C28" s="17">
        <v>646820000000042</v>
      </c>
      <c r="D28" s="8">
        <v>5411545022054</v>
      </c>
      <c r="E28" s="212">
        <v>160</v>
      </c>
      <c r="F28" s="213">
        <v>1.2</v>
      </c>
      <c r="G28" s="213">
        <v>1</v>
      </c>
      <c r="H28" s="57">
        <v>2</v>
      </c>
      <c r="I28" s="58">
        <f t="shared" si="6"/>
        <v>2.4</v>
      </c>
      <c r="J28" s="57" t="s">
        <v>1</v>
      </c>
      <c r="K28" s="66">
        <v>8</v>
      </c>
      <c r="L28" s="57">
        <f t="shared" si="3"/>
        <v>16</v>
      </c>
      <c r="M28" s="58">
        <f t="shared" si="7"/>
        <v>19.2</v>
      </c>
      <c r="N28" s="57" t="s">
        <v>1</v>
      </c>
      <c r="O28" s="57">
        <v>12</v>
      </c>
      <c r="P28" s="58">
        <f t="shared" si="4"/>
        <v>230.39999999999998</v>
      </c>
      <c r="Q28" s="57" t="s">
        <v>1</v>
      </c>
      <c r="R28" s="57">
        <v>26</v>
      </c>
      <c r="S28" s="56">
        <f t="shared" si="9"/>
        <v>499.2</v>
      </c>
      <c r="T28" s="57" t="s">
        <v>1</v>
      </c>
      <c r="U28" s="58">
        <f t="shared" si="8"/>
        <v>2.66</v>
      </c>
      <c r="Z28" s="2" t="str">
        <f t="array" ref="Z28">IFERROR(INDEX(Table14[DESIGNATION ARTICLE],SMALL(IF(ISNUMBER(SEARCH(CALCULATEUR!$D$5,Table14[DESIGNATION ARTICLE])),ROW(Table14[DESIGNATION ARTICLE])-4),ROWS($1:24))),"")</f>
        <v/>
      </c>
    </row>
    <row r="29" spans="1:26" ht="14.45" customHeight="1" x14ac:dyDescent="0.25">
      <c r="A29" s="189"/>
      <c r="B29" s="137" t="s">
        <v>57</v>
      </c>
      <c r="C29" s="18">
        <v>649250000000100</v>
      </c>
      <c r="D29" s="9">
        <v>5411545029978</v>
      </c>
      <c r="E29" s="214">
        <v>145</v>
      </c>
      <c r="F29" s="215">
        <v>3.6</v>
      </c>
      <c r="G29" s="215">
        <v>1.2</v>
      </c>
      <c r="H29" s="67">
        <v>6</v>
      </c>
      <c r="I29" s="68">
        <f t="shared" si="6"/>
        <v>25.92</v>
      </c>
      <c r="J29" s="69" t="s">
        <v>1</v>
      </c>
      <c r="K29" s="70">
        <v>1</v>
      </c>
      <c r="L29" s="55">
        <f t="shared" si="3"/>
        <v>6</v>
      </c>
      <c r="M29" s="60">
        <f t="shared" si="7"/>
        <v>25.92</v>
      </c>
      <c r="N29" s="69" t="s">
        <v>1</v>
      </c>
      <c r="O29" s="69"/>
      <c r="P29" s="89"/>
      <c r="Q29" s="69"/>
      <c r="R29" s="69"/>
      <c r="S29" s="89"/>
      <c r="T29" s="69"/>
      <c r="U29" s="56"/>
      <c r="Z29" s="2" t="str">
        <f t="array" ref="Z29">IFERROR(INDEX(Table14[DESIGNATION ARTICLE],SMALL(IF(ISNUMBER(SEARCH(CALCULATEUR!$D$5,Table14[DESIGNATION ARTICLE])),ROW(Table14[DESIGNATION ARTICLE])-4),ROWS($1:25))),"")</f>
        <v/>
      </c>
    </row>
    <row r="30" spans="1:26" ht="14.45" customHeight="1" x14ac:dyDescent="0.25">
      <c r="A30" s="189"/>
      <c r="B30" s="5" t="s">
        <v>58</v>
      </c>
      <c r="C30" s="19">
        <v>649250000000101</v>
      </c>
      <c r="D30" s="12">
        <v>5411545030004</v>
      </c>
      <c r="E30" s="206">
        <v>145</v>
      </c>
      <c r="F30" s="207">
        <v>3.9</v>
      </c>
      <c r="G30" s="207">
        <v>1.2</v>
      </c>
      <c r="H30" s="71">
        <v>6</v>
      </c>
      <c r="I30" s="72">
        <f t="shared" si="6"/>
        <v>28.08</v>
      </c>
      <c r="J30" s="63" t="s">
        <v>1</v>
      </c>
      <c r="K30" s="73">
        <v>1</v>
      </c>
      <c r="L30" s="55">
        <f t="shared" si="3"/>
        <v>6</v>
      </c>
      <c r="M30" s="56">
        <f t="shared" si="7"/>
        <v>28.08</v>
      </c>
      <c r="N30" s="63" t="s">
        <v>1</v>
      </c>
      <c r="O30" s="63"/>
      <c r="P30" s="65"/>
      <c r="Q30" s="63"/>
      <c r="R30" s="63"/>
      <c r="S30" s="65"/>
      <c r="T30" s="63"/>
      <c r="U30" s="56"/>
      <c r="Z30" s="2" t="str">
        <f t="array" ref="Z30">IFERROR(INDEX(Table14[DESIGNATION ARTICLE],SMALL(IF(ISNUMBER(SEARCH(CALCULATEUR!$D$5,Table14[DESIGNATION ARTICLE])),ROW(Table14[DESIGNATION ARTICLE])-4),ROWS($1:26))),"")</f>
        <v/>
      </c>
    </row>
    <row r="31" spans="1:26" ht="14.45" customHeight="1" x14ac:dyDescent="0.25">
      <c r="A31" s="189"/>
      <c r="B31" s="5" t="s">
        <v>59</v>
      </c>
      <c r="C31" s="19">
        <v>649250000000102</v>
      </c>
      <c r="D31" s="11">
        <v>5411545030035</v>
      </c>
      <c r="E31" s="208">
        <v>145</v>
      </c>
      <c r="F31" s="209">
        <v>4.2</v>
      </c>
      <c r="G31" s="209">
        <v>1.2</v>
      </c>
      <c r="H31" s="71">
        <v>6</v>
      </c>
      <c r="I31" s="72">
        <f t="shared" si="6"/>
        <v>30.240000000000002</v>
      </c>
      <c r="J31" s="63" t="s">
        <v>1</v>
      </c>
      <c r="K31" s="73">
        <v>1</v>
      </c>
      <c r="L31" s="55">
        <f t="shared" si="3"/>
        <v>6</v>
      </c>
      <c r="M31" s="56">
        <f t="shared" si="7"/>
        <v>30.240000000000002</v>
      </c>
      <c r="N31" s="63" t="s">
        <v>1</v>
      </c>
      <c r="O31" s="63"/>
      <c r="P31" s="65"/>
      <c r="Q31" s="63"/>
      <c r="R31" s="63"/>
      <c r="S31" s="65"/>
      <c r="T31" s="63"/>
      <c r="U31" s="56"/>
      <c r="Z31" s="2" t="str">
        <f t="array" ref="Z31">IFERROR(INDEX(Table14[DESIGNATION ARTICLE],SMALL(IF(ISNUMBER(SEARCH(CALCULATEUR!$D$5,Table14[DESIGNATION ARTICLE])),ROW(Table14[DESIGNATION ARTICLE])-4),ROWS($1:27))),"")</f>
        <v/>
      </c>
    </row>
    <row r="32" spans="1:26" ht="14.45" customHeight="1" x14ac:dyDescent="0.25">
      <c r="A32" s="189"/>
      <c r="B32" s="5" t="s">
        <v>60</v>
      </c>
      <c r="C32" s="19">
        <v>649250000000103</v>
      </c>
      <c r="D32" s="12">
        <v>5411545030066</v>
      </c>
      <c r="E32" s="206">
        <v>145</v>
      </c>
      <c r="F32" s="207">
        <v>4.5</v>
      </c>
      <c r="G32" s="207">
        <v>1.2</v>
      </c>
      <c r="H32" s="71">
        <v>6</v>
      </c>
      <c r="I32" s="72">
        <f t="shared" si="6"/>
        <v>32.4</v>
      </c>
      <c r="J32" s="63" t="s">
        <v>1</v>
      </c>
      <c r="K32" s="73">
        <v>1</v>
      </c>
      <c r="L32" s="55">
        <f t="shared" si="3"/>
        <v>6</v>
      </c>
      <c r="M32" s="56">
        <f t="shared" si="7"/>
        <v>32.4</v>
      </c>
      <c r="N32" s="63" t="s">
        <v>1</v>
      </c>
      <c r="O32" s="63"/>
      <c r="P32" s="65"/>
      <c r="Q32" s="63"/>
      <c r="R32" s="63"/>
      <c r="S32" s="65"/>
      <c r="T32" s="63"/>
      <c r="U32" s="56"/>
      <c r="Z32" s="2" t="str">
        <f t="array" ref="Z32">IFERROR(INDEX(Table14[DESIGNATION ARTICLE],SMALL(IF(ISNUMBER(SEARCH(CALCULATEUR!$D$5,Table14[DESIGNATION ARTICLE])),ROW(Table14[DESIGNATION ARTICLE])-4),ROWS($1:28))),"")</f>
        <v/>
      </c>
    </row>
    <row r="33" spans="1:26" ht="14.45" customHeight="1" x14ac:dyDescent="0.25">
      <c r="A33" s="189"/>
      <c r="B33" s="5" t="s">
        <v>61</v>
      </c>
      <c r="C33" s="19">
        <v>649250000000097</v>
      </c>
      <c r="D33" s="11">
        <v>5411545030097</v>
      </c>
      <c r="E33" s="208">
        <v>145</v>
      </c>
      <c r="F33" s="209">
        <v>4.8</v>
      </c>
      <c r="G33" s="209">
        <v>1.2</v>
      </c>
      <c r="H33" s="71">
        <v>6</v>
      </c>
      <c r="I33" s="72">
        <f t="shared" si="6"/>
        <v>34.56</v>
      </c>
      <c r="J33" s="63" t="s">
        <v>1</v>
      </c>
      <c r="K33" s="73">
        <v>1</v>
      </c>
      <c r="L33" s="55">
        <f t="shared" si="3"/>
        <v>6</v>
      </c>
      <c r="M33" s="56">
        <f t="shared" si="7"/>
        <v>34.56</v>
      </c>
      <c r="N33" s="63" t="s">
        <v>1</v>
      </c>
      <c r="O33" s="63"/>
      <c r="P33" s="65"/>
      <c r="Q33" s="63"/>
      <c r="R33" s="63"/>
      <c r="S33" s="65"/>
      <c r="T33" s="63"/>
      <c r="U33" s="56"/>
      <c r="Z33" s="2" t="str">
        <f t="array" ref="Z33">IFERROR(INDEX(Table14[DESIGNATION ARTICLE],SMALL(IF(ISNUMBER(SEARCH(CALCULATEUR!$D$5,Table14[DESIGNATION ARTICLE])),ROW(Table14[DESIGNATION ARTICLE])-4),ROWS($1:29))),"")</f>
        <v/>
      </c>
    </row>
    <row r="34" spans="1:26" ht="14.45" customHeight="1" x14ac:dyDescent="0.25">
      <c r="A34" s="189"/>
      <c r="B34" s="5" t="s">
        <v>62</v>
      </c>
      <c r="C34" s="19">
        <v>649250000000004</v>
      </c>
      <c r="D34" s="12">
        <v>5411545029961</v>
      </c>
      <c r="E34" s="206">
        <v>145</v>
      </c>
      <c r="F34" s="207">
        <v>5.0999999999999996</v>
      </c>
      <c r="G34" s="207">
        <v>1.2</v>
      </c>
      <c r="H34" s="71">
        <v>6</v>
      </c>
      <c r="I34" s="72">
        <f t="shared" si="6"/>
        <v>36.72</v>
      </c>
      <c r="J34" s="63" t="s">
        <v>1</v>
      </c>
      <c r="K34" s="73">
        <v>1</v>
      </c>
      <c r="L34" s="55">
        <f t="shared" si="3"/>
        <v>6</v>
      </c>
      <c r="M34" s="56">
        <f t="shared" si="7"/>
        <v>36.72</v>
      </c>
      <c r="N34" s="63" t="s">
        <v>1</v>
      </c>
      <c r="O34" s="63"/>
      <c r="P34" s="65"/>
      <c r="Q34" s="63"/>
      <c r="R34" s="63"/>
      <c r="S34" s="65"/>
      <c r="T34" s="63"/>
      <c r="U34" s="56"/>
      <c r="Z34" s="2" t="str">
        <f t="array" ref="Z34">IFERROR(INDEX(Table14[DESIGNATION ARTICLE],SMALL(IF(ISNUMBER(SEARCH(CALCULATEUR!$D$5,Table14[DESIGNATION ARTICLE])),ROW(Table14[DESIGNATION ARTICLE])-4),ROWS($1:30))),"")</f>
        <v/>
      </c>
    </row>
    <row r="35" spans="1:26" ht="14.45" customHeight="1" x14ac:dyDescent="0.25">
      <c r="A35" s="189"/>
      <c r="B35" s="5" t="s">
        <v>63</v>
      </c>
      <c r="C35" s="20">
        <v>649250000000013</v>
      </c>
      <c r="D35" s="11">
        <v>5411545030141</v>
      </c>
      <c r="E35" s="208">
        <v>145</v>
      </c>
      <c r="F35" s="209">
        <v>5.4</v>
      </c>
      <c r="G35" s="209">
        <v>1.2</v>
      </c>
      <c r="H35" s="71">
        <v>6</v>
      </c>
      <c r="I35" s="72">
        <f t="shared" si="6"/>
        <v>38.880000000000003</v>
      </c>
      <c r="J35" s="63" t="s">
        <v>1</v>
      </c>
      <c r="K35" s="73">
        <v>1</v>
      </c>
      <c r="L35" s="55">
        <f t="shared" si="3"/>
        <v>6</v>
      </c>
      <c r="M35" s="56">
        <f t="shared" si="7"/>
        <v>38.880000000000003</v>
      </c>
      <c r="N35" s="63" t="s">
        <v>1</v>
      </c>
      <c r="O35" s="63"/>
      <c r="P35" s="65"/>
      <c r="Q35" s="63"/>
      <c r="R35" s="63"/>
      <c r="S35" s="65"/>
      <c r="T35" s="63"/>
      <c r="U35" s="56"/>
      <c r="Z35" s="2" t="str">
        <f t="array" ref="Z35">IFERROR(INDEX(Table14[DESIGNATION ARTICLE],SMALL(IF(ISNUMBER(SEARCH(CALCULATEUR!$D$5,Table14[DESIGNATION ARTICLE])),ROW(Table14[DESIGNATION ARTICLE])-4),ROWS($1:31))),"")</f>
        <v/>
      </c>
    </row>
    <row r="36" spans="1:26" ht="14.45" customHeight="1" x14ac:dyDescent="0.25">
      <c r="A36" s="189"/>
      <c r="B36" s="5" t="s">
        <v>64</v>
      </c>
      <c r="C36" s="20">
        <v>649250000000018</v>
      </c>
      <c r="D36" s="12">
        <v>5411545030189</v>
      </c>
      <c r="E36" s="206">
        <v>145</v>
      </c>
      <c r="F36" s="207">
        <v>5.7</v>
      </c>
      <c r="G36" s="207">
        <v>1.2</v>
      </c>
      <c r="H36" s="71">
        <v>6</v>
      </c>
      <c r="I36" s="72">
        <f t="shared" si="6"/>
        <v>41.04</v>
      </c>
      <c r="J36" s="63" t="s">
        <v>1</v>
      </c>
      <c r="K36" s="73">
        <v>1</v>
      </c>
      <c r="L36" s="55">
        <f t="shared" si="3"/>
        <v>6</v>
      </c>
      <c r="M36" s="56">
        <f t="shared" si="7"/>
        <v>41.04</v>
      </c>
      <c r="N36" s="63" t="s">
        <v>1</v>
      </c>
      <c r="O36" s="63"/>
      <c r="P36" s="65"/>
      <c r="Q36" s="63"/>
      <c r="R36" s="63"/>
      <c r="S36" s="65"/>
      <c r="T36" s="63"/>
      <c r="U36" s="56"/>
      <c r="Z36" s="2" t="str">
        <f t="array" ref="Z36">IFERROR(INDEX(Table14[DESIGNATION ARTICLE],SMALL(IF(ISNUMBER(SEARCH(CALCULATEUR!$D$5,Table14[DESIGNATION ARTICLE])),ROW(Table14[DESIGNATION ARTICLE])-4),ROWS($1:32))),"")</f>
        <v/>
      </c>
    </row>
    <row r="37" spans="1:26" ht="14.45" customHeight="1" x14ac:dyDescent="0.25">
      <c r="A37" s="189"/>
      <c r="B37" s="5" t="s">
        <v>65</v>
      </c>
      <c r="C37" s="20">
        <v>649250000000002</v>
      </c>
      <c r="D37" s="11">
        <v>5411545030219</v>
      </c>
      <c r="E37" s="208">
        <v>145</v>
      </c>
      <c r="F37" s="209">
        <v>6</v>
      </c>
      <c r="G37" s="209">
        <v>1.2</v>
      </c>
      <c r="H37" s="71">
        <v>6</v>
      </c>
      <c r="I37" s="72">
        <f t="shared" si="6"/>
        <v>43.199999999999996</v>
      </c>
      <c r="J37" s="63" t="s">
        <v>1</v>
      </c>
      <c r="K37" s="73">
        <v>1</v>
      </c>
      <c r="L37" s="55">
        <f t="shared" si="3"/>
        <v>6</v>
      </c>
      <c r="M37" s="56">
        <f t="shared" si="7"/>
        <v>43.199999999999996</v>
      </c>
      <c r="N37" s="63" t="s">
        <v>1</v>
      </c>
      <c r="O37" s="63"/>
      <c r="P37" s="65"/>
      <c r="Q37" s="63"/>
      <c r="R37" s="63"/>
      <c r="S37" s="65"/>
      <c r="T37" s="63"/>
      <c r="U37" s="56"/>
      <c r="Z37" s="2" t="str">
        <f t="array" ref="Z37">IFERROR(INDEX(Table14[DESIGNATION ARTICLE],SMALL(IF(ISNUMBER(SEARCH(CALCULATEUR!$D$5,Table14[DESIGNATION ARTICLE])),ROW(Table14[DESIGNATION ARTICLE])-4),ROWS($1:33))),"")</f>
        <v/>
      </c>
    </row>
    <row r="38" spans="1:26" ht="14.45" customHeight="1" x14ac:dyDescent="0.25">
      <c r="A38" s="189"/>
      <c r="B38" s="5" t="s">
        <v>66</v>
      </c>
      <c r="C38" s="21">
        <v>649250000000168</v>
      </c>
      <c r="D38" s="12">
        <v>5411545030240</v>
      </c>
      <c r="E38" s="206">
        <v>145</v>
      </c>
      <c r="F38" s="207">
        <v>6.3</v>
      </c>
      <c r="G38" s="207">
        <v>1.2</v>
      </c>
      <c r="H38" s="71">
        <v>6</v>
      </c>
      <c r="I38" s="72">
        <f t="shared" si="6"/>
        <v>45.36</v>
      </c>
      <c r="J38" s="63" t="s">
        <v>1</v>
      </c>
      <c r="K38" s="73">
        <v>1</v>
      </c>
      <c r="L38" s="55">
        <f t="shared" si="3"/>
        <v>6</v>
      </c>
      <c r="M38" s="56">
        <f t="shared" si="7"/>
        <v>45.36</v>
      </c>
      <c r="N38" s="63" t="s">
        <v>1</v>
      </c>
      <c r="O38" s="63"/>
      <c r="P38" s="65"/>
      <c r="Q38" s="63"/>
      <c r="R38" s="63"/>
      <c r="S38" s="65"/>
      <c r="T38" s="63"/>
      <c r="U38" s="56"/>
      <c r="Z38" s="2" t="str">
        <f t="array" ref="Z38">IFERROR(INDEX(Table14[DESIGNATION ARTICLE],SMALL(IF(ISNUMBER(SEARCH(CALCULATEUR!$D$5,Table14[DESIGNATION ARTICLE])),ROW(Table14[DESIGNATION ARTICLE])-4),ROWS($1:34))),"")</f>
        <v/>
      </c>
    </row>
    <row r="39" spans="1:26" ht="14.45" customHeight="1" thickBot="1" x14ac:dyDescent="0.3">
      <c r="A39" s="189"/>
      <c r="B39" s="136" t="s">
        <v>67</v>
      </c>
      <c r="C39" s="22">
        <v>649250000000005</v>
      </c>
      <c r="D39" s="7">
        <v>5411545030271</v>
      </c>
      <c r="E39" s="216">
        <v>145</v>
      </c>
      <c r="F39" s="217">
        <v>6.5</v>
      </c>
      <c r="G39" s="217">
        <v>1.2</v>
      </c>
      <c r="H39" s="74">
        <v>6</v>
      </c>
      <c r="I39" s="75">
        <f t="shared" si="6"/>
        <v>46.8</v>
      </c>
      <c r="J39" s="76" t="s">
        <v>1</v>
      </c>
      <c r="K39" s="77">
        <v>1</v>
      </c>
      <c r="L39" s="57">
        <f t="shared" si="3"/>
        <v>6</v>
      </c>
      <c r="M39" s="58">
        <f t="shared" si="7"/>
        <v>46.8</v>
      </c>
      <c r="N39" s="76" t="s">
        <v>1</v>
      </c>
      <c r="O39" s="76"/>
      <c r="P39" s="79"/>
      <c r="Q39" s="76"/>
      <c r="R39" s="76"/>
      <c r="S39" s="79"/>
      <c r="T39" s="76"/>
      <c r="U39" s="58"/>
      <c r="Z39" s="2" t="str">
        <f t="array" ref="Z39">IFERROR(INDEX(Table14[DESIGNATION ARTICLE],SMALL(IF(ISNUMBER(SEARCH(CALCULATEUR!$D$5,Table14[DESIGNATION ARTICLE])),ROW(Table14[DESIGNATION ARTICLE])-4),ROWS($1:35))),"")</f>
        <v/>
      </c>
    </row>
    <row r="40" spans="1:26" ht="14.45" customHeight="1" x14ac:dyDescent="0.25">
      <c r="A40" s="189"/>
      <c r="B40" s="5" t="s">
        <v>68</v>
      </c>
      <c r="C40" s="20">
        <v>649250000000104</v>
      </c>
      <c r="D40" s="12">
        <v>5411545030332</v>
      </c>
      <c r="E40" s="206">
        <v>160</v>
      </c>
      <c r="F40" s="207">
        <v>3.6</v>
      </c>
      <c r="G40" s="207">
        <v>1.2</v>
      </c>
      <c r="H40" s="71">
        <v>6</v>
      </c>
      <c r="I40" s="72">
        <f t="shared" si="6"/>
        <v>25.92</v>
      </c>
      <c r="J40" s="63" t="s">
        <v>1</v>
      </c>
      <c r="K40" s="73">
        <v>1</v>
      </c>
      <c r="L40" s="55">
        <f t="shared" si="3"/>
        <v>6</v>
      </c>
      <c r="M40" s="56">
        <f t="shared" si="7"/>
        <v>25.92</v>
      </c>
      <c r="N40" s="63" t="s">
        <v>1</v>
      </c>
      <c r="O40" s="63"/>
      <c r="P40" s="65"/>
      <c r="Q40" s="63"/>
      <c r="R40" s="63"/>
      <c r="S40" s="65"/>
      <c r="T40" s="63"/>
      <c r="U40" s="56"/>
      <c r="Z40" s="2" t="str">
        <f t="array" ref="Z40">IFERROR(INDEX(Table14[DESIGNATION ARTICLE],SMALL(IF(ISNUMBER(SEARCH(CALCULATEUR!$D$5,Table14[DESIGNATION ARTICLE])),ROW(Table14[DESIGNATION ARTICLE])-4),ROWS($1:36))),"")</f>
        <v/>
      </c>
    </row>
    <row r="41" spans="1:26" ht="14.45" customHeight="1" x14ac:dyDescent="0.25">
      <c r="A41" s="189"/>
      <c r="B41" s="5" t="s">
        <v>69</v>
      </c>
      <c r="C41" s="20">
        <v>649250000000105</v>
      </c>
      <c r="D41" s="11">
        <v>5411545030363</v>
      </c>
      <c r="E41" s="208">
        <v>160</v>
      </c>
      <c r="F41" s="209">
        <v>3.9</v>
      </c>
      <c r="G41" s="209">
        <v>1.2</v>
      </c>
      <c r="H41" s="71">
        <v>6</v>
      </c>
      <c r="I41" s="72">
        <f t="shared" si="6"/>
        <v>28.08</v>
      </c>
      <c r="J41" s="63" t="s">
        <v>1</v>
      </c>
      <c r="K41" s="73">
        <v>1</v>
      </c>
      <c r="L41" s="55">
        <f t="shared" si="3"/>
        <v>6</v>
      </c>
      <c r="M41" s="56">
        <f t="shared" si="7"/>
        <v>28.08</v>
      </c>
      <c r="N41" s="63" t="s">
        <v>1</v>
      </c>
      <c r="O41" s="63"/>
      <c r="P41" s="65"/>
      <c r="Q41" s="63"/>
      <c r="R41" s="63"/>
      <c r="S41" s="65"/>
      <c r="T41" s="63"/>
      <c r="U41" s="56"/>
      <c r="Z41" s="2" t="str">
        <f t="array" ref="Z41">IFERROR(INDEX(Table14[DESIGNATION ARTICLE],SMALL(IF(ISNUMBER(SEARCH(CALCULATEUR!$D$5,Table14[DESIGNATION ARTICLE])),ROW(Table14[DESIGNATION ARTICLE])-4),ROWS($1:37))),"")</f>
        <v/>
      </c>
    </row>
    <row r="42" spans="1:26" ht="14.45" customHeight="1" x14ac:dyDescent="0.25">
      <c r="A42" s="189"/>
      <c r="B42" s="5" t="s">
        <v>70</v>
      </c>
      <c r="C42" s="20">
        <v>649250000000106</v>
      </c>
      <c r="D42" s="12">
        <v>5411545030394</v>
      </c>
      <c r="E42" s="206">
        <v>160</v>
      </c>
      <c r="F42" s="207">
        <v>4.2</v>
      </c>
      <c r="G42" s="207">
        <v>1.2</v>
      </c>
      <c r="H42" s="71">
        <v>6</v>
      </c>
      <c r="I42" s="72">
        <f t="shared" si="6"/>
        <v>30.240000000000002</v>
      </c>
      <c r="J42" s="63" t="s">
        <v>1</v>
      </c>
      <c r="K42" s="73">
        <v>1</v>
      </c>
      <c r="L42" s="55">
        <f t="shared" si="3"/>
        <v>6</v>
      </c>
      <c r="M42" s="56">
        <f t="shared" si="7"/>
        <v>30.240000000000002</v>
      </c>
      <c r="N42" s="63" t="s">
        <v>1</v>
      </c>
      <c r="O42" s="63"/>
      <c r="P42" s="65"/>
      <c r="Q42" s="63"/>
      <c r="R42" s="63"/>
      <c r="S42" s="65"/>
      <c r="T42" s="63"/>
      <c r="U42" s="56"/>
      <c r="Z42" s="2" t="str">
        <f t="array" ref="Z42">IFERROR(INDEX(Table14[DESIGNATION ARTICLE],SMALL(IF(ISNUMBER(SEARCH(CALCULATEUR!$D$5,Table14[DESIGNATION ARTICLE])),ROW(Table14[DESIGNATION ARTICLE])-4),ROWS($1:38))),"")</f>
        <v/>
      </c>
    </row>
    <row r="43" spans="1:26" ht="14.45" customHeight="1" x14ac:dyDescent="0.25">
      <c r="A43" s="189"/>
      <c r="B43" s="5" t="s">
        <v>71</v>
      </c>
      <c r="C43" s="20">
        <v>649250000000107</v>
      </c>
      <c r="D43" s="11">
        <v>5411545030424</v>
      </c>
      <c r="E43" s="208">
        <v>160</v>
      </c>
      <c r="F43" s="209">
        <v>4.5</v>
      </c>
      <c r="G43" s="209">
        <v>1.2</v>
      </c>
      <c r="H43" s="71">
        <v>6</v>
      </c>
      <c r="I43" s="72">
        <f t="shared" si="6"/>
        <v>32.4</v>
      </c>
      <c r="J43" s="63" t="s">
        <v>1</v>
      </c>
      <c r="K43" s="73">
        <v>1</v>
      </c>
      <c r="L43" s="55">
        <f t="shared" si="3"/>
        <v>6</v>
      </c>
      <c r="M43" s="56">
        <f t="shared" si="7"/>
        <v>32.4</v>
      </c>
      <c r="N43" s="63" t="s">
        <v>1</v>
      </c>
      <c r="O43" s="63"/>
      <c r="P43" s="65"/>
      <c r="Q43" s="63"/>
      <c r="R43" s="63"/>
      <c r="S43" s="65"/>
      <c r="T43" s="63"/>
      <c r="U43" s="56"/>
      <c r="Z43" s="2" t="str">
        <f t="array" ref="Z43">IFERROR(INDEX(Table14[DESIGNATION ARTICLE],SMALL(IF(ISNUMBER(SEARCH(CALCULATEUR!$D$5,Table14[DESIGNATION ARTICLE])),ROW(Table14[DESIGNATION ARTICLE])-4),ROWS($1:39))),"")</f>
        <v/>
      </c>
    </row>
    <row r="44" spans="1:26" ht="14.45" customHeight="1" x14ac:dyDescent="0.25">
      <c r="A44" s="189"/>
      <c r="B44" s="5" t="s">
        <v>72</v>
      </c>
      <c r="C44" s="20">
        <v>649250000000092</v>
      </c>
      <c r="D44" s="12">
        <v>5411545030455</v>
      </c>
      <c r="E44" s="206">
        <v>160</v>
      </c>
      <c r="F44" s="207">
        <v>4.8</v>
      </c>
      <c r="G44" s="207">
        <v>1.2</v>
      </c>
      <c r="H44" s="71">
        <v>6</v>
      </c>
      <c r="I44" s="72">
        <f t="shared" si="6"/>
        <v>34.56</v>
      </c>
      <c r="J44" s="63" t="s">
        <v>1</v>
      </c>
      <c r="K44" s="73">
        <v>1</v>
      </c>
      <c r="L44" s="55">
        <f t="shared" si="3"/>
        <v>6</v>
      </c>
      <c r="M44" s="56">
        <f t="shared" si="7"/>
        <v>34.56</v>
      </c>
      <c r="N44" s="63" t="s">
        <v>1</v>
      </c>
      <c r="O44" s="63"/>
      <c r="P44" s="65"/>
      <c r="Q44" s="63"/>
      <c r="R44" s="63"/>
      <c r="S44" s="65"/>
      <c r="T44" s="63"/>
      <c r="U44" s="56"/>
      <c r="Z44" s="2" t="str">
        <f t="array" ref="Z44">IFERROR(INDEX(Table14[DESIGNATION ARTICLE],SMALL(IF(ISNUMBER(SEARCH(CALCULATEUR!$D$5,Table14[DESIGNATION ARTICLE])),ROW(Table14[DESIGNATION ARTICLE])-4),ROWS($1:40))),"")</f>
        <v/>
      </c>
    </row>
    <row r="45" spans="1:26" ht="14.45" customHeight="1" x14ac:dyDescent="0.25">
      <c r="A45" s="189"/>
      <c r="B45" s="5" t="s">
        <v>73</v>
      </c>
      <c r="C45" s="20">
        <v>649250000000108</v>
      </c>
      <c r="D45" s="11">
        <v>5411545030486</v>
      </c>
      <c r="E45" s="208">
        <v>160</v>
      </c>
      <c r="F45" s="209">
        <v>5.0999999999999996</v>
      </c>
      <c r="G45" s="209">
        <v>1.2</v>
      </c>
      <c r="H45" s="71">
        <v>6</v>
      </c>
      <c r="I45" s="72">
        <f t="shared" si="6"/>
        <v>36.72</v>
      </c>
      <c r="J45" s="63" t="s">
        <v>1</v>
      </c>
      <c r="K45" s="73">
        <v>1</v>
      </c>
      <c r="L45" s="55">
        <f t="shared" si="3"/>
        <v>6</v>
      </c>
      <c r="M45" s="56">
        <f t="shared" si="7"/>
        <v>36.72</v>
      </c>
      <c r="N45" s="63" t="s">
        <v>1</v>
      </c>
      <c r="O45" s="63"/>
      <c r="P45" s="65"/>
      <c r="Q45" s="63"/>
      <c r="R45" s="63"/>
      <c r="S45" s="65"/>
      <c r="T45" s="63"/>
      <c r="U45" s="56"/>
      <c r="Z45" s="2" t="str">
        <f t="array" ref="Z45">IFERROR(INDEX(Table14[DESIGNATION ARTICLE],SMALL(IF(ISNUMBER(SEARCH(CALCULATEUR!$D$5,Table14[DESIGNATION ARTICLE])),ROW(Table14[DESIGNATION ARTICLE])-4),ROWS($1:41))),"")</f>
        <v/>
      </c>
    </row>
    <row r="46" spans="1:26" ht="14.45" customHeight="1" x14ac:dyDescent="0.25">
      <c r="A46" s="189"/>
      <c r="B46" s="5" t="s">
        <v>74</v>
      </c>
      <c r="C46" s="20">
        <v>649250000000014</v>
      </c>
      <c r="D46" s="12">
        <v>5411545030516</v>
      </c>
      <c r="E46" s="206">
        <v>160</v>
      </c>
      <c r="F46" s="207">
        <v>5.4</v>
      </c>
      <c r="G46" s="207">
        <v>1.2</v>
      </c>
      <c r="H46" s="71">
        <v>6</v>
      </c>
      <c r="I46" s="72">
        <f t="shared" si="6"/>
        <v>38.880000000000003</v>
      </c>
      <c r="J46" s="63" t="s">
        <v>1</v>
      </c>
      <c r="K46" s="73">
        <v>1</v>
      </c>
      <c r="L46" s="55">
        <f t="shared" si="3"/>
        <v>6</v>
      </c>
      <c r="M46" s="56">
        <f t="shared" si="7"/>
        <v>38.880000000000003</v>
      </c>
      <c r="N46" s="63" t="s">
        <v>1</v>
      </c>
      <c r="O46" s="63"/>
      <c r="P46" s="65"/>
      <c r="Q46" s="63"/>
      <c r="R46" s="63"/>
      <c r="S46" s="65"/>
      <c r="T46" s="63"/>
      <c r="U46" s="56"/>
      <c r="Z46" s="2" t="str">
        <f t="array" ref="Z46">IFERROR(INDEX(Table14[DESIGNATION ARTICLE],SMALL(IF(ISNUMBER(SEARCH(CALCULATEUR!$D$5,Table14[DESIGNATION ARTICLE])),ROW(Table14[DESIGNATION ARTICLE])-4),ROWS($1:42))),"")</f>
        <v/>
      </c>
    </row>
    <row r="47" spans="1:26" ht="14.45" customHeight="1" x14ac:dyDescent="0.25">
      <c r="A47" s="189"/>
      <c r="B47" s="5" t="s">
        <v>75</v>
      </c>
      <c r="C47" s="20">
        <v>649250000000001</v>
      </c>
      <c r="D47" s="11">
        <v>5411545030547</v>
      </c>
      <c r="E47" s="208">
        <v>160</v>
      </c>
      <c r="F47" s="209">
        <v>5.7</v>
      </c>
      <c r="G47" s="209">
        <v>1.2</v>
      </c>
      <c r="H47" s="71">
        <v>6</v>
      </c>
      <c r="I47" s="72">
        <f t="shared" si="6"/>
        <v>41.04</v>
      </c>
      <c r="J47" s="63" t="s">
        <v>1</v>
      </c>
      <c r="K47" s="73">
        <v>1</v>
      </c>
      <c r="L47" s="55">
        <f t="shared" si="3"/>
        <v>6</v>
      </c>
      <c r="M47" s="56">
        <f t="shared" si="7"/>
        <v>41.04</v>
      </c>
      <c r="N47" s="63" t="s">
        <v>1</v>
      </c>
      <c r="O47" s="63"/>
      <c r="P47" s="65"/>
      <c r="Q47" s="63"/>
      <c r="R47" s="63"/>
      <c r="S47" s="65"/>
      <c r="T47" s="63"/>
      <c r="U47" s="56"/>
      <c r="Z47" s="2" t="str">
        <f t="array" ref="Z47">IFERROR(INDEX(Table14[DESIGNATION ARTICLE],SMALL(IF(ISNUMBER(SEARCH(CALCULATEUR!$D$5,Table14[DESIGNATION ARTICLE])),ROW(Table14[DESIGNATION ARTICLE])-4),ROWS($1:43))),"")</f>
        <v/>
      </c>
    </row>
    <row r="48" spans="1:26" ht="14.45" customHeight="1" x14ac:dyDescent="0.25">
      <c r="A48" s="189"/>
      <c r="B48" s="5" t="s">
        <v>76</v>
      </c>
      <c r="C48" s="20">
        <v>649250000000006</v>
      </c>
      <c r="D48" s="12">
        <v>5411545030578</v>
      </c>
      <c r="E48" s="206">
        <v>160</v>
      </c>
      <c r="F48" s="207">
        <v>6</v>
      </c>
      <c r="G48" s="207">
        <v>1.2</v>
      </c>
      <c r="H48" s="71">
        <v>6</v>
      </c>
      <c r="I48" s="72">
        <f t="shared" si="6"/>
        <v>43.199999999999996</v>
      </c>
      <c r="J48" s="63" t="s">
        <v>1</v>
      </c>
      <c r="K48" s="73">
        <v>1</v>
      </c>
      <c r="L48" s="55">
        <f t="shared" si="3"/>
        <v>6</v>
      </c>
      <c r="M48" s="56">
        <f t="shared" si="7"/>
        <v>43.199999999999996</v>
      </c>
      <c r="N48" s="63" t="s">
        <v>1</v>
      </c>
      <c r="O48" s="63"/>
      <c r="P48" s="65"/>
      <c r="Q48" s="63"/>
      <c r="R48" s="63"/>
      <c r="S48" s="65"/>
      <c r="T48" s="63"/>
      <c r="U48" s="56"/>
      <c r="Z48" s="2" t="str">
        <f t="array" ref="Z48">IFERROR(INDEX(Table14[DESIGNATION ARTICLE],SMALL(IF(ISNUMBER(SEARCH(CALCULATEUR!$D$5,Table14[DESIGNATION ARTICLE])),ROW(Table14[DESIGNATION ARTICLE])-4),ROWS($1:44))),"")</f>
        <v/>
      </c>
    </row>
    <row r="49" spans="1:26" ht="14.45" customHeight="1" x14ac:dyDescent="0.25">
      <c r="A49" s="189"/>
      <c r="B49" s="5" t="s">
        <v>77</v>
      </c>
      <c r="C49" s="20">
        <v>649250000000165</v>
      </c>
      <c r="D49" s="11">
        <v>5411545030608</v>
      </c>
      <c r="E49" s="208">
        <v>160</v>
      </c>
      <c r="F49" s="209">
        <v>6.3</v>
      </c>
      <c r="G49" s="209">
        <v>1.2</v>
      </c>
      <c r="H49" s="71">
        <v>6</v>
      </c>
      <c r="I49" s="72">
        <f t="shared" si="6"/>
        <v>45.36</v>
      </c>
      <c r="J49" s="63" t="s">
        <v>1</v>
      </c>
      <c r="K49" s="73">
        <v>1</v>
      </c>
      <c r="L49" s="55">
        <f t="shared" si="3"/>
        <v>6</v>
      </c>
      <c r="M49" s="56">
        <f t="shared" si="7"/>
        <v>45.36</v>
      </c>
      <c r="N49" s="63" t="s">
        <v>1</v>
      </c>
      <c r="O49" s="63"/>
      <c r="P49" s="65"/>
      <c r="Q49" s="63"/>
      <c r="R49" s="63"/>
      <c r="S49" s="65"/>
      <c r="T49" s="63"/>
      <c r="U49" s="56"/>
      <c r="Z49" s="2" t="str">
        <f t="array" ref="Z49">IFERROR(INDEX(Table14[DESIGNATION ARTICLE],SMALL(IF(ISNUMBER(SEARCH(CALCULATEUR!$D$5,Table14[DESIGNATION ARTICLE])),ROW(Table14[DESIGNATION ARTICLE])-4),ROWS($1:45))),"")</f>
        <v/>
      </c>
    </row>
    <row r="50" spans="1:26" ht="14.45" customHeight="1" thickBot="1" x14ac:dyDescent="0.3">
      <c r="A50" s="189"/>
      <c r="B50" s="136" t="s">
        <v>78</v>
      </c>
      <c r="C50" s="22">
        <v>649250000000007</v>
      </c>
      <c r="D50" s="12">
        <v>5411545030639</v>
      </c>
      <c r="E50" s="212">
        <v>160</v>
      </c>
      <c r="F50" s="213">
        <v>6.5</v>
      </c>
      <c r="G50" s="213">
        <v>1.2</v>
      </c>
      <c r="H50" s="74">
        <v>6</v>
      </c>
      <c r="I50" s="75">
        <f t="shared" si="6"/>
        <v>46.8</v>
      </c>
      <c r="J50" s="76" t="s">
        <v>1</v>
      </c>
      <c r="K50" s="77">
        <v>1</v>
      </c>
      <c r="L50" s="57">
        <f t="shared" si="3"/>
        <v>6</v>
      </c>
      <c r="M50" s="58">
        <f t="shared" si="7"/>
        <v>46.8</v>
      </c>
      <c r="N50" s="76" t="s">
        <v>1</v>
      </c>
      <c r="O50" s="76"/>
      <c r="P50" s="79"/>
      <c r="Q50" s="76"/>
      <c r="R50" s="76"/>
      <c r="S50" s="79"/>
      <c r="T50" s="76"/>
      <c r="U50" s="58"/>
      <c r="Z50" s="2" t="str">
        <f t="array" ref="Z50">IFERROR(INDEX(Table14[DESIGNATION ARTICLE],SMALL(IF(ISNUMBER(SEARCH(CALCULATEUR!$D$5,Table14[DESIGNATION ARTICLE])),ROW(Table14[DESIGNATION ARTICLE])-4),ROWS($1:46))),"")</f>
        <v/>
      </c>
    </row>
    <row r="51" spans="1:26" ht="14.45" customHeight="1" x14ac:dyDescent="0.25">
      <c r="A51" s="189"/>
      <c r="B51" s="137" t="s">
        <v>79</v>
      </c>
      <c r="C51" s="23">
        <v>649250000000117</v>
      </c>
      <c r="D51" s="9">
        <v>5411545030691</v>
      </c>
      <c r="E51" s="214">
        <v>180</v>
      </c>
      <c r="F51" s="215">
        <v>3.6</v>
      </c>
      <c r="G51" s="215">
        <v>1.2</v>
      </c>
      <c r="H51" s="67">
        <v>6</v>
      </c>
      <c r="I51" s="68">
        <f t="shared" si="6"/>
        <v>25.92</v>
      </c>
      <c r="J51" s="69" t="s">
        <v>1</v>
      </c>
      <c r="K51" s="70">
        <v>1</v>
      </c>
      <c r="L51" s="55">
        <f t="shared" si="3"/>
        <v>6</v>
      </c>
      <c r="M51" s="60">
        <f t="shared" si="7"/>
        <v>25.92</v>
      </c>
      <c r="N51" s="69" t="s">
        <v>1</v>
      </c>
      <c r="O51" s="69"/>
      <c r="P51" s="89"/>
      <c r="Q51" s="69"/>
      <c r="R51" s="69"/>
      <c r="S51" s="89"/>
      <c r="T51" s="69"/>
      <c r="U51" s="56"/>
      <c r="Z51" s="2" t="str">
        <f t="array" ref="Z51">IFERROR(INDEX(Table14[DESIGNATION ARTICLE],SMALL(IF(ISNUMBER(SEARCH(CALCULATEUR!$D$5,Table14[DESIGNATION ARTICLE])),ROW(Table14[DESIGNATION ARTICLE])-4),ROWS($1:47))),"")</f>
        <v/>
      </c>
    </row>
    <row r="52" spans="1:26" ht="14.45" customHeight="1" x14ac:dyDescent="0.25">
      <c r="A52" s="189"/>
      <c r="B52" s="5" t="s">
        <v>80</v>
      </c>
      <c r="C52" s="20">
        <v>649250000000116</v>
      </c>
      <c r="D52" s="12">
        <v>5411545030721</v>
      </c>
      <c r="E52" s="206">
        <v>180</v>
      </c>
      <c r="F52" s="207">
        <v>3.9</v>
      </c>
      <c r="G52" s="207">
        <v>1.2</v>
      </c>
      <c r="H52" s="71">
        <v>6</v>
      </c>
      <c r="I52" s="72">
        <f t="shared" ref="I52:I72" si="10">H52*(F52*G52)</f>
        <v>28.08</v>
      </c>
      <c r="J52" s="63" t="s">
        <v>1</v>
      </c>
      <c r="K52" s="73">
        <v>1</v>
      </c>
      <c r="L52" s="55">
        <f t="shared" si="3"/>
        <v>6</v>
      </c>
      <c r="M52" s="56">
        <f t="shared" ref="M52:M76" si="11">I52*K52</f>
        <v>28.08</v>
      </c>
      <c r="N52" s="63" t="s">
        <v>1</v>
      </c>
      <c r="O52" s="63"/>
      <c r="P52" s="65"/>
      <c r="Q52" s="63"/>
      <c r="R52" s="63"/>
      <c r="S52" s="65"/>
      <c r="T52" s="63"/>
      <c r="U52" s="56"/>
      <c r="Z52" s="2" t="str">
        <f t="array" ref="Z52">IFERROR(INDEX(Table14[DESIGNATION ARTICLE],SMALL(IF(ISNUMBER(SEARCH(CALCULATEUR!$D$5,Table14[DESIGNATION ARTICLE])),ROW(Table14[DESIGNATION ARTICLE])-4),ROWS($1:48))),"")</f>
        <v/>
      </c>
    </row>
    <row r="53" spans="1:26" ht="14.45" customHeight="1" x14ac:dyDescent="0.25">
      <c r="A53" s="189"/>
      <c r="B53" s="5" t="s">
        <v>81</v>
      </c>
      <c r="C53" s="20">
        <v>649250000000115</v>
      </c>
      <c r="D53" s="11">
        <v>5411545030752</v>
      </c>
      <c r="E53" s="208">
        <v>180</v>
      </c>
      <c r="F53" s="209">
        <v>4.2</v>
      </c>
      <c r="G53" s="209">
        <v>1.2</v>
      </c>
      <c r="H53" s="71">
        <v>6</v>
      </c>
      <c r="I53" s="72">
        <f t="shared" si="10"/>
        <v>30.240000000000002</v>
      </c>
      <c r="J53" s="63" t="s">
        <v>1</v>
      </c>
      <c r="K53" s="73">
        <v>1</v>
      </c>
      <c r="L53" s="55">
        <f t="shared" si="3"/>
        <v>6</v>
      </c>
      <c r="M53" s="56">
        <f t="shared" si="11"/>
        <v>30.240000000000002</v>
      </c>
      <c r="N53" s="63" t="s">
        <v>1</v>
      </c>
      <c r="O53" s="63"/>
      <c r="P53" s="65"/>
      <c r="Q53" s="63"/>
      <c r="R53" s="63"/>
      <c r="S53" s="65"/>
      <c r="T53" s="63"/>
      <c r="U53" s="56"/>
      <c r="Z53" s="2" t="str">
        <f t="array" ref="Z53">IFERROR(INDEX(Table14[DESIGNATION ARTICLE],SMALL(IF(ISNUMBER(SEARCH(CALCULATEUR!$D$5,Table14[DESIGNATION ARTICLE])),ROW(Table14[DESIGNATION ARTICLE])-4),ROWS($1:49))),"")</f>
        <v/>
      </c>
    </row>
    <row r="54" spans="1:26" ht="14.45" customHeight="1" x14ac:dyDescent="0.25">
      <c r="A54" s="189"/>
      <c r="B54" s="5" t="s">
        <v>82</v>
      </c>
      <c r="C54" s="20">
        <v>649250000000114</v>
      </c>
      <c r="D54" s="12">
        <v>5411545030783</v>
      </c>
      <c r="E54" s="206">
        <v>180</v>
      </c>
      <c r="F54" s="207">
        <v>4.5</v>
      </c>
      <c r="G54" s="207">
        <v>1.2</v>
      </c>
      <c r="H54" s="71">
        <v>6</v>
      </c>
      <c r="I54" s="72">
        <f t="shared" si="10"/>
        <v>32.4</v>
      </c>
      <c r="J54" s="63" t="s">
        <v>1</v>
      </c>
      <c r="K54" s="73">
        <v>1</v>
      </c>
      <c r="L54" s="55">
        <f t="shared" si="3"/>
        <v>6</v>
      </c>
      <c r="M54" s="56">
        <f t="shared" si="11"/>
        <v>32.4</v>
      </c>
      <c r="N54" s="63" t="s">
        <v>1</v>
      </c>
      <c r="O54" s="63"/>
      <c r="P54" s="65"/>
      <c r="Q54" s="63"/>
      <c r="R54" s="63"/>
      <c r="S54" s="65"/>
      <c r="T54" s="63"/>
      <c r="U54" s="56"/>
      <c r="Z54" s="2" t="str">
        <f t="array" ref="Z54">IFERROR(INDEX(Table14[DESIGNATION ARTICLE],SMALL(IF(ISNUMBER(SEARCH(CALCULATEUR!$D$5,Table14[DESIGNATION ARTICLE])),ROW(Table14[DESIGNATION ARTICLE])-4),ROWS($1:50))),"")</f>
        <v/>
      </c>
    </row>
    <row r="55" spans="1:26" ht="14.45" customHeight="1" x14ac:dyDescent="0.25">
      <c r="A55" s="189"/>
      <c r="B55" s="5" t="s">
        <v>83</v>
      </c>
      <c r="C55" s="20">
        <v>649250000000094</v>
      </c>
      <c r="D55" s="11">
        <v>5411545030813</v>
      </c>
      <c r="E55" s="208">
        <v>180</v>
      </c>
      <c r="F55" s="209">
        <v>4.8</v>
      </c>
      <c r="G55" s="209">
        <v>1.2</v>
      </c>
      <c r="H55" s="71">
        <v>6</v>
      </c>
      <c r="I55" s="72">
        <f t="shared" si="10"/>
        <v>34.56</v>
      </c>
      <c r="J55" s="63" t="s">
        <v>1</v>
      </c>
      <c r="K55" s="73">
        <v>1</v>
      </c>
      <c r="L55" s="55">
        <f t="shared" si="3"/>
        <v>6</v>
      </c>
      <c r="M55" s="56">
        <f t="shared" si="11"/>
        <v>34.56</v>
      </c>
      <c r="N55" s="63" t="s">
        <v>1</v>
      </c>
      <c r="O55" s="63"/>
      <c r="P55" s="65"/>
      <c r="Q55" s="63"/>
      <c r="R55" s="63"/>
      <c r="S55" s="65"/>
      <c r="T55" s="63"/>
      <c r="U55" s="56"/>
      <c r="Z55" s="2" t="str">
        <f t="array" ref="Z55">IFERROR(INDEX(Table14[DESIGNATION ARTICLE],SMALL(IF(ISNUMBER(SEARCH(CALCULATEUR!$D$5,Table14[DESIGNATION ARTICLE])),ROW(Table14[DESIGNATION ARTICLE])-4),ROWS($1:51))),"")</f>
        <v/>
      </c>
    </row>
    <row r="56" spans="1:26" ht="14.45" customHeight="1" x14ac:dyDescent="0.25">
      <c r="A56" s="189"/>
      <c r="B56" s="5" t="s">
        <v>84</v>
      </c>
      <c r="C56" s="20">
        <v>649250000000113</v>
      </c>
      <c r="D56" s="12">
        <v>5411545030844</v>
      </c>
      <c r="E56" s="206">
        <v>180</v>
      </c>
      <c r="F56" s="207">
        <v>5.0999999999999996</v>
      </c>
      <c r="G56" s="207">
        <v>1.2</v>
      </c>
      <c r="H56" s="71">
        <v>6</v>
      </c>
      <c r="I56" s="72">
        <f t="shared" si="10"/>
        <v>36.72</v>
      </c>
      <c r="J56" s="63" t="s">
        <v>1</v>
      </c>
      <c r="K56" s="73">
        <v>1</v>
      </c>
      <c r="L56" s="55">
        <f t="shared" si="3"/>
        <v>6</v>
      </c>
      <c r="M56" s="56">
        <f t="shared" si="11"/>
        <v>36.72</v>
      </c>
      <c r="N56" s="63" t="s">
        <v>1</v>
      </c>
      <c r="O56" s="63"/>
      <c r="P56" s="65"/>
      <c r="Q56" s="63"/>
      <c r="R56" s="63"/>
      <c r="S56" s="65"/>
      <c r="T56" s="63"/>
      <c r="U56" s="56"/>
      <c r="Z56" s="2" t="str">
        <f t="array" ref="Z56">IFERROR(INDEX(Table14[DESIGNATION ARTICLE],SMALL(IF(ISNUMBER(SEARCH(CALCULATEUR!$D$5,Table14[DESIGNATION ARTICLE])),ROW(Table14[DESIGNATION ARTICLE])-4),ROWS($1:52))),"")</f>
        <v/>
      </c>
    </row>
    <row r="57" spans="1:26" ht="14.45" customHeight="1" x14ac:dyDescent="0.25">
      <c r="A57" s="189"/>
      <c r="B57" s="5" t="s">
        <v>85</v>
      </c>
      <c r="C57" s="20">
        <v>649250000000012</v>
      </c>
      <c r="D57" s="11">
        <v>5411545030875</v>
      </c>
      <c r="E57" s="208">
        <v>180</v>
      </c>
      <c r="F57" s="209">
        <v>5.4</v>
      </c>
      <c r="G57" s="209">
        <v>1.2</v>
      </c>
      <c r="H57" s="71">
        <v>5</v>
      </c>
      <c r="I57" s="72">
        <f t="shared" si="10"/>
        <v>32.400000000000006</v>
      </c>
      <c r="J57" s="63" t="s">
        <v>1</v>
      </c>
      <c r="K57" s="73">
        <v>1</v>
      </c>
      <c r="L57" s="55">
        <f t="shared" si="3"/>
        <v>5</v>
      </c>
      <c r="M57" s="56">
        <f t="shared" si="11"/>
        <v>32.400000000000006</v>
      </c>
      <c r="N57" s="63" t="s">
        <v>1</v>
      </c>
      <c r="O57" s="63"/>
      <c r="P57" s="65"/>
      <c r="Q57" s="63"/>
      <c r="R57" s="63"/>
      <c r="S57" s="65"/>
      <c r="T57" s="63"/>
      <c r="U57" s="56"/>
      <c r="Z57" s="2" t="str">
        <f t="array" ref="Z57">IFERROR(INDEX(Table14[DESIGNATION ARTICLE],SMALL(IF(ISNUMBER(SEARCH(CALCULATEUR!$D$5,Table14[DESIGNATION ARTICLE])),ROW(Table14[DESIGNATION ARTICLE])-4),ROWS($1:53))),"")</f>
        <v/>
      </c>
    </row>
    <row r="58" spans="1:26" ht="14.45" customHeight="1" x14ac:dyDescent="0.25">
      <c r="A58" s="189"/>
      <c r="B58" s="5" t="s">
        <v>86</v>
      </c>
      <c r="C58" s="20">
        <v>649250000000011</v>
      </c>
      <c r="D58" s="12">
        <v>5411545030905</v>
      </c>
      <c r="E58" s="206">
        <v>180</v>
      </c>
      <c r="F58" s="207">
        <v>5.7</v>
      </c>
      <c r="G58" s="207">
        <v>1.2</v>
      </c>
      <c r="H58" s="71">
        <v>5</v>
      </c>
      <c r="I58" s="72">
        <f t="shared" si="10"/>
        <v>34.200000000000003</v>
      </c>
      <c r="J58" s="63" t="s">
        <v>1</v>
      </c>
      <c r="K58" s="73">
        <v>1</v>
      </c>
      <c r="L58" s="55">
        <f t="shared" si="3"/>
        <v>5</v>
      </c>
      <c r="M58" s="56">
        <f t="shared" si="11"/>
        <v>34.200000000000003</v>
      </c>
      <c r="N58" s="63" t="s">
        <v>1</v>
      </c>
      <c r="O58" s="63"/>
      <c r="P58" s="65"/>
      <c r="Q58" s="63"/>
      <c r="R58" s="63"/>
      <c r="S58" s="65"/>
      <c r="T58" s="63"/>
      <c r="U58" s="56"/>
      <c r="Z58" s="2" t="str">
        <f t="array" ref="Z58">IFERROR(INDEX(Table14[DESIGNATION ARTICLE],SMALL(IF(ISNUMBER(SEARCH(CALCULATEUR!$D$5,Table14[DESIGNATION ARTICLE])),ROW(Table14[DESIGNATION ARTICLE])-4),ROWS($1:54))),"")</f>
        <v/>
      </c>
    </row>
    <row r="59" spans="1:26" ht="14.45" customHeight="1" x14ac:dyDescent="0.25">
      <c r="A59" s="189"/>
      <c r="B59" s="5" t="s">
        <v>87</v>
      </c>
      <c r="C59" s="20">
        <v>649250000000043</v>
      </c>
      <c r="D59" s="11">
        <v>5411545030936</v>
      </c>
      <c r="E59" s="208">
        <v>180</v>
      </c>
      <c r="F59" s="209">
        <v>6</v>
      </c>
      <c r="G59" s="209">
        <v>1.2</v>
      </c>
      <c r="H59" s="71">
        <v>5</v>
      </c>
      <c r="I59" s="72">
        <f t="shared" si="10"/>
        <v>36</v>
      </c>
      <c r="J59" s="63" t="s">
        <v>1</v>
      </c>
      <c r="K59" s="73">
        <v>1</v>
      </c>
      <c r="L59" s="55">
        <f t="shared" si="3"/>
        <v>5</v>
      </c>
      <c r="M59" s="56">
        <f t="shared" si="11"/>
        <v>36</v>
      </c>
      <c r="N59" s="63" t="s">
        <v>1</v>
      </c>
      <c r="O59" s="63"/>
      <c r="P59" s="65"/>
      <c r="Q59" s="63"/>
      <c r="R59" s="63"/>
      <c r="S59" s="65"/>
      <c r="T59" s="63"/>
      <c r="U59" s="56"/>
      <c r="Z59" s="2" t="str">
        <f t="array" ref="Z59">IFERROR(INDEX(Table14[DESIGNATION ARTICLE],SMALL(IF(ISNUMBER(SEARCH(CALCULATEUR!$D$5,Table14[DESIGNATION ARTICLE])),ROW(Table14[DESIGNATION ARTICLE])-4),ROWS($1:55))),"")</f>
        <v/>
      </c>
    </row>
    <row r="60" spans="1:26" ht="14.45" customHeight="1" x14ac:dyDescent="0.25">
      <c r="A60" s="189"/>
      <c r="B60" s="5" t="s">
        <v>88</v>
      </c>
      <c r="C60" s="20">
        <v>649250000000162</v>
      </c>
      <c r="D60" s="12">
        <v>5411545030967</v>
      </c>
      <c r="E60" s="206">
        <v>180</v>
      </c>
      <c r="F60" s="207">
        <v>6.3</v>
      </c>
      <c r="G60" s="207">
        <v>1.2</v>
      </c>
      <c r="H60" s="71">
        <v>5</v>
      </c>
      <c r="I60" s="72">
        <f t="shared" si="10"/>
        <v>37.799999999999997</v>
      </c>
      <c r="J60" s="63" t="s">
        <v>1</v>
      </c>
      <c r="K60" s="73">
        <v>1</v>
      </c>
      <c r="L60" s="55">
        <f t="shared" si="3"/>
        <v>5</v>
      </c>
      <c r="M60" s="56">
        <f t="shared" si="11"/>
        <v>37.799999999999997</v>
      </c>
      <c r="N60" s="63" t="s">
        <v>1</v>
      </c>
      <c r="O60" s="63"/>
      <c r="P60" s="65"/>
      <c r="Q60" s="63"/>
      <c r="R60" s="63"/>
      <c r="S60" s="65"/>
      <c r="T60" s="63"/>
      <c r="U60" s="56"/>
      <c r="Z60" s="2" t="str">
        <f t="array" ref="Z60">IFERROR(INDEX(Table14[DESIGNATION ARTICLE],SMALL(IF(ISNUMBER(SEARCH(CALCULATEUR!$D$5,Table14[DESIGNATION ARTICLE])),ROW(Table14[DESIGNATION ARTICLE])-4),ROWS($1:56))),"")</f>
        <v/>
      </c>
    </row>
    <row r="61" spans="1:26" ht="14.45" customHeight="1" thickBot="1" x14ac:dyDescent="0.3">
      <c r="A61" s="189"/>
      <c r="B61" s="136" t="s">
        <v>89</v>
      </c>
      <c r="C61" s="22">
        <v>649250000000010</v>
      </c>
      <c r="D61" s="7">
        <v>5411545030998</v>
      </c>
      <c r="E61" s="216">
        <v>180</v>
      </c>
      <c r="F61" s="217">
        <v>6.5</v>
      </c>
      <c r="G61" s="217">
        <v>1.2</v>
      </c>
      <c r="H61" s="74">
        <v>5</v>
      </c>
      <c r="I61" s="75">
        <f t="shared" si="10"/>
        <v>39</v>
      </c>
      <c r="J61" s="76" t="s">
        <v>1</v>
      </c>
      <c r="K61" s="77">
        <v>1</v>
      </c>
      <c r="L61" s="57">
        <f t="shared" si="3"/>
        <v>5</v>
      </c>
      <c r="M61" s="58">
        <f t="shared" si="11"/>
        <v>39</v>
      </c>
      <c r="N61" s="76" t="s">
        <v>1</v>
      </c>
      <c r="O61" s="76"/>
      <c r="P61" s="79"/>
      <c r="Q61" s="76"/>
      <c r="R61" s="76"/>
      <c r="S61" s="79"/>
      <c r="T61" s="76"/>
      <c r="U61" s="58"/>
      <c r="Z61" s="2" t="str">
        <f t="array" ref="Z61">IFERROR(INDEX(Table14[DESIGNATION ARTICLE],SMALL(IF(ISNUMBER(SEARCH(CALCULATEUR!$D$5,Table14[DESIGNATION ARTICLE])),ROW(Table14[DESIGNATION ARTICLE])-4),ROWS($1:57))),"")</f>
        <v/>
      </c>
    </row>
    <row r="62" spans="1:26" ht="14.45" customHeight="1" x14ac:dyDescent="0.25">
      <c r="A62" s="189"/>
      <c r="B62" s="137" t="s">
        <v>90</v>
      </c>
      <c r="C62" s="23">
        <v>649250000000112</v>
      </c>
      <c r="D62" s="12">
        <v>5411545031056</v>
      </c>
      <c r="E62" s="210">
        <v>200</v>
      </c>
      <c r="F62" s="211">
        <v>3.6</v>
      </c>
      <c r="G62" s="211">
        <v>1.2</v>
      </c>
      <c r="H62" s="67">
        <v>6</v>
      </c>
      <c r="I62" s="68">
        <f t="shared" si="10"/>
        <v>25.92</v>
      </c>
      <c r="J62" s="69" t="s">
        <v>1</v>
      </c>
      <c r="K62" s="70">
        <v>1</v>
      </c>
      <c r="L62" s="55">
        <f t="shared" si="3"/>
        <v>6</v>
      </c>
      <c r="M62" s="60">
        <f t="shared" si="11"/>
        <v>25.92</v>
      </c>
      <c r="N62" s="69" t="s">
        <v>1</v>
      </c>
      <c r="O62" s="69"/>
      <c r="P62" s="89"/>
      <c r="Q62" s="69"/>
      <c r="R62" s="69"/>
      <c r="S62" s="89"/>
      <c r="T62" s="69"/>
      <c r="U62" s="56"/>
      <c r="Z62" s="2" t="str">
        <f t="array" ref="Z62">IFERROR(INDEX(Table14[DESIGNATION ARTICLE],SMALL(IF(ISNUMBER(SEARCH(CALCULATEUR!$D$5,Table14[DESIGNATION ARTICLE])),ROW(Table14[DESIGNATION ARTICLE])-4),ROWS($1:58))),"")</f>
        <v/>
      </c>
    </row>
    <row r="63" spans="1:26" ht="14.45" customHeight="1" x14ac:dyDescent="0.25">
      <c r="A63" s="189"/>
      <c r="B63" s="5" t="s">
        <v>91</v>
      </c>
      <c r="C63" s="20">
        <v>649250000000111</v>
      </c>
      <c r="D63" s="11">
        <v>5411545031087</v>
      </c>
      <c r="E63" s="208">
        <v>200</v>
      </c>
      <c r="F63" s="209">
        <v>3.9</v>
      </c>
      <c r="G63" s="209">
        <v>1.2</v>
      </c>
      <c r="H63" s="71">
        <v>6</v>
      </c>
      <c r="I63" s="72">
        <f t="shared" si="10"/>
        <v>28.08</v>
      </c>
      <c r="J63" s="63" t="s">
        <v>1</v>
      </c>
      <c r="K63" s="73">
        <v>1</v>
      </c>
      <c r="L63" s="55">
        <f t="shared" si="3"/>
        <v>6</v>
      </c>
      <c r="M63" s="56">
        <f t="shared" si="11"/>
        <v>28.08</v>
      </c>
      <c r="N63" s="63" t="s">
        <v>1</v>
      </c>
      <c r="O63" s="63"/>
      <c r="P63" s="65"/>
      <c r="Q63" s="63"/>
      <c r="R63" s="63"/>
      <c r="S63" s="65"/>
      <c r="T63" s="63"/>
      <c r="U63" s="56"/>
      <c r="Z63" s="2" t="str">
        <f t="array" ref="Z63">IFERROR(INDEX(Table14[DESIGNATION ARTICLE],SMALL(IF(ISNUMBER(SEARCH(CALCULATEUR!$D$5,Table14[DESIGNATION ARTICLE])),ROW(Table14[DESIGNATION ARTICLE])-4),ROWS($1:59))),"")</f>
        <v/>
      </c>
    </row>
    <row r="64" spans="1:26" ht="14.45" customHeight="1" x14ac:dyDescent="0.25">
      <c r="A64" s="189"/>
      <c r="B64" s="5" t="s">
        <v>92</v>
      </c>
      <c r="C64" s="20">
        <v>649250000000110</v>
      </c>
      <c r="D64" s="12">
        <v>5411545031117</v>
      </c>
      <c r="E64" s="206">
        <v>200</v>
      </c>
      <c r="F64" s="207">
        <v>4.2</v>
      </c>
      <c r="G64" s="207">
        <v>1.2</v>
      </c>
      <c r="H64" s="71">
        <v>6</v>
      </c>
      <c r="I64" s="72">
        <f t="shared" si="10"/>
        <v>30.240000000000002</v>
      </c>
      <c r="J64" s="63" t="s">
        <v>1</v>
      </c>
      <c r="K64" s="73">
        <v>1</v>
      </c>
      <c r="L64" s="55">
        <f t="shared" si="3"/>
        <v>6</v>
      </c>
      <c r="M64" s="56">
        <f t="shared" si="11"/>
        <v>30.240000000000002</v>
      </c>
      <c r="N64" s="63" t="s">
        <v>1</v>
      </c>
      <c r="O64" s="63"/>
      <c r="P64" s="65"/>
      <c r="Q64" s="63"/>
      <c r="R64" s="63"/>
      <c r="S64" s="65"/>
      <c r="T64" s="63"/>
      <c r="U64" s="56"/>
      <c r="Z64" s="2" t="str">
        <f t="array" ref="Z64">IFERROR(INDEX(Table14[DESIGNATION ARTICLE],SMALL(IF(ISNUMBER(SEARCH(CALCULATEUR!$D$5,Table14[DESIGNATION ARTICLE])),ROW(Table14[DESIGNATION ARTICLE])-4),ROWS($1:60))),"")</f>
        <v/>
      </c>
    </row>
    <row r="65" spans="1:26" ht="14.45" customHeight="1" x14ac:dyDescent="0.25">
      <c r="A65" s="189"/>
      <c r="B65" s="5" t="s">
        <v>93</v>
      </c>
      <c r="C65" s="20">
        <v>649250000000118</v>
      </c>
      <c r="D65" s="11">
        <v>5411545031148</v>
      </c>
      <c r="E65" s="208">
        <v>200</v>
      </c>
      <c r="F65" s="209">
        <v>4.5</v>
      </c>
      <c r="G65" s="209">
        <v>1.2</v>
      </c>
      <c r="H65" s="71">
        <v>6</v>
      </c>
      <c r="I65" s="72">
        <f t="shared" si="10"/>
        <v>32.4</v>
      </c>
      <c r="J65" s="63" t="s">
        <v>1</v>
      </c>
      <c r="K65" s="73">
        <v>1</v>
      </c>
      <c r="L65" s="55">
        <f t="shared" si="3"/>
        <v>6</v>
      </c>
      <c r="M65" s="56">
        <f t="shared" si="11"/>
        <v>32.4</v>
      </c>
      <c r="N65" s="63" t="s">
        <v>1</v>
      </c>
      <c r="O65" s="63"/>
      <c r="P65" s="65"/>
      <c r="Q65" s="63"/>
      <c r="R65" s="63"/>
      <c r="S65" s="65"/>
      <c r="T65" s="63"/>
      <c r="U65" s="56"/>
      <c r="Z65" s="2" t="str">
        <f t="array" ref="Z65">IFERROR(INDEX(Table14[DESIGNATION ARTICLE],SMALL(IF(ISNUMBER(SEARCH(CALCULATEUR!$D$5,Table14[DESIGNATION ARTICLE])),ROW(Table14[DESIGNATION ARTICLE])-4),ROWS($1:61))),"")</f>
        <v/>
      </c>
    </row>
    <row r="66" spans="1:26" ht="14.45" customHeight="1" x14ac:dyDescent="0.25">
      <c r="A66" s="189"/>
      <c r="B66" s="5" t="s">
        <v>94</v>
      </c>
      <c r="C66" s="20">
        <v>649250000000088</v>
      </c>
      <c r="D66" s="12">
        <v>5411545031179</v>
      </c>
      <c r="E66" s="206">
        <v>200</v>
      </c>
      <c r="F66" s="207">
        <v>4.8</v>
      </c>
      <c r="G66" s="207">
        <v>1.2</v>
      </c>
      <c r="H66" s="71">
        <v>6</v>
      </c>
      <c r="I66" s="72">
        <f t="shared" si="10"/>
        <v>34.56</v>
      </c>
      <c r="J66" s="63" t="s">
        <v>1</v>
      </c>
      <c r="K66" s="73">
        <v>1</v>
      </c>
      <c r="L66" s="55">
        <f t="shared" si="3"/>
        <v>6</v>
      </c>
      <c r="M66" s="56">
        <f t="shared" si="11"/>
        <v>34.56</v>
      </c>
      <c r="N66" s="63" t="s">
        <v>1</v>
      </c>
      <c r="O66" s="63"/>
      <c r="P66" s="65"/>
      <c r="Q66" s="63"/>
      <c r="R66" s="63"/>
      <c r="S66" s="65"/>
      <c r="T66" s="63"/>
      <c r="U66" s="56"/>
      <c r="Z66" s="2" t="str">
        <f t="array" ref="Z66">IFERROR(INDEX(Table14[DESIGNATION ARTICLE],SMALL(IF(ISNUMBER(SEARCH(CALCULATEUR!$D$5,Table14[DESIGNATION ARTICLE])),ROW(Table14[DESIGNATION ARTICLE])-4),ROWS($1:62))),"")</f>
        <v/>
      </c>
    </row>
    <row r="67" spans="1:26" ht="14.45" customHeight="1" x14ac:dyDescent="0.25">
      <c r="A67" s="189"/>
      <c r="B67" s="5" t="s">
        <v>95</v>
      </c>
      <c r="C67" s="20">
        <v>649250000000109</v>
      </c>
      <c r="D67" s="11">
        <v>5411545031209</v>
      </c>
      <c r="E67" s="208">
        <v>200</v>
      </c>
      <c r="F67" s="209">
        <v>5.0999999999999996</v>
      </c>
      <c r="G67" s="209">
        <v>1.2</v>
      </c>
      <c r="H67" s="71">
        <v>6</v>
      </c>
      <c r="I67" s="72">
        <f t="shared" si="10"/>
        <v>36.72</v>
      </c>
      <c r="J67" s="63" t="s">
        <v>1</v>
      </c>
      <c r="K67" s="73">
        <v>1</v>
      </c>
      <c r="L67" s="55">
        <f t="shared" si="3"/>
        <v>6</v>
      </c>
      <c r="M67" s="56">
        <f t="shared" si="11"/>
        <v>36.72</v>
      </c>
      <c r="N67" s="63" t="s">
        <v>1</v>
      </c>
      <c r="O67" s="63"/>
      <c r="P67" s="65"/>
      <c r="Q67" s="63"/>
      <c r="R67" s="63"/>
      <c r="S67" s="65"/>
      <c r="T67" s="63"/>
      <c r="U67" s="56"/>
      <c r="Z67" s="2" t="str">
        <f t="array" ref="Z67">IFERROR(INDEX(Table14[DESIGNATION ARTICLE],SMALL(IF(ISNUMBER(SEARCH(CALCULATEUR!$D$5,Table14[DESIGNATION ARTICLE])),ROW(Table14[DESIGNATION ARTICLE])-4),ROWS($1:63))),"")</f>
        <v/>
      </c>
    </row>
    <row r="68" spans="1:26" ht="14.45" customHeight="1" x14ac:dyDescent="0.25">
      <c r="A68" s="189"/>
      <c r="B68" s="5" t="s">
        <v>96</v>
      </c>
      <c r="C68" s="20">
        <v>649250000000017</v>
      </c>
      <c r="D68" s="12">
        <v>5411545031230</v>
      </c>
      <c r="E68" s="206">
        <v>200</v>
      </c>
      <c r="F68" s="207">
        <v>5.4</v>
      </c>
      <c r="G68" s="207">
        <v>1.2</v>
      </c>
      <c r="H68" s="71">
        <v>5</v>
      </c>
      <c r="I68" s="72">
        <f t="shared" si="10"/>
        <v>32.400000000000006</v>
      </c>
      <c r="J68" s="63" t="s">
        <v>1</v>
      </c>
      <c r="K68" s="73">
        <v>1</v>
      </c>
      <c r="L68" s="55">
        <f t="shared" si="3"/>
        <v>5</v>
      </c>
      <c r="M68" s="56">
        <f t="shared" si="11"/>
        <v>32.400000000000006</v>
      </c>
      <c r="N68" s="63" t="s">
        <v>1</v>
      </c>
      <c r="O68" s="63"/>
      <c r="P68" s="65"/>
      <c r="Q68" s="63"/>
      <c r="R68" s="63"/>
      <c r="S68" s="65"/>
      <c r="T68" s="63"/>
      <c r="U68" s="56"/>
      <c r="Z68" s="2" t="str">
        <f t="array" ref="Z68">IFERROR(INDEX(Table14[DESIGNATION ARTICLE],SMALL(IF(ISNUMBER(SEARCH(CALCULATEUR!$D$5,Table14[DESIGNATION ARTICLE])),ROW(Table14[DESIGNATION ARTICLE])-4),ROWS($1:64))),"")</f>
        <v/>
      </c>
    </row>
    <row r="69" spans="1:26" ht="14.45" customHeight="1" x14ac:dyDescent="0.25">
      <c r="A69" s="189"/>
      <c r="B69" s="5" t="s">
        <v>97</v>
      </c>
      <c r="C69" s="20">
        <v>649250000000016</v>
      </c>
      <c r="D69" s="11">
        <v>5411545031261</v>
      </c>
      <c r="E69" s="208">
        <v>200</v>
      </c>
      <c r="F69" s="209">
        <v>5.7</v>
      </c>
      <c r="G69" s="209">
        <v>1.2</v>
      </c>
      <c r="H69" s="71">
        <v>5</v>
      </c>
      <c r="I69" s="72">
        <f t="shared" si="10"/>
        <v>34.200000000000003</v>
      </c>
      <c r="J69" s="63" t="s">
        <v>1</v>
      </c>
      <c r="K69" s="73">
        <v>1</v>
      </c>
      <c r="L69" s="55">
        <f t="shared" ref="L69:L125" si="12">H69*K69</f>
        <v>5</v>
      </c>
      <c r="M69" s="56">
        <f t="shared" si="11"/>
        <v>34.200000000000003</v>
      </c>
      <c r="N69" s="63" t="s">
        <v>1</v>
      </c>
      <c r="O69" s="63"/>
      <c r="P69" s="65"/>
      <c r="Q69" s="63"/>
      <c r="R69" s="63"/>
      <c r="S69" s="65"/>
      <c r="T69" s="63"/>
      <c r="U69" s="56"/>
      <c r="Z69" s="2" t="str">
        <f t="array" ref="Z69">IFERROR(INDEX(Table14[DESIGNATION ARTICLE],SMALL(IF(ISNUMBER(SEARCH(CALCULATEUR!$D$5,Table14[DESIGNATION ARTICLE])),ROW(Table14[DESIGNATION ARTICLE])-4),ROWS($1:65))),"")</f>
        <v/>
      </c>
    </row>
    <row r="70" spans="1:26" ht="14.45" customHeight="1" x14ac:dyDescent="0.25">
      <c r="A70" s="189"/>
      <c r="B70" s="5" t="s">
        <v>98</v>
      </c>
      <c r="C70" s="20">
        <v>649250000000008</v>
      </c>
      <c r="D70" s="12">
        <v>5411545031292</v>
      </c>
      <c r="E70" s="206">
        <v>200</v>
      </c>
      <c r="F70" s="207">
        <v>6</v>
      </c>
      <c r="G70" s="207">
        <v>1.2</v>
      </c>
      <c r="H70" s="71">
        <v>5</v>
      </c>
      <c r="I70" s="72">
        <f t="shared" si="10"/>
        <v>36</v>
      </c>
      <c r="J70" s="63" t="s">
        <v>1</v>
      </c>
      <c r="K70" s="73">
        <v>1</v>
      </c>
      <c r="L70" s="55">
        <f t="shared" si="12"/>
        <v>5</v>
      </c>
      <c r="M70" s="56">
        <f t="shared" si="11"/>
        <v>36</v>
      </c>
      <c r="N70" s="63" t="s">
        <v>1</v>
      </c>
      <c r="O70" s="63"/>
      <c r="P70" s="65"/>
      <c r="Q70" s="63"/>
      <c r="R70" s="63"/>
      <c r="S70" s="65"/>
      <c r="T70" s="63"/>
      <c r="U70" s="56"/>
      <c r="Z70" s="2" t="str">
        <f t="array" ref="Z70">IFERROR(INDEX(Table14[DESIGNATION ARTICLE],SMALL(IF(ISNUMBER(SEARCH(CALCULATEUR!$D$5,Table14[DESIGNATION ARTICLE])),ROW(Table14[DESIGNATION ARTICLE])-4),ROWS($1:66))),"")</f>
        <v/>
      </c>
    </row>
    <row r="71" spans="1:26" ht="14.45" customHeight="1" x14ac:dyDescent="0.25">
      <c r="A71" s="189"/>
      <c r="B71" s="5" t="s">
        <v>99</v>
      </c>
      <c r="C71" s="20">
        <v>649250000000159</v>
      </c>
      <c r="D71" s="11">
        <v>5411545031322</v>
      </c>
      <c r="E71" s="208">
        <v>200</v>
      </c>
      <c r="F71" s="209">
        <v>6.3</v>
      </c>
      <c r="G71" s="209">
        <v>1.2</v>
      </c>
      <c r="H71" s="71">
        <v>5</v>
      </c>
      <c r="I71" s="72">
        <f t="shared" si="10"/>
        <v>37.799999999999997</v>
      </c>
      <c r="J71" s="63" t="s">
        <v>1</v>
      </c>
      <c r="K71" s="73">
        <v>1</v>
      </c>
      <c r="L71" s="55">
        <f t="shared" si="12"/>
        <v>5</v>
      </c>
      <c r="M71" s="56">
        <f t="shared" si="11"/>
        <v>37.799999999999997</v>
      </c>
      <c r="N71" s="63" t="s">
        <v>1</v>
      </c>
      <c r="O71" s="63"/>
      <c r="P71" s="65"/>
      <c r="Q71" s="63"/>
      <c r="R71" s="63"/>
      <c r="S71" s="65"/>
      <c r="T71" s="63"/>
      <c r="U71" s="56"/>
      <c r="Z71" s="2" t="str">
        <f t="array" ref="Z71">IFERROR(INDEX(Table14[DESIGNATION ARTICLE],SMALL(IF(ISNUMBER(SEARCH(CALCULATEUR!$D$5,Table14[DESIGNATION ARTICLE])),ROW(Table14[DESIGNATION ARTICLE])-4),ROWS($1:67))),"")</f>
        <v/>
      </c>
    </row>
    <row r="72" spans="1:26" ht="14.45" customHeight="1" thickBot="1" x14ac:dyDescent="0.3">
      <c r="A72" s="189"/>
      <c r="B72" s="136" t="s">
        <v>100</v>
      </c>
      <c r="C72" s="22">
        <v>649250000000015</v>
      </c>
      <c r="D72" s="159">
        <v>5411545031353</v>
      </c>
      <c r="E72" s="212">
        <v>200</v>
      </c>
      <c r="F72" s="213">
        <v>6.5</v>
      </c>
      <c r="G72" s="213">
        <v>1.2</v>
      </c>
      <c r="H72" s="74">
        <v>5</v>
      </c>
      <c r="I72" s="75">
        <f t="shared" si="10"/>
        <v>39</v>
      </c>
      <c r="J72" s="76" t="s">
        <v>1</v>
      </c>
      <c r="K72" s="77">
        <v>1</v>
      </c>
      <c r="L72" s="57">
        <f t="shared" si="12"/>
        <v>5</v>
      </c>
      <c r="M72" s="58">
        <f t="shared" si="11"/>
        <v>39</v>
      </c>
      <c r="N72" s="76" t="s">
        <v>1</v>
      </c>
      <c r="O72" s="76"/>
      <c r="P72" s="79"/>
      <c r="Q72" s="76"/>
      <c r="R72" s="76"/>
      <c r="S72" s="79"/>
      <c r="T72" s="76"/>
      <c r="U72" s="58"/>
      <c r="Z72" s="2" t="str">
        <f t="array" ref="Z72">IFERROR(INDEX(Table14[DESIGNATION ARTICLE],SMALL(IF(ISNUMBER(SEARCH(CALCULATEUR!$D$5,Table14[DESIGNATION ARTICLE])),ROW(Table14[DESIGNATION ARTICLE])-4),ROWS($1:68))),"")</f>
        <v/>
      </c>
    </row>
    <row r="73" spans="1:26" ht="12.95" customHeight="1" x14ac:dyDescent="0.25">
      <c r="A73" s="182" t="s">
        <v>10</v>
      </c>
      <c r="B73" s="137" t="s">
        <v>101</v>
      </c>
      <c r="C73" s="13">
        <v>642130000000025</v>
      </c>
      <c r="D73" s="12">
        <v>5411545022061</v>
      </c>
      <c r="E73" s="210">
        <v>41</v>
      </c>
      <c r="F73" s="211">
        <v>2.6</v>
      </c>
      <c r="G73" s="211">
        <v>1.2</v>
      </c>
      <c r="H73" s="59">
        <v>22</v>
      </c>
      <c r="I73" s="60">
        <f t="shared" ref="I73:I96" si="13">H73*(F73*G73)</f>
        <v>68.64</v>
      </c>
      <c r="J73" s="59" t="s">
        <v>1</v>
      </c>
      <c r="K73" s="59">
        <v>1</v>
      </c>
      <c r="L73" s="55">
        <f t="shared" si="12"/>
        <v>22</v>
      </c>
      <c r="M73" s="60">
        <f t="shared" si="11"/>
        <v>68.64</v>
      </c>
      <c r="N73" s="59" t="s">
        <v>1</v>
      </c>
      <c r="O73" s="59">
        <v>12</v>
      </c>
      <c r="P73" s="56">
        <f t="shared" ref="P73:P136" si="14">M73*O73</f>
        <v>823.68000000000006</v>
      </c>
      <c r="Q73" s="59" t="s">
        <v>1</v>
      </c>
      <c r="R73" s="59">
        <v>20</v>
      </c>
      <c r="S73" s="56">
        <f t="shared" ref="S73:S136" si="15">R73*M73</f>
        <v>1372.8</v>
      </c>
      <c r="T73" s="59" t="s">
        <v>1</v>
      </c>
      <c r="U73" s="56">
        <f t="shared" ref="U73:U86" si="16">((0.1)*2)+(L73*((E73+13)/1000))*2</f>
        <v>2.5760000000000001</v>
      </c>
      <c r="Z73" s="2" t="str">
        <f t="array" ref="Z73">IFERROR(INDEX(Table14[DESIGNATION ARTICLE],SMALL(IF(ISNUMBER(SEARCH(CALCULATEUR!$D$5,Table14[DESIGNATION ARTICLE])),ROW(Table14[DESIGNATION ARTICLE])-4),ROWS($1:69))),"")</f>
        <v/>
      </c>
    </row>
    <row r="74" spans="1:26" ht="14.45" customHeight="1" x14ac:dyDescent="0.25">
      <c r="A74" s="183"/>
      <c r="B74" s="5" t="s">
        <v>102</v>
      </c>
      <c r="C74" s="14">
        <v>642130000000027</v>
      </c>
      <c r="D74" s="11">
        <v>5411545022078</v>
      </c>
      <c r="E74" s="208">
        <v>62</v>
      </c>
      <c r="F74" s="209">
        <v>2.6</v>
      </c>
      <c r="G74" s="209">
        <v>1.2</v>
      </c>
      <c r="H74" s="55">
        <v>16</v>
      </c>
      <c r="I74" s="56">
        <f t="shared" si="13"/>
        <v>49.92</v>
      </c>
      <c r="J74" s="55" t="s">
        <v>1</v>
      </c>
      <c r="K74" s="55">
        <v>1</v>
      </c>
      <c r="L74" s="55">
        <f t="shared" si="12"/>
        <v>16</v>
      </c>
      <c r="M74" s="56">
        <f t="shared" si="11"/>
        <v>49.92</v>
      </c>
      <c r="N74" s="55" t="s">
        <v>1</v>
      </c>
      <c r="O74" s="55">
        <v>12</v>
      </c>
      <c r="P74" s="56">
        <f t="shared" si="14"/>
        <v>599.04</v>
      </c>
      <c r="Q74" s="55" t="s">
        <v>1</v>
      </c>
      <c r="R74" s="55">
        <v>20</v>
      </c>
      <c r="S74" s="56">
        <f t="shared" si="15"/>
        <v>998.40000000000009</v>
      </c>
      <c r="T74" s="55" t="s">
        <v>1</v>
      </c>
      <c r="U74" s="56">
        <f t="shared" si="16"/>
        <v>2.6</v>
      </c>
      <c r="Z74" s="2" t="str">
        <f t="array" ref="Z74">IFERROR(INDEX(Table14[DESIGNATION ARTICLE],SMALL(IF(ISNUMBER(SEARCH(CALCULATEUR!$D$5,Table14[DESIGNATION ARTICLE])),ROW(Table14[DESIGNATION ARTICLE])-4),ROWS($1:70))),"")</f>
        <v/>
      </c>
    </row>
    <row r="75" spans="1:26" ht="14.45" customHeight="1" x14ac:dyDescent="0.25">
      <c r="A75" s="183"/>
      <c r="B75" s="5" t="s">
        <v>103</v>
      </c>
      <c r="C75" s="14">
        <v>642130000000024</v>
      </c>
      <c r="D75" s="12">
        <v>5411545022085</v>
      </c>
      <c r="E75" s="206">
        <v>82</v>
      </c>
      <c r="F75" s="207">
        <v>2.6</v>
      </c>
      <c r="G75" s="207">
        <v>1.2</v>
      </c>
      <c r="H75" s="55">
        <v>12</v>
      </c>
      <c r="I75" s="56">
        <f t="shared" si="13"/>
        <v>37.44</v>
      </c>
      <c r="J75" s="55" t="s">
        <v>1</v>
      </c>
      <c r="K75" s="55">
        <v>1</v>
      </c>
      <c r="L75" s="55">
        <f t="shared" si="12"/>
        <v>12</v>
      </c>
      <c r="M75" s="56">
        <f t="shared" si="11"/>
        <v>37.44</v>
      </c>
      <c r="N75" s="55" t="s">
        <v>1</v>
      </c>
      <c r="O75" s="55">
        <v>12</v>
      </c>
      <c r="P75" s="56">
        <f t="shared" si="14"/>
        <v>449.28</v>
      </c>
      <c r="Q75" s="55" t="s">
        <v>1</v>
      </c>
      <c r="R75" s="55">
        <v>20</v>
      </c>
      <c r="S75" s="56">
        <f t="shared" si="15"/>
        <v>748.8</v>
      </c>
      <c r="T75" s="55" t="s">
        <v>1</v>
      </c>
      <c r="U75" s="56">
        <f t="shared" si="16"/>
        <v>2.4800000000000004</v>
      </c>
      <c r="Z75" s="2" t="str">
        <f t="array" ref="Z75">IFERROR(INDEX(Table14[DESIGNATION ARTICLE],SMALL(IF(ISNUMBER(SEARCH(CALCULATEUR!$D$5,Table14[DESIGNATION ARTICLE])),ROW(Table14[DESIGNATION ARTICLE])-4),ROWS($1:71))),"")</f>
        <v/>
      </c>
    </row>
    <row r="76" spans="1:26" ht="14.45" customHeight="1" x14ac:dyDescent="0.25">
      <c r="A76" s="183"/>
      <c r="B76" s="5" t="s">
        <v>104</v>
      </c>
      <c r="C76" s="14">
        <v>642130000000026</v>
      </c>
      <c r="D76" s="11">
        <v>5411545022092</v>
      </c>
      <c r="E76" s="208">
        <v>103</v>
      </c>
      <c r="F76" s="209">
        <v>2.6</v>
      </c>
      <c r="G76" s="209">
        <v>1.2</v>
      </c>
      <c r="H76" s="55">
        <v>10</v>
      </c>
      <c r="I76" s="56">
        <f t="shared" si="13"/>
        <v>31.200000000000003</v>
      </c>
      <c r="J76" s="55" t="s">
        <v>1</v>
      </c>
      <c r="K76" s="55">
        <v>1</v>
      </c>
      <c r="L76" s="55">
        <f t="shared" si="12"/>
        <v>10</v>
      </c>
      <c r="M76" s="56">
        <f t="shared" si="11"/>
        <v>31.200000000000003</v>
      </c>
      <c r="N76" s="55" t="s">
        <v>1</v>
      </c>
      <c r="O76" s="55">
        <v>12</v>
      </c>
      <c r="P76" s="56">
        <f t="shared" si="14"/>
        <v>374.40000000000003</v>
      </c>
      <c r="Q76" s="55" t="s">
        <v>1</v>
      </c>
      <c r="R76" s="55">
        <v>20</v>
      </c>
      <c r="S76" s="56">
        <f t="shared" si="15"/>
        <v>624</v>
      </c>
      <c r="T76" s="55" t="s">
        <v>1</v>
      </c>
      <c r="U76" s="56">
        <f t="shared" si="16"/>
        <v>2.5200000000000005</v>
      </c>
      <c r="Z76" s="2" t="str">
        <f t="array" ref="Z76">IFERROR(INDEX(Table14[DESIGNATION ARTICLE],SMALL(IF(ISNUMBER(SEARCH(CALCULATEUR!$D$5,Table14[DESIGNATION ARTICLE])),ROW(Table14[DESIGNATION ARTICLE])-4),ROWS($1:72))),"")</f>
        <v/>
      </c>
    </row>
    <row r="77" spans="1:26" ht="14.45" customHeight="1" x14ac:dyDescent="0.25">
      <c r="A77" s="183"/>
      <c r="B77" s="5" t="s">
        <v>105</v>
      </c>
      <c r="C77" s="14">
        <v>642130000000028</v>
      </c>
      <c r="D77" s="12">
        <v>5411545022108</v>
      </c>
      <c r="E77" s="206">
        <v>123</v>
      </c>
      <c r="F77" s="207">
        <v>2.6</v>
      </c>
      <c r="G77" s="207">
        <v>1.2</v>
      </c>
      <c r="H77" s="55">
        <v>9</v>
      </c>
      <c r="I77" s="56">
        <f t="shared" si="13"/>
        <v>28.080000000000002</v>
      </c>
      <c r="J77" s="55" t="s">
        <v>1</v>
      </c>
      <c r="K77" s="55">
        <v>1</v>
      </c>
      <c r="L77" s="55">
        <f t="shared" si="12"/>
        <v>9</v>
      </c>
      <c r="M77" s="56">
        <f t="shared" ref="M77:M108" si="17">I77*K77</f>
        <v>28.080000000000002</v>
      </c>
      <c r="N77" s="55" t="s">
        <v>1</v>
      </c>
      <c r="O77" s="55">
        <v>12</v>
      </c>
      <c r="P77" s="56">
        <f t="shared" si="14"/>
        <v>336.96000000000004</v>
      </c>
      <c r="Q77" s="55" t="s">
        <v>1</v>
      </c>
      <c r="R77" s="55">
        <v>20</v>
      </c>
      <c r="S77" s="56">
        <f t="shared" si="15"/>
        <v>561.6</v>
      </c>
      <c r="T77" s="55" t="s">
        <v>1</v>
      </c>
      <c r="U77" s="56">
        <f t="shared" si="16"/>
        <v>2.6480000000000006</v>
      </c>
      <c r="Z77" s="2" t="str">
        <f t="array" ref="Z77">IFERROR(INDEX(Table14[DESIGNATION ARTICLE],SMALL(IF(ISNUMBER(SEARCH(CALCULATEUR!$D$5,Table14[DESIGNATION ARTICLE])),ROW(Table14[DESIGNATION ARTICLE])-4),ROWS($1:73))),"")</f>
        <v/>
      </c>
    </row>
    <row r="78" spans="1:26" ht="14.45" customHeight="1" x14ac:dyDescent="0.25">
      <c r="A78" s="183"/>
      <c r="B78" s="5" t="s">
        <v>106</v>
      </c>
      <c r="C78" s="24" t="s">
        <v>12</v>
      </c>
      <c r="D78" s="11" t="s">
        <v>12</v>
      </c>
      <c r="E78" s="208">
        <v>41</v>
      </c>
      <c r="F78" s="209">
        <v>2.7</v>
      </c>
      <c r="G78" s="209">
        <v>1.2</v>
      </c>
      <c r="H78" s="63">
        <v>22</v>
      </c>
      <c r="I78" s="65">
        <f t="shared" si="13"/>
        <v>71.28</v>
      </c>
      <c r="J78" s="63" t="s">
        <v>1</v>
      </c>
      <c r="K78" s="81">
        <v>1</v>
      </c>
      <c r="L78" s="55">
        <f t="shared" si="12"/>
        <v>22</v>
      </c>
      <c r="M78" s="65">
        <f t="shared" si="17"/>
        <v>71.28</v>
      </c>
      <c r="N78" s="63" t="s">
        <v>1</v>
      </c>
      <c r="O78" s="63">
        <v>4</v>
      </c>
      <c r="P78" s="56">
        <f t="shared" si="14"/>
        <v>285.12</v>
      </c>
      <c r="Q78" s="63" t="s">
        <v>1</v>
      </c>
      <c r="R78" s="63">
        <v>8</v>
      </c>
      <c r="S78" s="56">
        <f t="shared" si="15"/>
        <v>570.24</v>
      </c>
      <c r="T78" s="63" t="s">
        <v>1</v>
      </c>
      <c r="U78" s="56">
        <f t="shared" si="16"/>
        <v>2.5760000000000001</v>
      </c>
      <c r="Z78" s="2" t="str">
        <f t="array" ref="Z78">IFERROR(INDEX(Table14[DESIGNATION ARTICLE],SMALL(IF(ISNUMBER(SEARCH(CALCULATEUR!$D$5,Table14[DESIGNATION ARTICLE])),ROW(Table14[DESIGNATION ARTICLE])-4),ROWS($1:74))),"")</f>
        <v/>
      </c>
    </row>
    <row r="79" spans="1:26" ht="14.45" customHeight="1" x14ac:dyDescent="0.25">
      <c r="A79" s="183"/>
      <c r="B79" s="5" t="s">
        <v>107</v>
      </c>
      <c r="C79" s="24" t="s">
        <v>12</v>
      </c>
      <c r="D79" s="12" t="s">
        <v>12</v>
      </c>
      <c r="E79" s="206">
        <v>62</v>
      </c>
      <c r="F79" s="207">
        <v>2.7</v>
      </c>
      <c r="G79" s="207">
        <v>1.2</v>
      </c>
      <c r="H79" s="63">
        <v>16</v>
      </c>
      <c r="I79" s="65">
        <f t="shared" si="13"/>
        <v>51.84</v>
      </c>
      <c r="J79" s="63" t="s">
        <v>1</v>
      </c>
      <c r="K79" s="81">
        <v>1</v>
      </c>
      <c r="L79" s="55">
        <f t="shared" si="12"/>
        <v>16</v>
      </c>
      <c r="M79" s="65">
        <f t="shared" si="17"/>
        <v>51.84</v>
      </c>
      <c r="N79" s="63" t="s">
        <v>1</v>
      </c>
      <c r="O79" s="63">
        <v>4</v>
      </c>
      <c r="P79" s="56">
        <f t="shared" si="14"/>
        <v>207.36</v>
      </c>
      <c r="Q79" s="63" t="s">
        <v>1</v>
      </c>
      <c r="R79" s="63">
        <v>8</v>
      </c>
      <c r="S79" s="56">
        <f t="shared" si="15"/>
        <v>414.72</v>
      </c>
      <c r="T79" s="63" t="s">
        <v>1</v>
      </c>
      <c r="U79" s="56">
        <f t="shared" si="16"/>
        <v>2.6</v>
      </c>
      <c r="Z79" s="2" t="str">
        <f t="array" ref="Z79">IFERROR(INDEX(Table14[DESIGNATION ARTICLE],SMALL(IF(ISNUMBER(SEARCH(CALCULATEUR!$D$5,Table14[DESIGNATION ARTICLE])),ROW(Table14[DESIGNATION ARTICLE])-4),ROWS($1:75))),"")</f>
        <v/>
      </c>
    </row>
    <row r="80" spans="1:26" ht="14.45" customHeight="1" x14ac:dyDescent="0.25">
      <c r="A80" s="183"/>
      <c r="B80" s="5" t="s">
        <v>108</v>
      </c>
      <c r="C80" s="24" t="s">
        <v>12</v>
      </c>
      <c r="D80" s="11" t="s">
        <v>12</v>
      </c>
      <c r="E80" s="208">
        <v>82</v>
      </c>
      <c r="F80" s="209">
        <v>2.7</v>
      </c>
      <c r="G80" s="209">
        <v>1.2</v>
      </c>
      <c r="H80" s="63">
        <v>12</v>
      </c>
      <c r="I80" s="65">
        <f t="shared" si="13"/>
        <v>38.880000000000003</v>
      </c>
      <c r="J80" s="63" t="s">
        <v>1</v>
      </c>
      <c r="K80" s="81">
        <v>1</v>
      </c>
      <c r="L80" s="55">
        <f t="shared" si="12"/>
        <v>12</v>
      </c>
      <c r="M80" s="65">
        <f t="shared" si="17"/>
        <v>38.880000000000003</v>
      </c>
      <c r="N80" s="63" t="s">
        <v>1</v>
      </c>
      <c r="O80" s="63">
        <v>4</v>
      </c>
      <c r="P80" s="56">
        <f t="shared" si="14"/>
        <v>155.52000000000001</v>
      </c>
      <c r="Q80" s="63" t="s">
        <v>1</v>
      </c>
      <c r="R80" s="63">
        <v>8</v>
      </c>
      <c r="S80" s="56">
        <f t="shared" si="15"/>
        <v>311.04000000000002</v>
      </c>
      <c r="T80" s="63" t="s">
        <v>1</v>
      </c>
      <c r="U80" s="56">
        <f t="shared" si="16"/>
        <v>2.4800000000000004</v>
      </c>
      <c r="Z80" s="2" t="str">
        <f t="array" ref="Z80">IFERROR(INDEX(Table14[DESIGNATION ARTICLE],SMALL(IF(ISNUMBER(SEARCH(CALCULATEUR!$D$5,Table14[DESIGNATION ARTICLE])),ROW(Table14[DESIGNATION ARTICLE])-4),ROWS($1:76))),"")</f>
        <v/>
      </c>
    </row>
    <row r="81" spans="1:26" ht="14.45" customHeight="1" x14ac:dyDescent="0.25">
      <c r="A81" s="183"/>
      <c r="B81" s="5" t="s">
        <v>109</v>
      </c>
      <c r="C81" s="24" t="s">
        <v>12</v>
      </c>
      <c r="D81" s="12" t="s">
        <v>12</v>
      </c>
      <c r="E81" s="206">
        <v>103</v>
      </c>
      <c r="F81" s="207">
        <v>2.7</v>
      </c>
      <c r="G81" s="207">
        <v>1.2</v>
      </c>
      <c r="H81" s="63">
        <v>10</v>
      </c>
      <c r="I81" s="65">
        <f t="shared" si="13"/>
        <v>32.400000000000006</v>
      </c>
      <c r="J81" s="63" t="s">
        <v>1</v>
      </c>
      <c r="K81" s="81">
        <v>1</v>
      </c>
      <c r="L81" s="55">
        <f t="shared" si="12"/>
        <v>10</v>
      </c>
      <c r="M81" s="65">
        <f t="shared" si="17"/>
        <v>32.400000000000006</v>
      </c>
      <c r="N81" s="63" t="s">
        <v>1</v>
      </c>
      <c r="O81" s="63">
        <v>4</v>
      </c>
      <c r="P81" s="56">
        <f t="shared" si="14"/>
        <v>129.60000000000002</v>
      </c>
      <c r="Q81" s="63" t="s">
        <v>1</v>
      </c>
      <c r="R81" s="63">
        <v>8</v>
      </c>
      <c r="S81" s="56">
        <f t="shared" si="15"/>
        <v>259.20000000000005</v>
      </c>
      <c r="T81" s="63" t="s">
        <v>1</v>
      </c>
      <c r="U81" s="56">
        <f t="shared" si="16"/>
        <v>2.5200000000000005</v>
      </c>
      <c r="Z81" s="2" t="str">
        <f t="array" ref="Z81">IFERROR(INDEX(Table14[DESIGNATION ARTICLE],SMALL(IF(ISNUMBER(SEARCH(CALCULATEUR!$D$5,Table14[DESIGNATION ARTICLE])),ROW(Table14[DESIGNATION ARTICLE])-4),ROWS($1:77))),"")</f>
        <v/>
      </c>
    </row>
    <row r="82" spans="1:26" ht="14.45" customHeight="1" x14ac:dyDescent="0.25">
      <c r="A82" s="183"/>
      <c r="B82" s="5" t="s">
        <v>110</v>
      </c>
      <c r="C82" s="24" t="s">
        <v>12</v>
      </c>
      <c r="D82" s="11" t="s">
        <v>12</v>
      </c>
      <c r="E82" s="208">
        <v>123</v>
      </c>
      <c r="F82" s="209">
        <v>2.7</v>
      </c>
      <c r="G82" s="209">
        <v>1.2</v>
      </c>
      <c r="H82" s="63">
        <v>9</v>
      </c>
      <c r="I82" s="65">
        <f t="shared" si="13"/>
        <v>29.160000000000004</v>
      </c>
      <c r="J82" s="63" t="s">
        <v>1</v>
      </c>
      <c r="K82" s="81">
        <v>1</v>
      </c>
      <c r="L82" s="55">
        <f t="shared" si="12"/>
        <v>9</v>
      </c>
      <c r="M82" s="65">
        <f t="shared" si="17"/>
        <v>29.160000000000004</v>
      </c>
      <c r="N82" s="63" t="s">
        <v>1</v>
      </c>
      <c r="O82" s="63">
        <v>4</v>
      </c>
      <c r="P82" s="56">
        <f t="shared" si="14"/>
        <v>116.64000000000001</v>
      </c>
      <c r="Q82" s="63" t="s">
        <v>1</v>
      </c>
      <c r="R82" s="63">
        <v>8</v>
      </c>
      <c r="S82" s="56">
        <f t="shared" si="15"/>
        <v>233.28000000000003</v>
      </c>
      <c r="T82" s="63" t="s">
        <v>1</v>
      </c>
      <c r="U82" s="56">
        <f t="shared" si="16"/>
        <v>2.6480000000000006</v>
      </c>
      <c r="Z82" s="2" t="str">
        <f t="array" ref="Z82">IFERROR(INDEX(Table14[DESIGNATION ARTICLE],SMALL(IF(ISNUMBER(SEARCH(CALCULATEUR!$D$5,Table14[DESIGNATION ARTICLE])),ROW(Table14[DESIGNATION ARTICLE])-4),ROWS($1:78))),"")</f>
        <v/>
      </c>
    </row>
    <row r="83" spans="1:26" ht="14.45" customHeight="1" x14ac:dyDescent="0.25">
      <c r="A83" s="183"/>
      <c r="B83" s="138" t="s">
        <v>111</v>
      </c>
      <c r="C83" s="25">
        <v>642140000000005</v>
      </c>
      <c r="D83" s="12" t="s">
        <v>12</v>
      </c>
      <c r="E83" s="206">
        <v>62</v>
      </c>
      <c r="F83" s="207">
        <v>2.6</v>
      </c>
      <c r="G83" s="207">
        <v>1.2</v>
      </c>
      <c r="H83" s="82">
        <v>16</v>
      </c>
      <c r="I83" s="82">
        <f t="shared" si="13"/>
        <v>49.92</v>
      </c>
      <c r="J83" s="82" t="s">
        <v>1</v>
      </c>
      <c r="K83" s="82">
        <v>1</v>
      </c>
      <c r="L83" s="55">
        <f t="shared" si="12"/>
        <v>16</v>
      </c>
      <c r="M83" s="82">
        <f t="shared" si="17"/>
        <v>49.92</v>
      </c>
      <c r="N83" s="82" t="s">
        <v>1</v>
      </c>
      <c r="O83" s="82">
        <v>12</v>
      </c>
      <c r="P83" s="56">
        <f t="shared" si="14"/>
        <v>599.04</v>
      </c>
      <c r="Q83" s="82" t="s">
        <v>1</v>
      </c>
      <c r="R83" s="82">
        <v>20</v>
      </c>
      <c r="S83" s="56">
        <f t="shared" si="15"/>
        <v>998.40000000000009</v>
      </c>
      <c r="T83" s="82" t="s">
        <v>1</v>
      </c>
      <c r="U83" s="56">
        <f t="shared" si="16"/>
        <v>2.6</v>
      </c>
      <c r="Z83" s="2" t="str">
        <f t="array" ref="Z83">IFERROR(INDEX(Table14[DESIGNATION ARTICLE],SMALL(IF(ISNUMBER(SEARCH(CALCULATEUR!$D$5,Table14[DESIGNATION ARTICLE])),ROW(Table14[DESIGNATION ARTICLE])-4),ROWS($1:79))),"")</f>
        <v/>
      </c>
    </row>
    <row r="84" spans="1:26" ht="14.45" customHeight="1" x14ac:dyDescent="0.25">
      <c r="A84" s="183"/>
      <c r="B84" s="138" t="s">
        <v>112</v>
      </c>
      <c r="C84" s="25">
        <v>642140000000004</v>
      </c>
      <c r="D84" s="11" t="s">
        <v>12</v>
      </c>
      <c r="E84" s="208">
        <v>82</v>
      </c>
      <c r="F84" s="209">
        <v>2.6</v>
      </c>
      <c r="G84" s="209">
        <v>1.2</v>
      </c>
      <c r="H84" s="82">
        <v>12</v>
      </c>
      <c r="I84" s="82">
        <f t="shared" si="13"/>
        <v>37.44</v>
      </c>
      <c r="J84" s="82" t="s">
        <v>1</v>
      </c>
      <c r="K84" s="82">
        <v>1</v>
      </c>
      <c r="L84" s="55">
        <f t="shared" si="12"/>
        <v>12</v>
      </c>
      <c r="M84" s="82">
        <f t="shared" si="17"/>
        <v>37.44</v>
      </c>
      <c r="N84" s="82" t="s">
        <v>1</v>
      </c>
      <c r="O84" s="82">
        <v>12</v>
      </c>
      <c r="P84" s="56">
        <f t="shared" si="14"/>
        <v>449.28</v>
      </c>
      <c r="Q84" s="82" t="s">
        <v>1</v>
      </c>
      <c r="R84" s="82">
        <v>20</v>
      </c>
      <c r="S84" s="56">
        <f t="shared" si="15"/>
        <v>748.8</v>
      </c>
      <c r="T84" s="82" t="s">
        <v>1</v>
      </c>
      <c r="U84" s="56">
        <f t="shared" si="16"/>
        <v>2.4800000000000004</v>
      </c>
      <c r="Z84" s="2" t="str">
        <f t="array" ref="Z84">IFERROR(INDEX(Table14[DESIGNATION ARTICLE],SMALL(IF(ISNUMBER(SEARCH(CALCULATEUR!$D$5,Table14[DESIGNATION ARTICLE])),ROW(Table14[DESIGNATION ARTICLE])-4),ROWS($1:80))),"")</f>
        <v/>
      </c>
    </row>
    <row r="85" spans="1:26" ht="14.45" customHeight="1" x14ac:dyDescent="0.25">
      <c r="A85" s="183"/>
      <c r="B85" s="138" t="s">
        <v>113</v>
      </c>
      <c r="C85" s="24" t="s">
        <v>12</v>
      </c>
      <c r="D85" s="11" t="s">
        <v>12</v>
      </c>
      <c r="E85" s="208">
        <v>103</v>
      </c>
      <c r="F85" s="209">
        <v>2.6</v>
      </c>
      <c r="G85" s="209">
        <v>1.2</v>
      </c>
      <c r="H85" s="55">
        <v>10</v>
      </c>
      <c r="I85" s="56">
        <f t="shared" si="13"/>
        <v>31.200000000000003</v>
      </c>
      <c r="J85" s="55" t="s">
        <v>1</v>
      </c>
      <c r="K85" s="55">
        <v>1</v>
      </c>
      <c r="L85" s="55">
        <f t="shared" si="12"/>
        <v>10</v>
      </c>
      <c r="M85" s="56">
        <f t="shared" si="17"/>
        <v>31.200000000000003</v>
      </c>
      <c r="N85" s="55" t="s">
        <v>1</v>
      </c>
      <c r="O85" s="55">
        <v>12</v>
      </c>
      <c r="P85" s="56">
        <f t="shared" si="14"/>
        <v>374.40000000000003</v>
      </c>
      <c r="Q85" s="55" t="s">
        <v>1</v>
      </c>
      <c r="R85" s="55">
        <v>20</v>
      </c>
      <c r="S85" s="56">
        <f t="shared" si="15"/>
        <v>624</v>
      </c>
      <c r="T85" s="55" t="s">
        <v>1</v>
      </c>
      <c r="U85" s="56">
        <f t="shared" si="16"/>
        <v>2.5200000000000005</v>
      </c>
      <c r="Z85" s="2" t="str">
        <f t="array" ref="Z85">IFERROR(INDEX(Table14[DESIGNATION ARTICLE],SMALL(IF(ISNUMBER(SEARCH(CALCULATEUR!$D$5,Table14[DESIGNATION ARTICLE])),ROW(Table14[DESIGNATION ARTICLE])-4),ROWS($1:81))),"")</f>
        <v/>
      </c>
    </row>
    <row r="86" spans="1:26" ht="14.45" customHeight="1" thickBot="1" x14ac:dyDescent="0.3">
      <c r="A86" s="183"/>
      <c r="B86" s="139" t="s">
        <v>114</v>
      </c>
      <c r="C86" s="26">
        <v>642140000000003</v>
      </c>
      <c r="D86" s="12" t="s">
        <v>12</v>
      </c>
      <c r="E86" s="212">
        <v>123</v>
      </c>
      <c r="F86" s="213">
        <v>2.6</v>
      </c>
      <c r="G86" s="213">
        <v>1.2</v>
      </c>
      <c r="H86" s="83">
        <v>9</v>
      </c>
      <c r="I86" s="83">
        <f t="shared" si="13"/>
        <v>28.080000000000002</v>
      </c>
      <c r="J86" s="83" t="s">
        <v>1</v>
      </c>
      <c r="K86" s="83">
        <v>1</v>
      </c>
      <c r="L86" s="57">
        <f t="shared" si="12"/>
        <v>9</v>
      </c>
      <c r="M86" s="83">
        <f t="shared" si="17"/>
        <v>28.080000000000002</v>
      </c>
      <c r="N86" s="83" t="s">
        <v>1</v>
      </c>
      <c r="O86" s="83">
        <v>12</v>
      </c>
      <c r="P86" s="56">
        <f t="shared" si="14"/>
        <v>336.96000000000004</v>
      </c>
      <c r="Q86" s="83" t="s">
        <v>1</v>
      </c>
      <c r="R86" s="83">
        <v>20</v>
      </c>
      <c r="S86" s="58">
        <f t="shared" si="15"/>
        <v>561.6</v>
      </c>
      <c r="T86" s="83" t="s">
        <v>1</v>
      </c>
      <c r="U86" s="58">
        <f t="shared" si="16"/>
        <v>2.6480000000000006</v>
      </c>
      <c r="Z86" s="2" t="str">
        <f t="array" ref="Z86">IFERROR(INDEX(Table14[DESIGNATION ARTICLE],SMALL(IF(ISNUMBER(SEARCH(CALCULATEUR!$D$5,Table14[DESIGNATION ARTICLE])),ROW(Table14[DESIGNATION ARTICLE])-4),ROWS($1:82))),"")</f>
        <v/>
      </c>
    </row>
    <row r="87" spans="1:26" ht="14.45" customHeight="1" x14ac:dyDescent="0.25">
      <c r="A87" s="183"/>
      <c r="B87" s="137" t="s">
        <v>115</v>
      </c>
      <c r="C87" s="27">
        <v>646410000000017</v>
      </c>
      <c r="D87" s="9">
        <v>5411545022115</v>
      </c>
      <c r="E87" s="214">
        <v>62</v>
      </c>
      <c r="F87" s="215">
        <v>2.6</v>
      </c>
      <c r="G87" s="215">
        <v>1.2</v>
      </c>
      <c r="H87" s="84">
        <v>5</v>
      </c>
      <c r="I87" s="60">
        <f t="shared" si="13"/>
        <v>15.600000000000001</v>
      </c>
      <c r="J87" s="69" t="s">
        <v>1</v>
      </c>
      <c r="K87" s="84">
        <v>8</v>
      </c>
      <c r="L87" s="55">
        <f t="shared" si="12"/>
        <v>40</v>
      </c>
      <c r="M87" s="60">
        <f t="shared" si="17"/>
        <v>124.80000000000001</v>
      </c>
      <c r="N87" s="69" t="s">
        <v>1</v>
      </c>
      <c r="O87" s="69">
        <v>6</v>
      </c>
      <c r="P87" s="60">
        <f t="shared" si="14"/>
        <v>748.80000000000007</v>
      </c>
      <c r="Q87" s="69" t="s">
        <v>1</v>
      </c>
      <c r="R87" s="69">
        <v>10</v>
      </c>
      <c r="S87" s="56">
        <f t="shared" si="15"/>
        <v>1248</v>
      </c>
      <c r="T87" s="69" t="s">
        <v>1</v>
      </c>
      <c r="U87" s="56">
        <f t="shared" ref="U87:U96" si="18">0.1+(L87*(E87/1000))</f>
        <v>2.58</v>
      </c>
      <c r="Z87" s="2" t="str">
        <f t="array" ref="Z87">IFERROR(INDEX(Table14[DESIGNATION ARTICLE],SMALL(IF(ISNUMBER(SEARCH(CALCULATEUR!$D$5,Table14[DESIGNATION ARTICLE])),ROW(Table14[DESIGNATION ARTICLE])-4),ROWS($1:83))),"")</f>
        <v/>
      </c>
    </row>
    <row r="88" spans="1:26" ht="14.45" customHeight="1" x14ac:dyDescent="0.25">
      <c r="A88" s="183"/>
      <c r="B88" s="5" t="s">
        <v>116</v>
      </c>
      <c r="C88" s="28">
        <v>646410000000015</v>
      </c>
      <c r="D88" s="12">
        <v>5411545022122</v>
      </c>
      <c r="E88" s="206">
        <v>82</v>
      </c>
      <c r="F88" s="207">
        <v>2.6</v>
      </c>
      <c r="G88" s="207">
        <v>1.2</v>
      </c>
      <c r="H88" s="85">
        <v>5</v>
      </c>
      <c r="I88" s="56">
        <f t="shared" si="13"/>
        <v>15.600000000000001</v>
      </c>
      <c r="J88" s="63" t="s">
        <v>1</v>
      </c>
      <c r="K88" s="85">
        <v>6</v>
      </c>
      <c r="L88" s="55">
        <f t="shared" si="12"/>
        <v>30</v>
      </c>
      <c r="M88" s="56">
        <f t="shared" si="17"/>
        <v>93.600000000000009</v>
      </c>
      <c r="N88" s="63" t="s">
        <v>1</v>
      </c>
      <c r="O88" s="63">
        <v>6</v>
      </c>
      <c r="P88" s="56">
        <f t="shared" si="14"/>
        <v>561.6</v>
      </c>
      <c r="Q88" s="63" t="s">
        <v>1</v>
      </c>
      <c r="R88" s="63">
        <v>10</v>
      </c>
      <c r="S88" s="56">
        <f t="shared" si="15"/>
        <v>936.00000000000011</v>
      </c>
      <c r="T88" s="63" t="s">
        <v>1</v>
      </c>
      <c r="U88" s="56">
        <f t="shared" si="18"/>
        <v>2.56</v>
      </c>
      <c r="Z88" s="2" t="str">
        <f t="array" ref="Z88">IFERROR(INDEX(Table14[DESIGNATION ARTICLE],SMALL(IF(ISNUMBER(SEARCH(CALCULATEUR!$D$5,Table14[DESIGNATION ARTICLE])),ROW(Table14[DESIGNATION ARTICLE])-4),ROWS($1:84))),"")</f>
        <v/>
      </c>
    </row>
    <row r="89" spans="1:26" ht="14.45" customHeight="1" x14ac:dyDescent="0.25">
      <c r="A89" s="183"/>
      <c r="B89" s="5" t="s">
        <v>117</v>
      </c>
      <c r="C89" s="28">
        <v>646410000000021</v>
      </c>
      <c r="D89" s="11">
        <v>5411545022139</v>
      </c>
      <c r="E89" s="208">
        <v>103</v>
      </c>
      <c r="F89" s="209">
        <v>2.6</v>
      </c>
      <c r="G89" s="209">
        <v>1.2</v>
      </c>
      <c r="H89" s="85">
        <v>4</v>
      </c>
      <c r="I89" s="56">
        <f t="shared" si="13"/>
        <v>12.48</v>
      </c>
      <c r="J89" s="63" t="s">
        <v>1</v>
      </c>
      <c r="K89" s="85">
        <v>6</v>
      </c>
      <c r="L89" s="55">
        <f t="shared" si="12"/>
        <v>24</v>
      </c>
      <c r="M89" s="56">
        <f t="shared" si="17"/>
        <v>74.88</v>
      </c>
      <c r="N89" s="63" t="s">
        <v>1</v>
      </c>
      <c r="O89" s="63">
        <v>6</v>
      </c>
      <c r="P89" s="56">
        <f t="shared" si="14"/>
        <v>449.28</v>
      </c>
      <c r="Q89" s="63" t="s">
        <v>1</v>
      </c>
      <c r="R89" s="63">
        <v>10</v>
      </c>
      <c r="S89" s="56">
        <f t="shared" si="15"/>
        <v>748.8</v>
      </c>
      <c r="T89" s="63" t="s">
        <v>1</v>
      </c>
      <c r="U89" s="56">
        <f t="shared" si="18"/>
        <v>2.5720000000000001</v>
      </c>
      <c r="Z89" s="2" t="str">
        <f t="array" ref="Z89">IFERROR(INDEX(Table14[DESIGNATION ARTICLE],SMALL(IF(ISNUMBER(SEARCH(CALCULATEUR!$D$5,Table14[DESIGNATION ARTICLE])),ROW(Table14[DESIGNATION ARTICLE])-4),ROWS($1:85))),"")</f>
        <v/>
      </c>
    </row>
    <row r="90" spans="1:26" ht="14.45" customHeight="1" x14ac:dyDescent="0.25">
      <c r="A90" s="183"/>
      <c r="B90" s="5" t="s">
        <v>118</v>
      </c>
      <c r="C90" s="28">
        <v>646410000000025</v>
      </c>
      <c r="D90" s="12">
        <v>5411545022146</v>
      </c>
      <c r="E90" s="206">
        <v>110</v>
      </c>
      <c r="F90" s="207">
        <v>2.6</v>
      </c>
      <c r="G90" s="207">
        <v>1.2</v>
      </c>
      <c r="H90" s="85">
        <v>3</v>
      </c>
      <c r="I90" s="56">
        <f t="shared" si="13"/>
        <v>9.36</v>
      </c>
      <c r="J90" s="63" t="s">
        <v>1</v>
      </c>
      <c r="K90" s="85">
        <v>7</v>
      </c>
      <c r="L90" s="55">
        <f t="shared" si="12"/>
        <v>21</v>
      </c>
      <c r="M90" s="56">
        <f t="shared" si="17"/>
        <v>65.52</v>
      </c>
      <c r="N90" s="63" t="s">
        <v>1</v>
      </c>
      <c r="O90" s="63">
        <v>6</v>
      </c>
      <c r="P90" s="56">
        <f t="shared" si="14"/>
        <v>393.12</v>
      </c>
      <c r="Q90" s="63" t="s">
        <v>1</v>
      </c>
      <c r="R90" s="63">
        <v>10</v>
      </c>
      <c r="S90" s="56">
        <f t="shared" si="15"/>
        <v>655.19999999999993</v>
      </c>
      <c r="T90" s="63" t="s">
        <v>1</v>
      </c>
      <c r="U90" s="56">
        <f t="shared" si="18"/>
        <v>2.41</v>
      </c>
      <c r="Z90" s="2" t="str">
        <f t="array" ref="Z90">IFERROR(INDEX(Table14[DESIGNATION ARTICLE],SMALL(IF(ISNUMBER(SEARCH(CALCULATEUR!$D$5,Table14[DESIGNATION ARTICLE])),ROW(Table14[DESIGNATION ARTICLE])-4),ROWS($1:86))),"")</f>
        <v/>
      </c>
    </row>
    <row r="91" spans="1:26" ht="14.45" customHeight="1" x14ac:dyDescent="0.25">
      <c r="A91" s="183"/>
      <c r="B91" s="5" t="s">
        <v>119</v>
      </c>
      <c r="C91" s="28">
        <v>646410000000027</v>
      </c>
      <c r="D91" s="11">
        <v>5411545022153</v>
      </c>
      <c r="E91" s="208">
        <v>123</v>
      </c>
      <c r="F91" s="209">
        <v>2.6</v>
      </c>
      <c r="G91" s="209">
        <v>1.2</v>
      </c>
      <c r="H91" s="85">
        <v>3</v>
      </c>
      <c r="I91" s="56">
        <f t="shared" si="13"/>
        <v>9.36</v>
      </c>
      <c r="J91" s="63" t="s">
        <v>1</v>
      </c>
      <c r="K91" s="85">
        <v>6</v>
      </c>
      <c r="L91" s="55">
        <f t="shared" si="12"/>
        <v>18</v>
      </c>
      <c r="M91" s="56">
        <f t="shared" si="17"/>
        <v>56.16</v>
      </c>
      <c r="N91" s="63" t="s">
        <v>1</v>
      </c>
      <c r="O91" s="63">
        <v>6</v>
      </c>
      <c r="P91" s="56">
        <f t="shared" si="14"/>
        <v>336.96</v>
      </c>
      <c r="Q91" s="63" t="s">
        <v>1</v>
      </c>
      <c r="R91" s="63">
        <v>10</v>
      </c>
      <c r="S91" s="56">
        <f t="shared" si="15"/>
        <v>561.59999999999991</v>
      </c>
      <c r="T91" s="63" t="s">
        <v>1</v>
      </c>
      <c r="U91" s="56">
        <f t="shared" si="18"/>
        <v>2.3140000000000001</v>
      </c>
      <c r="Z91" s="2" t="str">
        <f t="array" ref="Z91">IFERROR(INDEX(Table14[DESIGNATION ARTICLE],SMALL(IF(ISNUMBER(SEARCH(CALCULATEUR!$D$5,Table14[DESIGNATION ARTICLE])),ROW(Table14[DESIGNATION ARTICLE])-4),ROWS($1:87))),"")</f>
        <v/>
      </c>
    </row>
    <row r="92" spans="1:26" ht="14.45" customHeight="1" x14ac:dyDescent="0.25">
      <c r="A92" s="183"/>
      <c r="B92" s="5" t="s">
        <v>120</v>
      </c>
      <c r="C92" s="40" t="s">
        <v>12</v>
      </c>
      <c r="D92" s="12" t="s">
        <v>12</v>
      </c>
      <c r="E92" s="206">
        <v>62</v>
      </c>
      <c r="F92" s="207">
        <v>2.7</v>
      </c>
      <c r="G92" s="207">
        <v>1.2</v>
      </c>
      <c r="H92" s="86">
        <v>5</v>
      </c>
      <c r="I92" s="65">
        <f t="shared" si="13"/>
        <v>16.200000000000003</v>
      </c>
      <c r="J92" s="63" t="s">
        <v>1</v>
      </c>
      <c r="K92" s="86">
        <v>8</v>
      </c>
      <c r="L92" s="55">
        <f t="shared" si="12"/>
        <v>40</v>
      </c>
      <c r="M92" s="65">
        <f t="shared" si="17"/>
        <v>129.60000000000002</v>
      </c>
      <c r="N92" s="63" t="s">
        <v>1</v>
      </c>
      <c r="O92" s="63">
        <v>4</v>
      </c>
      <c r="P92" s="56">
        <f t="shared" si="14"/>
        <v>518.40000000000009</v>
      </c>
      <c r="Q92" s="63" t="s">
        <v>1</v>
      </c>
      <c r="R92" s="63">
        <v>8</v>
      </c>
      <c r="S92" s="56">
        <f t="shared" si="15"/>
        <v>1036.8000000000002</v>
      </c>
      <c r="T92" s="63" t="s">
        <v>1</v>
      </c>
      <c r="U92" s="56">
        <f t="shared" si="18"/>
        <v>2.58</v>
      </c>
      <c r="Z92" s="2" t="str">
        <f t="array" ref="Z92">IFERROR(INDEX(Table14[DESIGNATION ARTICLE],SMALL(IF(ISNUMBER(SEARCH(CALCULATEUR!$D$5,Table14[DESIGNATION ARTICLE])),ROW(Table14[DESIGNATION ARTICLE])-4),ROWS($1:88))),"")</f>
        <v/>
      </c>
    </row>
    <row r="93" spans="1:26" ht="14.45" customHeight="1" x14ac:dyDescent="0.25">
      <c r="A93" s="183"/>
      <c r="B93" s="5" t="s">
        <v>121</v>
      </c>
      <c r="C93" s="40" t="s">
        <v>12</v>
      </c>
      <c r="D93" s="12" t="s">
        <v>12</v>
      </c>
      <c r="E93" s="208">
        <v>82</v>
      </c>
      <c r="F93" s="209">
        <v>2.7</v>
      </c>
      <c r="G93" s="209">
        <v>1.2</v>
      </c>
      <c r="H93" s="86">
        <v>5</v>
      </c>
      <c r="I93" s="65">
        <f t="shared" si="13"/>
        <v>16.200000000000003</v>
      </c>
      <c r="J93" s="63" t="s">
        <v>1</v>
      </c>
      <c r="K93" s="86">
        <v>6</v>
      </c>
      <c r="L93" s="55">
        <f t="shared" si="12"/>
        <v>30</v>
      </c>
      <c r="M93" s="65">
        <f t="shared" si="17"/>
        <v>97.200000000000017</v>
      </c>
      <c r="N93" s="63" t="s">
        <v>1</v>
      </c>
      <c r="O93" s="63">
        <v>4</v>
      </c>
      <c r="P93" s="56">
        <f t="shared" si="14"/>
        <v>388.80000000000007</v>
      </c>
      <c r="Q93" s="63" t="s">
        <v>1</v>
      </c>
      <c r="R93" s="63">
        <v>8</v>
      </c>
      <c r="S93" s="56">
        <f t="shared" si="15"/>
        <v>777.60000000000014</v>
      </c>
      <c r="T93" s="63" t="s">
        <v>1</v>
      </c>
      <c r="U93" s="56">
        <f t="shared" si="18"/>
        <v>2.56</v>
      </c>
      <c r="Z93" s="2" t="str">
        <f t="array" ref="Z93">IFERROR(INDEX(Table14[DESIGNATION ARTICLE],SMALL(IF(ISNUMBER(SEARCH(CALCULATEUR!$D$5,Table14[DESIGNATION ARTICLE])),ROW(Table14[DESIGNATION ARTICLE])-4),ROWS($1:89))),"")</f>
        <v/>
      </c>
    </row>
    <row r="94" spans="1:26" ht="14.45" customHeight="1" x14ac:dyDescent="0.25">
      <c r="A94" s="183"/>
      <c r="B94" s="5" t="s">
        <v>122</v>
      </c>
      <c r="C94" s="40" t="s">
        <v>12</v>
      </c>
      <c r="D94" s="12" t="s">
        <v>12</v>
      </c>
      <c r="E94" s="206">
        <v>103</v>
      </c>
      <c r="F94" s="207">
        <v>2.7</v>
      </c>
      <c r="G94" s="207">
        <v>1.2</v>
      </c>
      <c r="H94" s="86">
        <v>4</v>
      </c>
      <c r="I94" s="65">
        <f t="shared" si="13"/>
        <v>12.96</v>
      </c>
      <c r="J94" s="63" t="s">
        <v>1</v>
      </c>
      <c r="K94" s="86">
        <v>6</v>
      </c>
      <c r="L94" s="55">
        <f t="shared" si="12"/>
        <v>24</v>
      </c>
      <c r="M94" s="65">
        <f t="shared" si="17"/>
        <v>77.760000000000005</v>
      </c>
      <c r="N94" s="63" t="s">
        <v>1</v>
      </c>
      <c r="O94" s="63">
        <v>4</v>
      </c>
      <c r="P94" s="56">
        <f t="shared" si="14"/>
        <v>311.04000000000002</v>
      </c>
      <c r="Q94" s="63" t="s">
        <v>1</v>
      </c>
      <c r="R94" s="63">
        <v>8</v>
      </c>
      <c r="S94" s="56">
        <f t="shared" si="15"/>
        <v>622.08000000000004</v>
      </c>
      <c r="T94" s="63" t="s">
        <v>1</v>
      </c>
      <c r="U94" s="56">
        <f t="shared" si="18"/>
        <v>2.5720000000000001</v>
      </c>
      <c r="Z94" s="2" t="str">
        <f t="array" ref="Z94">IFERROR(INDEX(Table14[DESIGNATION ARTICLE],SMALL(IF(ISNUMBER(SEARCH(CALCULATEUR!$D$5,Table14[DESIGNATION ARTICLE])),ROW(Table14[DESIGNATION ARTICLE])-4),ROWS($1:90))),"")</f>
        <v/>
      </c>
    </row>
    <row r="95" spans="1:26" ht="14.45" customHeight="1" x14ac:dyDescent="0.25">
      <c r="A95" s="183"/>
      <c r="B95" s="5" t="s">
        <v>123</v>
      </c>
      <c r="C95" s="40" t="s">
        <v>12</v>
      </c>
      <c r="D95" s="12" t="s">
        <v>12</v>
      </c>
      <c r="E95" s="208">
        <v>110</v>
      </c>
      <c r="F95" s="209">
        <v>2.7</v>
      </c>
      <c r="G95" s="209">
        <v>1.2</v>
      </c>
      <c r="H95" s="86">
        <v>3</v>
      </c>
      <c r="I95" s="65">
        <f t="shared" si="13"/>
        <v>9.7200000000000006</v>
      </c>
      <c r="J95" s="63" t="s">
        <v>1</v>
      </c>
      <c r="K95" s="86">
        <v>7</v>
      </c>
      <c r="L95" s="55">
        <f t="shared" si="12"/>
        <v>21</v>
      </c>
      <c r="M95" s="65">
        <f t="shared" si="17"/>
        <v>68.040000000000006</v>
      </c>
      <c r="N95" s="63" t="s">
        <v>1</v>
      </c>
      <c r="O95" s="63">
        <v>4</v>
      </c>
      <c r="P95" s="56">
        <f t="shared" si="14"/>
        <v>272.16000000000003</v>
      </c>
      <c r="Q95" s="63" t="s">
        <v>1</v>
      </c>
      <c r="R95" s="63">
        <v>8</v>
      </c>
      <c r="S95" s="56">
        <f t="shared" si="15"/>
        <v>544.32000000000005</v>
      </c>
      <c r="T95" s="63" t="s">
        <v>1</v>
      </c>
      <c r="U95" s="56">
        <f t="shared" si="18"/>
        <v>2.41</v>
      </c>
      <c r="Z95" s="2" t="str">
        <f t="array" ref="Z95">IFERROR(INDEX(Table14[DESIGNATION ARTICLE],SMALL(IF(ISNUMBER(SEARCH(CALCULATEUR!$D$5,Table14[DESIGNATION ARTICLE])),ROW(Table14[DESIGNATION ARTICLE])-4),ROWS($1:91))),"")</f>
        <v/>
      </c>
    </row>
    <row r="96" spans="1:26" ht="14.45" customHeight="1" thickBot="1" x14ac:dyDescent="0.3">
      <c r="A96" s="183"/>
      <c r="B96" s="5" t="s">
        <v>124</v>
      </c>
      <c r="C96" s="40" t="s">
        <v>12</v>
      </c>
      <c r="D96" s="12" t="s">
        <v>12</v>
      </c>
      <c r="E96" s="212">
        <v>123</v>
      </c>
      <c r="F96" s="213">
        <v>2.7</v>
      </c>
      <c r="G96" s="213">
        <v>1.2</v>
      </c>
      <c r="H96" s="87">
        <v>3</v>
      </c>
      <c r="I96" s="79">
        <f t="shared" si="13"/>
        <v>9.7200000000000006</v>
      </c>
      <c r="J96" s="76" t="s">
        <v>1</v>
      </c>
      <c r="K96" s="87">
        <v>6</v>
      </c>
      <c r="L96" s="57">
        <f t="shared" si="12"/>
        <v>18</v>
      </c>
      <c r="M96" s="79">
        <f t="shared" si="17"/>
        <v>58.320000000000007</v>
      </c>
      <c r="N96" s="76" t="s">
        <v>1</v>
      </c>
      <c r="O96" s="76">
        <v>4</v>
      </c>
      <c r="P96" s="56">
        <f t="shared" si="14"/>
        <v>233.28000000000003</v>
      </c>
      <c r="Q96" s="76" t="s">
        <v>1</v>
      </c>
      <c r="R96" s="76">
        <v>8</v>
      </c>
      <c r="S96" s="58">
        <f t="shared" si="15"/>
        <v>466.56000000000006</v>
      </c>
      <c r="T96" s="76" t="s">
        <v>1</v>
      </c>
      <c r="U96" s="58">
        <f t="shared" si="18"/>
        <v>2.3140000000000001</v>
      </c>
      <c r="Z96" s="2" t="str">
        <f t="array" ref="Z96">IFERROR(INDEX(Table14[DESIGNATION ARTICLE],SMALL(IF(ISNUMBER(SEARCH(CALCULATEUR!$D$5,Table14[DESIGNATION ARTICLE])),ROW(Table14[DESIGNATION ARTICLE])-4),ROWS($1:92))),"")</f>
        <v/>
      </c>
    </row>
    <row r="97" spans="1:26" ht="14.45" customHeight="1" x14ac:dyDescent="0.25">
      <c r="A97" s="183"/>
      <c r="B97" s="137" t="s">
        <v>125</v>
      </c>
      <c r="C97" s="29">
        <v>640210000000006</v>
      </c>
      <c r="D97" s="11">
        <v>5411545019160</v>
      </c>
      <c r="E97" s="214">
        <v>40</v>
      </c>
      <c r="F97" s="215">
        <v>1.2</v>
      </c>
      <c r="G97" s="215">
        <v>0.6</v>
      </c>
      <c r="H97" s="88">
        <v>12</v>
      </c>
      <c r="I97" s="89">
        <v>8.64</v>
      </c>
      <c r="J97" s="88" t="s">
        <v>1</v>
      </c>
      <c r="K97" s="88">
        <v>10</v>
      </c>
      <c r="L97" s="55">
        <f t="shared" si="12"/>
        <v>120</v>
      </c>
      <c r="M97" s="89">
        <f t="shared" si="17"/>
        <v>86.4</v>
      </c>
      <c r="N97" s="88" t="s">
        <v>1</v>
      </c>
      <c r="O97" s="88">
        <v>12</v>
      </c>
      <c r="P97" s="60">
        <f t="shared" si="14"/>
        <v>1036.8000000000002</v>
      </c>
      <c r="Q97" s="88" t="s">
        <v>1</v>
      </c>
      <c r="R97" s="88">
        <v>22</v>
      </c>
      <c r="S97" s="56">
        <f t="shared" si="15"/>
        <v>1900.8000000000002</v>
      </c>
      <c r="T97" s="88" t="s">
        <v>1</v>
      </c>
      <c r="U97" s="56">
        <f t="shared" ref="U97:U108" si="19">0.1+(L97*(E97/1000))/2</f>
        <v>2.5</v>
      </c>
      <c r="Z97" s="2" t="str">
        <f t="array" ref="Z97">IFERROR(INDEX(Table14[DESIGNATION ARTICLE],SMALL(IF(ISNUMBER(SEARCH(CALCULATEUR!$D$5,Table14[DESIGNATION ARTICLE])),ROW(Table14[DESIGNATION ARTICLE])-4),ROWS($1:93))),"")</f>
        <v/>
      </c>
    </row>
    <row r="98" spans="1:26" ht="14.45" customHeight="1" x14ac:dyDescent="0.25">
      <c r="A98" s="183"/>
      <c r="B98" s="5" t="s">
        <v>126</v>
      </c>
      <c r="C98" s="15">
        <v>640360000000004</v>
      </c>
      <c r="D98" s="12">
        <v>5411545033685</v>
      </c>
      <c r="E98" s="206">
        <v>60</v>
      </c>
      <c r="F98" s="207">
        <v>1.2</v>
      </c>
      <c r="G98" s="207">
        <v>0.6</v>
      </c>
      <c r="H98" s="55">
        <v>8</v>
      </c>
      <c r="I98" s="65">
        <v>5.76</v>
      </c>
      <c r="J98" s="55" t="s">
        <v>1</v>
      </c>
      <c r="K98" s="55">
        <v>10</v>
      </c>
      <c r="L98" s="55">
        <f t="shared" si="12"/>
        <v>80</v>
      </c>
      <c r="M98" s="65">
        <f t="shared" si="17"/>
        <v>57.599999999999994</v>
      </c>
      <c r="N98" s="55" t="s">
        <v>1</v>
      </c>
      <c r="O98" s="55">
        <v>12</v>
      </c>
      <c r="P98" s="56">
        <f t="shared" si="14"/>
        <v>691.19999999999993</v>
      </c>
      <c r="Q98" s="55" t="s">
        <v>1</v>
      </c>
      <c r="R98" s="55">
        <v>22</v>
      </c>
      <c r="S98" s="56">
        <f t="shared" si="15"/>
        <v>1267.1999999999998</v>
      </c>
      <c r="T98" s="55" t="s">
        <v>1</v>
      </c>
      <c r="U98" s="56">
        <f t="shared" si="19"/>
        <v>2.5</v>
      </c>
      <c r="Z98" s="2" t="str">
        <f t="array" ref="Z98">IFERROR(INDEX(Table14[DESIGNATION ARTICLE],SMALL(IF(ISNUMBER(SEARCH(CALCULATEUR!$D$5,Table14[DESIGNATION ARTICLE])),ROW(Table14[DESIGNATION ARTICLE])-4),ROWS($1:94))),"")</f>
        <v/>
      </c>
    </row>
    <row r="99" spans="1:26" ht="14.45" customHeight="1" x14ac:dyDescent="0.25">
      <c r="A99" s="183"/>
      <c r="B99" s="5" t="s">
        <v>127</v>
      </c>
      <c r="C99" s="15">
        <v>640360000000012</v>
      </c>
      <c r="D99" s="11">
        <v>5411545029428</v>
      </c>
      <c r="E99" s="208">
        <v>82</v>
      </c>
      <c r="F99" s="209">
        <v>1.2</v>
      </c>
      <c r="G99" s="209">
        <v>0.6</v>
      </c>
      <c r="H99" s="90">
        <v>6</v>
      </c>
      <c r="I99" s="65">
        <v>4.32</v>
      </c>
      <c r="J99" s="90" t="s">
        <v>1</v>
      </c>
      <c r="K99" s="90">
        <v>10</v>
      </c>
      <c r="L99" s="55">
        <f t="shared" si="12"/>
        <v>60</v>
      </c>
      <c r="M99" s="65">
        <f t="shared" si="17"/>
        <v>43.2</v>
      </c>
      <c r="N99" s="90" t="s">
        <v>1</v>
      </c>
      <c r="O99" s="90">
        <v>12</v>
      </c>
      <c r="P99" s="56">
        <f t="shared" si="14"/>
        <v>518.40000000000009</v>
      </c>
      <c r="Q99" s="90" t="s">
        <v>1</v>
      </c>
      <c r="R99" s="90">
        <v>22</v>
      </c>
      <c r="S99" s="56">
        <f t="shared" si="15"/>
        <v>950.40000000000009</v>
      </c>
      <c r="T99" s="90" t="s">
        <v>1</v>
      </c>
      <c r="U99" s="56">
        <f t="shared" si="19"/>
        <v>2.56</v>
      </c>
      <c r="Z99" s="2" t="str">
        <f t="array" ref="Z99">IFERROR(INDEX(Table14[DESIGNATION ARTICLE],SMALL(IF(ISNUMBER(SEARCH(CALCULATEUR!$D$5,Table14[DESIGNATION ARTICLE])),ROW(Table14[DESIGNATION ARTICLE])-4),ROWS($1:95))),"")</f>
        <v/>
      </c>
    </row>
    <row r="100" spans="1:26" ht="14.45" customHeight="1" x14ac:dyDescent="0.25">
      <c r="A100" s="183"/>
      <c r="B100" s="5" t="s">
        <v>128</v>
      </c>
      <c r="C100" s="15">
        <v>640360000000006</v>
      </c>
      <c r="D100" s="12">
        <v>5411545033715</v>
      </c>
      <c r="E100" s="206">
        <v>90</v>
      </c>
      <c r="F100" s="207">
        <v>1.2</v>
      </c>
      <c r="G100" s="207">
        <v>0.6</v>
      </c>
      <c r="H100" s="55">
        <v>5</v>
      </c>
      <c r="I100" s="65">
        <v>3.6</v>
      </c>
      <c r="J100" s="55" t="s">
        <v>1</v>
      </c>
      <c r="K100" s="55">
        <v>10</v>
      </c>
      <c r="L100" s="55">
        <f t="shared" si="12"/>
        <v>50</v>
      </c>
      <c r="M100" s="65">
        <f t="shared" si="17"/>
        <v>36</v>
      </c>
      <c r="N100" s="55" t="s">
        <v>1</v>
      </c>
      <c r="O100" s="55">
        <v>12</v>
      </c>
      <c r="P100" s="56">
        <f t="shared" si="14"/>
        <v>432</v>
      </c>
      <c r="Q100" s="55" t="s">
        <v>1</v>
      </c>
      <c r="R100" s="55">
        <v>22</v>
      </c>
      <c r="S100" s="56">
        <f t="shared" si="15"/>
        <v>792</v>
      </c>
      <c r="T100" s="55" t="s">
        <v>1</v>
      </c>
      <c r="U100" s="56">
        <f t="shared" si="19"/>
        <v>2.35</v>
      </c>
      <c r="Z100" s="2" t="str">
        <f t="array" ref="Z100">IFERROR(INDEX(Table14[DESIGNATION ARTICLE],SMALL(IF(ISNUMBER(SEARCH(CALCULATEUR!$D$5,Table14[DESIGNATION ARTICLE])),ROW(Table14[DESIGNATION ARTICLE])-4),ROWS($1:96))),"")</f>
        <v/>
      </c>
    </row>
    <row r="101" spans="1:26" s="6" customFormat="1" ht="14.45" customHeight="1" x14ac:dyDescent="0.2">
      <c r="A101" s="183"/>
      <c r="B101" s="5" t="s">
        <v>129</v>
      </c>
      <c r="C101" s="15">
        <v>640360000000008</v>
      </c>
      <c r="D101" s="11">
        <v>5411545033746</v>
      </c>
      <c r="E101" s="208">
        <v>100</v>
      </c>
      <c r="F101" s="209">
        <v>1.2</v>
      </c>
      <c r="G101" s="209">
        <v>0.6</v>
      </c>
      <c r="H101" s="90">
        <v>5</v>
      </c>
      <c r="I101" s="65">
        <v>3.6</v>
      </c>
      <c r="J101" s="90" t="s">
        <v>1</v>
      </c>
      <c r="K101" s="90">
        <v>10</v>
      </c>
      <c r="L101" s="55">
        <f t="shared" si="12"/>
        <v>50</v>
      </c>
      <c r="M101" s="65">
        <f t="shared" si="17"/>
        <v>36</v>
      </c>
      <c r="N101" s="90" t="s">
        <v>1</v>
      </c>
      <c r="O101" s="90">
        <v>12</v>
      </c>
      <c r="P101" s="56">
        <f t="shared" si="14"/>
        <v>432</v>
      </c>
      <c r="Q101" s="90" t="s">
        <v>1</v>
      </c>
      <c r="R101" s="90">
        <v>22</v>
      </c>
      <c r="S101" s="56">
        <f t="shared" si="15"/>
        <v>792</v>
      </c>
      <c r="T101" s="90" t="s">
        <v>1</v>
      </c>
      <c r="U101" s="56">
        <f t="shared" si="19"/>
        <v>2.6</v>
      </c>
      <c r="Z101" s="2" t="str">
        <f t="array" ref="Z101">IFERROR(INDEX(Table14[DESIGNATION ARTICLE],SMALL(IF(ISNUMBER(SEARCH(CALCULATEUR!$D$5,Table14[DESIGNATION ARTICLE])),ROW(Table14[DESIGNATION ARTICLE])-4),ROWS($1:97))),"")</f>
        <v/>
      </c>
    </row>
    <row r="102" spans="1:26" ht="14.45" customHeight="1" thickBot="1" x14ac:dyDescent="0.3">
      <c r="A102" s="183"/>
      <c r="B102" s="136" t="s">
        <v>130</v>
      </c>
      <c r="C102" s="30">
        <v>640360000000010</v>
      </c>
      <c r="D102" s="12">
        <v>5411545033777</v>
      </c>
      <c r="E102" s="212">
        <v>120</v>
      </c>
      <c r="F102" s="213">
        <v>1.2</v>
      </c>
      <c r="G102" s="213">
        <v>0.6</v>
      </c>
      <c r="H102" s="57">
        <v>4</v>
      </c>
      <c r="I102" s="79">
        <v>2.88</v>
      </c>
      <c r="J102" s="57" t="s">
        <v>1</v>
      </c>
      <c r="K102" s="57">
        <v>10</v>
      </c>
      <c r="L102" s="57">
        <f t="shared" si="12"/>
        <v>40</v>
      </c>
      <c r="M102" s="79">
        <f t="shared" si="17"/>
        <v>28.799999999999997</v>
      </c>
      <c r="N102" s="57" t="s">
        <v>1</v>
      </c>
      <c r="O102" s="57">
        <v>12</v>
      </c>
      <c r="P102" s="56">
        <f t="shared" si="14"/>
        <v>345.59999999999997</v>
      </c>
      <c r="Q102" s="57" t="s">
        <v>1</v>
      </c>
      <c r="R102" s="57">
        <v>22</v>
      </c>
      <c r="S102" s="58">
        <f t="shared" si="15"/>
        <v>633.59999999999991</v>
      </c>
      <c r="T102" s="57" t="s">
        <v>1</v>
      </c>
      <c r="U102" s="58">
        <f t="shared" si="19"/>
        <v>2.5</v>
      </c>
      <c r="Z102" s="2" t="str">
        <f t="array" ref="Z102">IFERROR(INDEX(Table14[DESIGNATION ARTICLE],SMALL(IF(ISNUMBER(SEARCH(CALCULATEUR!$D$5,Table14[DESIGNATION ARTICLE])),ROW(Table14[DESIGNATION ARTICLE])-4),ROWS($1:98))),"")</f>
        <v/>
      </c>
    </row>
    <row r="103" spans="1:26" ht="14.45" customHeight="1" x14ac:dyDescent="0.25">
      <c r="A103" s="183"/>
      <c r="B103" s="140" t="s">
        <v>131</v>
      </c>
      <c r="C103" s="52">
        <v>646740000000002</v>
      </c>
      <c r="D103" s="53">
        <v>5411545022160</v>
      </c>
      <c r="E103" s="223">
        <v>30</v>
      </c>
      <c r="F103" s="220">
        <v>1.2</v>
      </c>
      <c r="G103" s="220">
        <v>0.6</v>
      </c>
      <c r="H103" s="91">
        <v>16</v>
      </c>
      <c r="I103" s="91">
        <f t="shared" ref="I103:I134" si="20">H103*(F103*G103)</f>
        <v>11.52</v>
      </c>
      <c r="J103" s="91" t="s">
        <v>1</v>
      </c>
      <c r="K103" s="91">
        <v>10</v>
      </c>
      <c r="L103" s="55">
        <f t="shared" si="12"/>
        <v>160</v>
      </c>
      <c r="M103" s="91">
        <f t="shared" si="17"/>
        <v>115.19999999999999</v>
      </c>
      <c r="N103" s="91" t="s">
        <v>1</v>
      </c>
      <c r="O103" s="91">
        <v>12</v>
      </c>
      <c r="P103" s="60">
        <f t="shared" si="14"/>
        <v>1382.3999999999999</v>
      </c>
      <c r="Q103" s="91" t="s">
        <v>1</v>
      </c>
      <c r="R103" s="91">
        <v>22</v>
      </c>
      <c r="S103" s="56">
        <f t="shared" si="15"/>
        <v>2534.3999999999996</v>
      </c>
      <c r="T103" s="91" t="s">
        <v>1</v>
      </c>
      <c r="U103" s="56">
        <f t="shared" si="19"/>
        <v>2.5</v>
      </c>
      <c r="Z103" s="2" t="str">
        <f t="array" ref="Z103">IFERROR(INDEX(Table14[DESIGNATION ARTICLE],SMALL(IF(ISNUMBER(SEARCH(CALCULATEUR!$D$5,Table14[DESIGNATION ARTICLE])),ROW(Table14[DESIGNATION ARTICLE])-4),ROWS($1:99))),"")</f>
        <v/>
      </c>
    </row>
    <row r="104" spans="1:26" ht="14.45" customHeight="1" x14ac:dyDescent="0.25">
      <c r="A104" s="183"/>
      <c r="B104" s="5" t="s">
        <v>132</v>
      </c>
      <c r="C104" s="31">
        <v>646740000000004</v>
      </c>
      <c r="D104" s="12">
        <v>5411545022177</v>
      </c>
      <c r="E104" s="206">
        <v>60</v>
      </c>
      <c r="F104" s="207">
        <v>1.2</v>
      </c>
      <c r="G104" s="207">
        <v>0.6</v>
      </c>
      <c r="H104" s="55">
        <v>8</v>
      </c>
      <c r="I104" s="56">
        <f t="shared" si="20"/>
        <v>5.76</v>
      </c>
      <c r="J104" s="55" t="s">
        <v>1</v>
      </c>
      <c r="K104" s="55">
        <v>10</v>
      </c>
      <c r="L104" s="55">
        <f t="shared" si="12"/>
        <v>80</v>
      </c>
      <c r="M104" s="56">
        <f t="shared" si="17"/>
        <v>57.599999999999994</v>
      </c>
      <c r="N104" s="55" t="s">
        <v>1</v>
      </c>
      <c r="O104" s="55">
        <v>12</v>
      </c>
      <c r="P104" s="56">
        <f t="shared" si="14"/>
        <v>691.19999999999993</v>
      </c>
      <c r="Q104" s="55" t="s">
        <v>1</v>
      </c>
      <c r="R104" s="55">
        <v>22</v>
      </c>
      <c r="S104" s="56">
        <f t="shared" si="15"/>
        <v>1267.1999999999998</v>
      </c>
      <c r="T104" s="55" t="s">
        <v>1</v>
      </c>
      <c r="U104" s="56">
        <f t="shared" si="19"/>
        <v>2.5</v>
      </c>
      <c r="Z104" s="2" t="str">
        <f t="array" ref="Z104">IFERROR(INDEX(Table14[DESIGNATION ARTICLE],SMALL(IF(ISNUMBER(SEARCH(CALCULATEUR!$D$5,Table14[DESIGNATION ARTICLE])),ROW(Table14[DESIGNATION ARTICLE])-4),ROWS($1:100))),"")</f>
        <v/>
      </c>
    </row>
    <row r="105" spans="1:26" ht="14.45" customHeight="1" x14ac:dyDescent="0.25">
      <c r="A105" s="183"/>
      <c r="B105" s="141" t="s">
        <v>133</v>
      </c>
      <c r="C105" s="54">
        <v>646740000000006</v>
      </c>
      <c r="D105" s="44">
        <v>5411545022184</v>
      </c>
      <c r="E105" s="225">
        <v>70</v>
      </c>
      <c r="F105" s="221">
        <v>1.2</v>
      </c>
      <c r="G105" s="221">
        <v>0.6</v>
      </c>
      <c r="H105" s="92">
        <v>7</v>
      </c>
      <c r="I105" s="92">
        <f t="shared" si="20"/>
        <v>5.04</v>
      </c>
      <c r="J105" s="92" t="s">
        <v>1</v>
      </c>
      <c r="K105" s="92">
        <v>10</v>
      </c>
      <c r="L105" s="55">
        <f t="shared" si="12"/>
        <v>70</v>
      </c>
      <c r="M105" s="92">
        <f t="shared" si="17"/>
        <v>50.4</v>
      </c>
      <c r="N105" s="92" t="s">
        <v>1</v>
      </c>
      <c r="O105" s="92">
        <v>12</v>
      </c>
      <c r="P105" s="56">
        <f t="shared" si="14"/>
        <v>604.79999999999995</v>
      </c>
      <c r="Q105" s="92" t="s">
        <v>1</v>
      </c>
      <c r="R105" s="92">
        <v>22</v>
      </c>
      <c r="S105" s="56">
        <f t="shared" si="15"/>
        <v>1108.8</v>
      </c>
      <c r="T105" s="92" t="s">
        <v>1</v>
      </c>
      <c r="U105" s="56">
        <f t="shared" si="19"/>
        <v>2.5500000000000003</v>
      </c>
      <c r="Z105" s="2" t="str">
        <f t="array" ref="Z105">IFERROR(INDEX(Table14[DESIGNATION ARTICLE],SMALL(IF(ISNUMBER(SEARCH(CALCULATEUR!$D$5,Table14[DESIGNATION ARTICLE])),ROW(Table14[DESIGNATION ARTICLE])-4),ROWS($1:101))),"")</f>
        <v/>
      </c>
    </row>
    <row r="106" spans="1:26" ht="14.45" customHeight="1" x14ac:dyDescent="0.25">
      <c r="A106" s="183"/>
      <c r="B106" s="5" t="s">
        <v>134</v>
      </c>
      <c r="C106" s="31">
        <v>646740000000008</v>
      </c>
      <c r="D106" s="12">
        <v>5411545022191</v>
      </c>
      <c r="E106" s="206">
        <v>82</v>
      </c>
      <c r="F106" s="207">
        <v>1.2</v>
      </c>
      <c r="G106" s="207">
        <v>0.6</v>
      </c>
      <c r="H106" s="55">
        <v>6</v>
      </c>
      <c r="I106" s="56">
        <f t="shared" si="20"/>
        <v>4.32</v>
      </c>
      <c r="J106" s="55" t="s">
        <v>1</v>
      </c>
      <c r="K106" s="55">
        <v>10</v>
      </c>
      <c r="L106" s="55">
        <f t="shared" si="12"/>
        <v>60</v>
      </c>
      <c r="M106" s="56">
        <f t="shared" si="17"/>
        <v>43.2</v>
      </c>
      <c r="N106" s="55" t="s">
        <v>1</v>
      </c>
      <c r="O106" s="55">
        <v>12</v>
      </c>
      <c r="P106" s="56">
        <f t="shared" si="14"/>
        <v>518.40000000000009</v>
      </c>
      <c r="Q106" s="55" t="s">
        <v>1</v>
      </c>
      <c r="R106" s="55">
        <v>22</v>
      </c>
      <c r="S106" s="56">
        <f t="shared" si="15"/>
        <v>950.40000000000009</v>
      </c>
      <c r="T106" s="55" t="s">
        <v>1</v>
      </c>
      <c r="U106" s="56">
        <f t="shared" si="19"/>
        <v>2.56</v>
      </c>
      <c r="Z106" s="2" t="str">
        <f t="array" ref="Z106">IFERROR(INDEX(Table14[DESIGNATION ARTICLE],SMALL(IF(ISNUMBER(SEARCH(CALCULATEUR!$D$5,Table14[DESIGNATION ARTICLE])),ROW(Table14[DESIGNATION ARTICLE])-4),ROWS($1:102))),"")</f>
        <v/>
      </c>
    </row>
    <row r="107" spans="1:26" ht="14.45" customHeight="1" x14ac:dyDescent="0.25">
      <c r="A107" s="183"/>
      <c r="B107" s="5" t="s">
        <v>135</v>
      </c>
      <c r="C107" s="31">
        <v>646740000000010</v>
      </c>
      <c r="D107" s="11">
        <v>5411545022207</v>
      </c>
      <c r="E107" s="208">
        <v>100</v>
      </c>
      <c r="F107" s="209">
        <v>1.2</v>
      </c>
      <c r="G107" s="209">
        <v>0.6</v>
      </c>
      <c r="H107" s="55">
        <v>5</v>
      </c>
      <c r="I107" s="56">
        <f t="shared" si="20"/>
        <v>3.5999999999999996</v>
      </c>
      <c r="J107" s="55" t="s">
        <v>1</v>
      </c>
      <c r="K107" s="55">
        <v>10</v>
      </c>
      <c r="L107" s="55">
        <f t="shared" si="12"/>
        <v>50</v>
      </c>
      <c r="M107" s="56">
        <f t="shared" si="17"/>
        <v>36</v>
      </c>
      <c r="N107" s="55" t="s">
        <v>1</v>
      </c>
      <c r="O107" s="55">
        <v>12</v>
      </c>
      <c r="P107" s="56">
        <f t="shared" si="14"/>
        <v>432</v>
      </c>
      <c r="Q107" s="55" t="s">
        <v>1</v>
      </c>
      <c r="R107" s="55">
        <v>22</v>
      </c>
      <c r="S107" s="56">
        <f t="shared" si="15"/>
        <v>792</v>
      </c>
      <c r="T107" s="55" t="s">
        <v>1</v>
      </c>
      <c r="U107" s="56">
        <f t="shared" si="19"/>
        <v>2.6</v>
      </c>
      <c r="Z107" s="2" t="str">
        <f t="array" ref="Z107">IFERROR(INDEX(Table14[DESIGNATION ARTICLE],SMALL(IF(ISNUMBER(SEARCH(CALCULATEUR!$D$5,Table14[DESIGNATION ARTICLE])),ROW(Table14[DESIGNATION ARTICLE])-4),ROWS($1:103))),"")</f>
        <v/>
      </c>
    </row>
    <row r="108" spans="1:26" ht="15" customHeight="1" thickBot="1" x14ac:dyDescent="0.3">
      <c r="A108" s="184"/>
      <c r="B108" s="136" t="s">
        <v>136</v>
      </c>
      <c r="C108" s="32">
        <v>646740000000012</v>
      </c>
      <c r="D108" s="8">
        <v>5411545022214</v>
      </c>
      <c r="E108" s="212">
        <v>120</v>
      </c>
      <c r="F108" s="213">
        <v>1.2</v>
      </c>
      <c r="G108" s="213">
        <v>0.6</v>
      </c>
      <c r="H108" s="57">
        <v>4</v>
      </c>
      <c r="I108" s="58">
        <f t="shared" si="20"/>
        <v>2.88</v>
      </c>
      <c r="J108" s="57" t="s">
        <v>1</v>
      </c>
      <c r="K108" s="57">
        <v>10</v>
      </c>
      <c r="L108" s="57">
        <f t="shared" si="12"/>
        <v>40</v>
      </c>
      <c r="M108" s="58">
        <f t="shared" si="17"/>
        <v>28.799999999999997</v>
      </c>
      <c r="N108" s="57" t="s">
        <v>1</v>
      </c>
      <c r="O108" s="57">
        <v>12</v>
      </c>
      <c r="P108" s="56">
        <f t="shared" si="14"/>
        <v>345.59999999999997</v>
      </c>
      <c r="Q108" s="57" t="s">
        <v>1</v>
      </c>
      <c r="R108" s="57">
        <v>22</v>
      </c>
      <c r="S108" s="58">
        <f t="shared" si="15"/>
        <v>633.59999999999991</v>
      </c>
      <c r="T108" s="57" t="s">
        <v>1</v>
      </c>
      <c r="U108" s="58">
        <f t="shared" si="19"/>
        <v>2.5</v>
      </c>
      <c r="Z108" s="2" t="str">
        <f t="array" ref="Z108">IFERROR(INDEX(Table14[DESIGNATION ARTICLE],SMALL(IF(ISNUMBER(SEARCH(CALCULATEUR!$D$5,Table14[DESIGNATION ARTICLE])),ROW(Table14[DESIGNATION ARTICLE])-4),ROWS($1:104))),"")</f>
        <v/>
      </c>
    </row>
    <row r="109" spans="1:26" ht="12.95" customHeight="1" x14ac:dyDescent="0.25">
      <c r="A109" s="185" t="s">
        <v>4</v>
      </c>
      <c r="B109" s="137" t="s">
        <v>137</v>
      </c>
      <c r="C109" s="33">
        <v>646180000000422</v>
      </c>
      <c r="D109" s="11">
        <v>5411545022221</v>
      </c>
      <c r="E109" s="214">
        <v>30</v>
      </c>
      <c r="F109" s="215">
        <v>0.6</v>
      </c>
      <c r="G109" s="215">
        <v>0.6</v>
      </c>
      <c r="H109" s="88">
        <v>32</v>
      </c>
      <c r="I109" s="60">
        <f t="shared" si="20"/>
        <v>11.52</v>
      </c>
      <c r="J109" s="88" t="s">
        <v>1</v>
      </c>
      <c r="K109" s="88">
        <v>10</v>
      </c>
      <c r="L109" s="55">
        <f t="shared" si="12"/>
        <v>320</v>
      </c>
      <c r="M109" s="60">
        <f t="shared" ref="M109:M140" si="21">I109*K109</f>
        <v>115.19999999999999</v>
      </c>
      <c r="N109" s="88" t="s">
        <v>1</v>
      </c>
      <c r="O109" s="88">
        <v>12</v>
      </c>
      <c r="P109" s="60">
        <f t="shared" si="14"/>
        <v>1382.3999999999999</v>
      </c>
      <c r="Q109" s="88" t="s">
        <v>1</v>
      </c>
      <c r="R109" s="88">
        <v>22</v>
      </c>
      <c r="S109" s="56">
        <f t="shared" si="15"/>
        <v>2534.3999999999996</v>
      </c>
      <c r="T109" s="88" t="s">
        <v>1</v>
      </c>
      <c r="U109" s="56">
        <f t="shared" ref="U109:U136" si="22">0.1+(L109*(E109/1000))/4</f>
        <v>2.5</v>
      </c>
      <c r="Z109" s="2" t="str">
        <f t="array" ref="Z109">IFERROR(INDEX(Table14[DESIGNATION ARTICLE],SMALL(IF(ISNUMBER(SEARCH(CALCULATEUR!$D$5,Table14[DESIGNATION ARTICLE])),ROW(Table14[DESIGNATION ARTICLE])-4),ROWS($1:105))),"")</f>
        <v/>
      </c>
    </row>
    <row r="110" spans="1:26" ht="14.45" customHeight="1" x14ac:dyDescent="0.25">
      <c r="A110" s="186"/>
      <c r="B110" s="5" t="s">
        <v>138</v>
      </c>
      <c r="C110" s="31">
        <v>646180000000424</v>
      </c>
      <c r="D110" s="12">
        <v>5411545022238</v>
      </c>
      <c r="E110" s="206">
        <v>40</v>
      </c>
      <c r="F110" s="207">
        <v>0.6</v>
      </c>
      <c r="G110" s="207">
        <v>0.6</v>
      </c>
      <c r="H110" s="93">
        <v>24</v>
      </c>
      <c r="I110" s="56">
        <f t="shared" si="20"/>
        <v>8.64</v>
      </c>
      <c r="J110" s="55" t="s">
        <v>1</v>
      </c>
      <c r="K110" s="93">
        <v>10</v>
      </c>
      <c r="L110" s="55">
        <f t="shared" si="12"/>
        <v>240</v>
      </c>
      <c r="M110" s="56">
        <f t="shared" si="21"/>
        <v>86.4</v>
      </c>
      <c r="N110" s="55" t="s">
        <v>1</v>
      </c>
      <c r="O110" s="55">
        <v>12</v>
      </c>
      <c r="P110" s="56">
        <f t="shared" si="14"/>
        <v>1036.8000000000002</v>
      </c>
      <c r="Q110" s="55" t="s">
        <v>1</v>
      </c>
      <c r="R110" s="55">
        <v>22</v>
      </c>
      <c r="S110" s="56">
        <f t="shared" si="15"/>
        <v>1900.8000000000002</v>
      </c>
      <c r="T110" s="55" t="s">
        <v>1</v>
      </c>
      <c r="U110" s="56">
        <f t="shared" si="22"/>
        <v>2.5</v>
      </c>
      <c r="Z110" s="2" t="str">
        <f t="array" ref="Z110">IFERROR(INDEX(Table14[DESIGNATION ARTICLE],SMALL(IF(ISNUMBER(SEARCH(CALCULATEUR!$D$5,Table14[DESIGNATION ARTICLE])),ROW(Table14[DESIGNATION ARTICLE])-4),ROWS($1:106))),"")</f>
        <v/>
      </c>
    </row>
    <row r="111" spans="1:26" ht="14.45" customHeight="1" x14ac:dyDescent="0.25">
      <c r="A111" s="186"/>
      <c r="B111" s="5" t="s">
        <v>139</v>
      </c>
      <c r="C111" s="31">
        <v>646180000000426</v>
      </c>
      <c r="D111" s="11">
        <v>5411545022245</v>
      </c>
      <c r="E111" s="208">
        <v>50</v>
      </c>
      <c r="F111" s="209">
        <v>0.6</v>
      </c>
      <c r="G111" s="209">
        <v>0.6</v>
      </c>
      <c r="H111" s="90">
        <v>20</v>
      </c>
      <c r="I111" s="56">
        <f t="shared" si="20"/>
        <v>7.1999999999999993</v>
      </c>
      <c r="J111" s="90" t="s">
        <v>1</v>
      </c>
      <c r="K111" s="90">
        <v>10</v>
      </c>
      <c r="L111" s="55">
        <f t="shared" si="12"/>
        <v>200</v>
      </c>
      <c r="M111" s="56">
        <f t="shared" si="21"/>
        <v>72</v>
      </c>
      <c r="N111" s="90" t="s">
        <v>1</v>
      </c>
      <c r="O111" s="90">
        <v>12</v>
      </c>
      <c r="P111" s="56">
        <f t="shared" si="14"/>
        <v>864</v>
      </c>
      <c r="Q111" s="90" t="s">
        <v>1</v>
      </c>
      <c r="R111" s="90">
        <v>22</v>
      </c>
      <c r="S111" s="56">
        <f t="shared" si="15"/>
        <v>1584</v>
      </c>
      <c r="T111" s="90" t="s">
        <v>1</v>
      </c>
      <c r="U111" s="56">
        <f t="shared" si="22"/>
        <v>2.6</v>
      </c>
      <c r="Z111" s="2" t="str">
        <f t="array" ref="Z111">IFERROR(INDEX(Table14[DESIGNATION ARTICLE],SMALL(IF(ISNUMBER(SEARCH(CALCULATEUR!$D$5,Table14[DESIGNATION ARTICLE])),ROW(Table14[DESIGNATION ARTICLE])-4),ROWS($1:107))),"")</f>
        <v/>
      </c>
    </row>
    <row r="112" spans="1:26" ht="14.45" customHeight="1" x14ac:dyDescent="0.25">
      <c r="A112" s="186"/>
      <c r="B112" s="5" t="s">
        <v>140</v>
      </c>
      <c r="C112" s="31">
        <v>646180000000428</v>
      </c>
      <c r="D112" s="12">
        <v>5411545022252</v>
      </c>
      <c r="E112" s="206">
        <v>60</v>
      </c>
      <c r="F112" s="207">
        <v>0.6</v>
      </c>
      <c r="G112" s="207">
        <v>0.6</v>
      </c>
      <c r="H112" s="90">
        <v>16</v>
      </c>
      <c r="I112" s="56">
        <f t="shared" si="20"/>
        <v>5.76</v>
      </c>
      <c r="J112" s="55" t="s">
        <v>1</v>
      </c>
      <c r="K112" s="90">
        <v>10</v>
      </c>
      <c r="L112" s="55">
        <f t="shared" si="12"/>
        <v>160</v>
      </c>
      <c r="M112" s="56">
        <f t="shared" si="21"/>
        <v>57.599999999999994</v>
      </c>
      <c r="N112" s="55" t="s">
        <v>1</v>
      </c>
      <c r="O112" s="55">
        <v>12</v>
      </c>
      <c r="P112" s="56">
        <f t="shared" si="14"/>
        <v>691.19999999999993</v>
      </c>
      <c r="Q112" s="55" t="s">
        <v>1</v>
      </c>
      <c r="R112" s="55">
        <v>22</v>
      </c>
      <c r="S112" s="56">
        <f t="shared" si="15"/>
        <v>1267.1999999999998</v>
      </c>
      <c r="T112" s="55" t="s">
        <v>1</v>
      </c>
      <c r="U112" s="56">
        <f t="shared" si="22"/>
        <v>2.5</v>
      </c>
      <c r="Z112" s="2" t="str">
        <f t="array" ref="Z112">IFERROR(INDEX(Table14[DESIGNATION ARTICLE],SMALL(IF(ISNUMBER(SEARCH(CALCULATEUR!$D$5,Table14[DESIGNATION ARTICLE])),ROW(Table14[DESIGNATION ARTICLE])-4),ROWS($1:108))),"")</f>
        <v/>
      </c>
    </row>
    <row r="113" spans="1:26" ht="14.45" customHeight="1" x14ac:dyDescent="0.25">
      <c r="A113" s="186"/>
      <c r="B113" s="5" t="s">
        <v>141</v>
      </c>
      <c r="C113" s="31">
        <v>646180000000430</v>
      </c>
      <c r="D113" s="11">
        <v>5411545022276</v>
      </c>
      <c r="E113" s="208">
        <v>70</v>
      </c>
      <c r="F113" s="209">
        <v>0.6</v>
      </c>
      <c r="G113" s="209">
        <v>0.6</v>
      </c>
      <c r="H113" s="90">
        <v>14</v>
      </c>
      <c r="I113" s="56">
        <f t="shared" si="20"/>
        <v>5.04</v>
      </c>
      <c r="J113" s="90" t="s">
        <v>1</v>
      </c>
      <c r="K113" s="90">
        <v>10</v>
      </c>
      <c r="L113" s="55">
        <f t="shared" si="12"/>
        <v>140</v>
      </c>
      <c r="M113" s="56">
        <f t="shared" si="21"/>
        <v>50.4</v>
      </c>
      <c r="N113" s="90" t="s">
        <v>1</v>
      </c>
      <c r="O113" s="90">
        <v>12</v>
      </c>
      <c r="P113" s="56">
        <f t="shared" si="14"/>
        <v>604.79999999999995</v>
      </c>
      <c r="Q113" s="90" t="s">
        <v>1</v>
      </c>
      <c r="R113" s="90">
        <v>22</v>
      </c>
      <c r="S113" s="56">
        <f t="shared" si="15"/>
        <v>1108.8</v>
      </c>
      <c r="T113" s="90" t="s">
        <v>1</v>
      </c>
      <c r="U113" s="56">
        <f t="shared" si="22"/>
        <v>2.5500000000000003</v>
      </c>
      <c r="Z113" s="2" t="str">
        <f t="array" ref="Z113">IFERROR(INDEX(Table14[DESIGNATION ARTICLE],SMALL(IF(ISNUMBER(SEARCH(CALCULATEUR!$D$5,Table14[DESIGNATION ARTICLE])),ROW(Table14[DESIGNATION ARTICLE])-4),ROWS($1:109))),"")</f>
        <v/>
      </c>
    </row>
    <row r="114" spans="1:26" ht="14.45" customHeight="1" x14ac:dyDescent="0.25">
      <c r="A114" s="186"/>
      <c r="B114" s="5" t="s">
        <v>142</v>
      </c>
      <c r="C114" s="31">
        <v>646180000000432</v>
      </c>
      <c r="D114" s="12">
        <v>5411545022290</v>
      </c>
      <c r="E114" s="206">
        <v>80</v>
      </c>
      <c r="F114" s="207">
        <v>0.6</v>
      </c>
      <c r="G114" s="207">
        <v>0.6</v>
      </c>
      <c r="H114" s="90">
        <v>12</v>
      </c>
      <c r="I114" s="56">
        <f t="shared" si="20"/>
        <v>4.32</v>
      </c>
      <c r="J114" s="55" t="s">
        <v>1</v>
      </c>
      <c r="K114" s="93">
        <v>10</v>
      </c>
      <c r="L114" s="55">
        <f t="shared" si="12"/>
        <v>120</v>
      </c>
      <c r="M114" s="56">
        <f t="shared" si="21"/>
        <v>43.2</v>
      </c>
      <c r="N114" s="55" t="s">
        <v>1</v>
      </c>
      <c r="O114" s="55">
        <v>12</v>
      </c>
      <c r="P114" s="56">
        <f t="shared" si="14"/>
        <v>518.40000000000009</v>
      </c>
      <c r="Q114" s="55" t="s">
        <v>1</v>
      </c>
      <c r="R114" s="55">
        <v>22</v>
      </c>
      <c r="S114" s="56">
        <f t="shared" si="15"/>
        <v>950.40000000000009</v>
      </c>
      <c r="T114" s="55" t="s">
        <v>1</v>
      </c>
      <c r="U114" s="56">
        <f t="shared" si="22"/>
        <v>2.5</v>
      </c>
      <c r="Z114" s="2" t="str">
        <f t="array" ref="Z114">IFERROR(INDEX(Table14[DESIGNATION ARTICLE],SMALL(IF(ISNUMBER(SEARCH(CALCULATEUR!$D$5,Table14[DESIGNATION ARTICLE])),ROW(Table14[DESIGNATION ARTICLE])-4),ROWS($1:110))),"")</f>
        <v/>
      </c>
    </row>
    <row r="115" spans="1:26" ht="14.45" customHeight="1" x14ac:dyDescent="0.25">
      <c r="A115" s="186"/>
      <c r="B115" s="5" t="s">
        <v>143</v>
      </c>
      <c r="C115" s="31">
        <v>646180000000434</v>
      </c>
      <c r="D115" s="11">
        <v>5411545022306</v>
      </c>
      <c r="E115" s="208">
        <v>90</v>
      </c>
      <c r="F115" s="209">
        <v>0.6</v>
      </c>
      <c r="G115" s="209">
        <v>0.6</v>
      </c>
      <c r="H115" s="90">
        <v>10</v>
      </c>
      <c r="I115" s="56">
        <f t="shared" si="20"/>
        <v>3.5999999999999996</v>
      </c>
      <c r="J115" s="90" t="s">
        <v>1</v>
      </c>
      <c r="K115" s="90">
        <v>10</v>
      </c>
      <c r="L115" s="55">
        <f t="shared" si="12"/>
        <v>100</v>
      </c>
      <c r="M115" s="56">
        <f t="shared" si="21"/>
        <v>36</v>
      </c>
      <c r="N115" s="90" t="s">
        <v>1</v>
      </c>
      <c r="O115" s="90">
        <v>12</v>
      </c>
      <c r="P115" s="56">
        <f t="shared" si="14"/>
        <v>432</v>
      </c>
      <c r="Q115" s="90" t="s">
        <v>1</v>
      </c>
      <c r="R115" s="90">
        <v>22</v>
      </c>
      <c r="S115" s="56">
        <f t="shared" si="15"/>
        <v>792</v>
      </c>
      <c r="T115" s="90" t="s">
        <v>1</v>
      </c>
      <c r="U115" s="56">
        <f t="shared" si="22"/>
        <v>2.35</v>
      </c>
      <c r="Z115" s="2" t="str">
        <f t="array" ref="Z115">IFERROR(INDEX(Table14[DESIGNATION ARTICLE],SMALL(IF(ISNUMBER(SEARCH(CALCULATEUR!$D$5,Table14[DESIGNATION ARTICLE])),ROW(Table14[DESIGNATION ARTICLE])-4),ROWS($1:111))),"")</f>
        <v/>
      </c>
    </row>
    <row r="116" spans="1:26" ht="14.45" customHeight="1" x14ac:dyDescent="0.25">
      <c r="A116" s="186"/>
      <c r="B116" s="5" t="s">
        <v>144</v>
      </c>
      <c r="C116" s="31">
        <v>646180000000436</v>
      </c>
      <c r="D116" s="12">
        <v>5411545022313</v>
      </c>
      <c r="E116" s="206">
        <v>100</v>
      </c>
      <c r="F116" s="207">
        <v>0.6</v>
      </c>
      <c r="G116" s="207">
        <v>0.6</v>
      </c>
      <c r="H116" s="90">
        <v>10</v>
      </c>
      <c r="I116" s="56">
        <f t="shared" si="20"/>
        <v>3.5999999999999996</v>
      </c>
      <c r="J116" s="90" t="s">
        <v>1</v>
      </c>
      <c r="K116" s="90">
        <v>10</v>
      </c>
      <c r="L116" s="55">
        <f t="shared" si="12"/>
        <v>100</v>
      </c>
      <c r="M116" s="56">
        <f t="shared" si="21"/>
        <v>36</v>
      </c>
      <c r="N116" s="90" t="s">
        <v>1</v>
      </c>
      <c r="O116" s="90">
        <v>12</v>
      </c>
      <c r="P116" s="56">
        <f t="shared" si="14"/>
        <v>432</v>
      </c>
      <c r="Q116" s="90" t="s">
        <v>1</v>
      </c>
      <c r="R116" s="90">
        <v>22</v>
      </c>
      <c r="S116" s="56">
        <f t="shared" si="15"/>
        <v>792</v>
      </c>
      <c r="T116" s="90" t="s">
        <v>1</v>
      </c>
      <c r="U116" s="56">
        <f t="shared" si="22"/>
        <v>2.6</v>
      </c>
      <c r="Z116" s="2" t="str">
        <f t="array" ref="Z116">IFERROR(INDEX(Table14[DESIGNATION ARTICLE],SMALL(IF(ISNUMBER(SEARCH(CALCULATEUR!$D$5,Table14[DESIGNATION ARTICLE])),ROW(Table14[DESIGNATION ARTICLE])-4),ROWS($1:112))),"")</f>
        <v/>
      </c>
    </row>
    <row r="117" spans="1:26" ht="14.45" customHeight="1" x14ac:dyDescent="0.25">
      <c r="A117" s="186"/>
      <c r="B117" s="5" t="s">
        <v>145</v>
      </c>
      <c r="C117" s="31">
        <v>646180000000438</v>
      </c>
      <c r="D117" s="11">
        <v>5411545022320</v>
      </c>
      <c r="E117" s="208">
        <v>110</v>
      </c>
      <c r="F117" s="209">
        <v>0.6</v>
      </c>
      <c r="G117" s="209">
        <v>0.6</v>
      </c>
      <c r="H117" s="90">
        <v>8</v>
      </c>
      <c r="I117" s="56">
        <f t="shared" si="20"/>
        <v>2.88</v>
      </c>
      <c r="J117" s="90" t="s">
        <v>1</v>
      </c>
      <c r="K117" s="90">
        <v>10</v>
      </c>
      <c r="L117" s="55">
        <f t="shared" si="12"/>
        <v>80</v>
      </c>
      <c r="M117" s="56">
        <f t="shared" si="21"/>
        <v>28.799999999999997</v>
      </c>
      <c r="N117" s="90" t="s">
        <v>1</v>
      </c>
      <c r="O117" s="90">
        <v>12</v>
      </c>
      <c r="P117" s="56">
        <f t="shared" si="14"/>
        <v>345.59999999999997</v>
      </c>
      <c r="Q117" s="90" t="s">
        <v>1</v>
      </c>
      <c r="R117" s="90">
        <v>22</v>
      </c>
      <c r="S117" s="56">
        <f t="shared" si="15"/>
        <v>633.59999999999991</v>
      </c>
      <c r="T117" s="90" t="s">
        <v>1</v>
      </c>
      <c r="U117" s="56">
        <f t="shared" si="22"/>
        <v>2.3000000000000003</v>
      </c>
      <c r="Z117" s="2" t="str">
        <f t="array" ref="Z117">IFERROR(INDEX(Table14[DESIGNATION ARTICLE],SMALL(IF(ISNUMBER(SEARCH(CALCULATEUR!$D$5,Table14[DESIGNATION ARTICLE])),ROW(Table14[DESIGNATION ARTICLE])-4),ROWS($1:113))),"")</f>
        <v/>
      </c>
    </row>
    <row r="118" spans="1:26" ht="14.45" customHeight="1" x14ac:dyDescent="0.25">
      <c r="A118" s="186"/>
      <c r="B118" s="5" t="s">
        <v>146</v>
      </c>
      <c r="C118" s="31">
        <v>646180000000440</v>
      </c>
      <c r="D118" s="12">
        <v>5411545022337</v>
      </c>
      <c r="E118" s="206">
        <v>120</v>
      </c>
      <c r="F118" s="207">
        <v>0.6</v>
      </c>
      <c r="G118" s="207">
        <v>0.6</v>
      </c>
      <c r="H118" s="93">
        <v>8</v>
      </c>
      <c r="I118" s="56">
        <f t="shared" si="20"/>
        <v>2.88</v>
      </c>
      <c r="J118" s="55" t="s">
        <v>1</v>
      </c>
      <c r="K118" s="93">
        <v>10</v>
      </c>
      <c r="L118" s="55">
        <f t="shared" si="12"/>
        <v>80</v>
      </c>
      <c r="M118" s="56">
        <f t="shared" si="21"/>
        <v>28.799999999999997</v>
      </c>
      <c r="N118" s="55" t="s">
        <v>1</v>
      </c>
      <c r="O118" s="55">
        <v>12</v>
      </c>
      <c r="P118" s="56">
        <f t="shared" si="14"/>
        <v>345.59999999999997</v>
      </c>
      <c r="Q118" s="55" t="s">
        <v>1</v>
      </c>
      <c r="R118" s="55">
        <v>22</v>
      </c>
      <c r="S118" s="56">
        <f t="shared" si="15"/>
        <v>633.59999999999991</v>
      </c>
      <c r="T118" s="55" t="s">
        <v>1</v>
      </c>
      <c r="U118" s="56">
        <f t="shared" si="22"/>
        <v>2.5</v>
      </c>
      <c r="Z118" s="2" t="str">
        <f t="array" ref="Z118">IFERROR(INDEX(Table14[DESIGNATION ARTICLE],SMALL(IF(ISNUMBER(SEARCH(CALCULATEUR!$D$5,Table14[DESIGNATION ARTICLE])),ROW(Table14[DESIGNATION ARTICLE])-4),ROWS($1:114))),"")</f>
        <v/>
      </c>
    </row>
    <row r="119" spans="1:26" ht="14.45" customHeight="1" x14ac:dyDescent="0.25">
      <c r="A119" s="186"/>
      <c r="B119" s="5" t="s">
        <v>147</v>
      </c>
      <c r="C119" s="31">
        <v>646180000000420</v>
      </c>
      <c r="D119" s="11">
        <v>5411545022344</v>
      </c>
      <c r="E119" s="208">
        <v>132</v>
      </c>
      <c r="F119" s="209">
        <v>0.6</v>
      </c>
      <c r="G119" s="209">
        <v>0.6</v>
      </c>
      <c r="H119" s="90">
        <v>6</v>
      </c>
      <c r="I119" s="56">
        <f t="shared" si="20"/>
        <v>2.16</v>
      </c>
      <c r="J119" s="90" t="s">
        <v>1</v>
      </c>
      <c r="K119" s="90">
        <v>12</v>
      </c>
      <c r="L119" s="55">
        <f t="shared" si="12"/>
        <v>72</v>
      </c>
      <c r="M119" s="56">
        <f t="shared" si="21"/>
        <v>25.92</v>
      </c>
      <c r="N119" s="90" t="s">
        <v>1</v>
      </c>
      <c r="O119" s="90">
        <v>12</v>
      </c>
      <c r="P119" s="56">
        <f t="shared" si="14"/>
        <v>311.04000000000002</v>
      </c>
      <c r="Q119" s="90" t="s">
        <v>1</v>
      </c>
      <c r="R119" s="90">
        <v>22</v>
      </c>
      <c r="S119" s="56">
        <f t="shared" si="15"/>
        <v>570.24</v>
      </c>
      <c r="T119" s="90" t="s">
        <v>1</v>
      </c>
      <c r="U119" s="56">
        <f t="shared" si="22"/>
        <v>2.4760000000000004</v>
      </c>
      <c r="Z119" s="2" t="str">
        <f t="array" ref="Z119">IFERROR(INDEX(Table14[DESIGNATION ARTICLE],SMALL(IF(ISNUMBER(SEARCH(CALCULATEUR!$D$5,Table14[DESIGNATION ARTICLE])),ROW(Table14[DESIGNATION ARTICLE])-4),ROWS($1:115))),"")</f>
        <v/>
      </c>
    </row>
    <row r="120" spans="1:26" ht="14.45" customHeight="1" x14ac:dyDescent="0.25">
      <c r="A120" s="186"/>
      <c r="B120" s="5" t="s">
        <v>148</v>
      </c>
      <c r="C120" s="31">
        <v>646180000000442</v>
      </c>
      <c r="D120" s="12">
        <v>5411545022351</v>
      </c>
      <c r="E120" s="206">
        <v>140</v>
      </c>
      <c r="F120" s="207">
        <v>0.6</v>
      </c>
      <c r="G120" s="207">
        <v>0.6</v>
      </c>
      <c r="H120" s="90">
        <v>6</v>
      </c>
      <c r="I120" s="56">
        <f t="shared" si="20"/>
        <v>2.16</v>
      </c>
      <c r="J120" s="90" t="s">
        <v>1</v>
      </c>
      <c r="K120" s="90">
        <v>12</v>
      </c>
      <c r="L120" s="55">
        <f t="shared" si="12"/>
        <v>72</v>
      </c>
      <c r="M120" s="56">
        <f t="shared" si="21"/>
        <v>25.92</v>
      </c>
      <c r="N120" s="90" t="s">
        <v>1</v>
      </c>
      <c r="O120" s="90">
        <v>12</v>
      </c>
      <c r="P120" s="56">
        <f t="shared" si="14"/>
        <v>311.04000000000002</v>
      </c>
      <c r="Q120" s="90" t="s">
        <v>1</v>
      </c>
      <c r="R120" s="90">
        <v>22</v>
      </c>
      <c r="S120" s="56">
        <f t="shared" si="15"/>
        <v>570.24</v>
      </c>
      <c r="T120" s="90" t="s">
        <v>1</v>
      </c>
      <c r="U120" s="56">
        <f t="shared" si="22"/>
        <v>2.6200000000000006</v>
      </c>
      <c r="Z120" s="2" t="str">
        <f t="array" ref="Z120">IFERROR(INDEX(Table14[DESIGNATION ARTICLE],SMALL(IF(ISNUMBER(SEARCH(CALCULATEUR!$D$5,Table14[DESIGNATION ARTICLE])),ROW(Table14[DESIGNATION ARTICLE])-4),ROWS($1:116))),"")</f>
        <v/>
      </c>
    </row>
    <row r="121" spans="1:26" ht="14.45" customHeight="1" x14ac:dyDescent="0.25">
      <c r="A121" s="186"/>
      <c r="B121" s="5" t="s">
        <v>149</v>
      </c>
      <c r="C121" s="31">
        <v>646180000000363</v>
      </c>
      <c r="D121" s="11">
        <v>5411545022368</v>
      </c>
      <c r="E121" s="208">
        <v>150</v>
      </c>
      <c r="F121" s="209">
        <v>0.6</v>
      </c>
      <c r="G121" s="209">
        <v>0.6</v>
      </c>
      <c r="H121" s="90">
        <v>6</v>
      </c>
      <c r="I121" s="56">
        <f t="shared" si="20"/>
        <v>2.16</v>
      </c>
      <c r="J121" s="90" t="s">
        <v>1</v>
      </c>
      <c r="K121" s="90">
        <v>10</v>
      </c>
      <c r="L121" s="55">
        <f t="shared" si="12"/>
        <v>60</v>
      </c>
      <c r="M121" s="56">
        <f t="shared" si="21"/>
        <v>21.6</v>
      </c>
      <c r="N121" s="90" t="s">
        <v>1</v>
      </c>
      <c r="O121" s="90">
        <v>12</v>
      </c>
      <c r="P121" s="56">
        <f t="shared" si="14"/>
        <v>259.20000000000005</v>
      </c>
      <c r="Q121" s="90" t="s">
        <v>1</v>
      </c>
      <c r="R121" s="90">
        <v>22</v>
      </c>
      <c r="S121" s="56">
        <f t="shared" si="15"/>
        <v>475.20000000000005</v>
      </c>
      <c r="T121" s="90" t="s">
        <v>1</v>
      </c>
      <c r="U121" s="56">
        <f t="shared" si="22"/>
        <v>2.35</v>
      </c>
      <c r="Z121" s="2" t="str">
        <f t="array" ref="Z121">IFERROR(INDEX(Table14[DESIGNATION ARTICLE],SMALL(IF(ISNUMBER(SEARCH(CALCULATEUR!$D$5,Table14[DESIGNATION ARTICLE])),ROW(Table14[DESIGNATION ARTICLE])-4),ROWS($1:117))),"")</f>
        <v/>
      </c>
    </row>
    <row r="122" spans="1:26" ht="14.45" customHeight="1" thickBot="1" x14ac:dyDescent="0.3">
      <c r="A122" s="186"/>
      <c r="B122" s="136" t="s">
        <v>150</v>
      </c>
      <c r="C122" s="32">
        <v>646180000000444</v>
      </c>
      <c r="D122" s="12">
        <v>5411545022375</v>
      </c>
      <c r="E122" s="212">
        <v>160</v>
      </c>
      <c r="F122" s="213">
        <v>0.6</v>
      </c>
      <c r="G122" s="213">
        <v>0.6</v>
      </c>
      <c r="H122" s="94">
        <v>6</v>
      </c>
      <c r="I122" s="58">
        <f t="shared" si="20"/>
        <v>2.16</v>
      </c>
      <c r="J122" s="57" t="s">
        <v>1</v>
      </c>
      <c r="K122" s="94">
        <v>10</v>
      </c>
      <c r="L122" s="57">
        <f t="shared" si="12"/>
        <v>60</v>
      </c>
      <c r="M122" s="58">
        <f t="shared" si="21"/>
        <v>21.6</v>
      </c>
      <c r="N122" s="57" t="s">
        <v>1</v>
      </c>
      <c r="O122" s="57">
        <v>12</v>
      </c>
      <c r="P122" s="56">
        <f t="shared" si="14"/>
        <v>259.20000000000005</v>
      </c>
      <c r="Q122" s="57" t="s">
        <v>1</v>
      </c>
      <c r="R122" s="57">
        <v>22</v>
      </c>
      <c r="S122" s="58">
        <f t="shared" si="15"/>
        <v>475.20000000000005</v>
      </c>
      <c r="T122" s="57" t="s">
        <v>1</v>
      </c>
      <c r="U122" s="58">
        <f t="shared" si="22"/>
        <v>2.5</v>
      </c>
      <c r="Z122" s="2" t="str">
        <f t="array" ref="Z122">IFERROR(INDEX(Table14[DESIGNATION ARTICLE],SMALL(IF(ISNUMBER(SEARCH(CALCULATEUR!$D$5,Table14[DESIGNATION ARTICLE])),ROW(Table14[DESIGNATION ARTICLE])-4),ROWS($1:118))),"")</f>
        <v/>
      </c>
    </row>
    <row r="123" spans="1:26" ht="14.45" customHeight="1" x14ac:dyDescent="0.25">
      <c r="A123" s="186"/>
      <c r="B123" s="137" t="s">
        <v>151</v>
      </c>
      <c r="C123" s="34">
        <v>646290000000065</v>
      </c>
      <c r="D123" s="9">
        <v>5411545022382</v>
      </c>
      <c r="E123" s="214">
        <v>30</v>
      </c>
      <c r="F123" s="215">
        <v>0.6</v>
      </c>
      <c r="G123" s="215">
        <v>0.6</v>
      </c>
      <c r="H123" s="95">
        <v>32</v>
      </c>
      <c r="I123" s="60">
        <f t="shared" si="20"/>
        <v>11.52</v>
      </c>
      <c r="J123" s="59" t="s">
        <v>1</v>
      </c>
      <c r="K123" s="95">
        <v>10</v>
      </c>
      <c r="L123" s="55">
        <f t="shared" si="12"/>
        <v>320</v>
      </c>
      <c r="M123" s="60">
        <f t="shared" si="21"/>
        <v>115.19999999999999</v>
      </c>
      <c r="N123" s="59" t="s">
        <v>1</v>
      </c>
      <c r="O123" s="59">
        <v>12</v>
      </c>
      <c r="P123" s="60">
        <f t="shared" si="14"/>
        <v>1382.3999999999999</v>
      </c>
      <c r="Q123" s="59" t="s">
        <v>1</v>
      </c>
      <c r="R123" s="59">
        <v>22</v>
      </c>
      <c r="S123" s="56">
        <f t="shared" si="15"/>
        <v>2534.3999999999996</v>
      </c>
      <c r="T123" s="59" t="s">
        <v>1</v>
      </c>
      <c r="U123" s="56">
        <f t="shared" si="22"/>
        <v>2.5</v>
      </c>
      <c r="Z123" s="2" t="str">
        <f t="array" ref="Z123">IFERROR(INDEX(Table14[DESIGNATION ARTICLE],SMALL(IF(ISNUMBER(SEARCH(CALCULATEUR!$D$5,Table14[DESIGNATION ARTICLE])),ROW(Table14[DESIGNATION ARTICLE])-4),ROWS($1:119))),"")</f>
        <v/>
      </c>
    </row>
    <row r="124" spans="1:26" ht="14.45" customHeight="1" x14ac:dyDescent="0.25">
      <c r="A124" s="186"/>
      <c r="B124" s="5" t="s">
        <v>152</v>
      </c>
      <c r="C124" s="35">
        <v>646290000000066</v>
      </c>
      <c r="D124" s="12">
        <v>5411545022399</v>
      </c>
      <c r="E124" s="206">
        <v>40</v>
      </c>
      <c r="F124" s="207">
        <v>0.6</v>
      </c>
      <c r="G124" s="207">
        <v>0.6</v>
      </c>
      <c r="H124" s="90">
        <v>24</v>
      </c>
      <c r="I124" s="56">
        <f t="shared" si="20"/>
        <v>8.64</v>
      </c>
      <c r="J124" s="90" t="s">
        <v>1</v>
      </c>
      <c r="K124" s="90">
        <v>10</v>
      </c>
      <c r="L124" s="55">
        <f t="shared" si="12"/>
        <v>240</v>
      </c>
      <c r="M124" s="56">
        <f t="shared" si="21"/>
        <v>86.4</v>
      </c>
      <c r="N124" s="90" t="s">
        <v>1</v>
      </c>
      <c r="O124" s="90">
        <v>12</v>
      </c>
      <c r="P124" s="56">
        <f t="shared" si="14"/>
        <v>1036.8000000000002</v>
      </c>
      <c r="Q124" s="90" t="s">
        <v>1</v>
      </c>
      <c r="R124" s="90">
        <v>22</v>
      </c>
      <c r="S124" s="56">
        <f t="shared" si="15"/>
        <v>1900.8000000000002</v>
      </c>
      <c r="T124" s="90" t="s">
        <v>1</v>
      </c>
      <c r="U124" s="56">
        <f t="shared" si="22"/>
        <v>2.5</v>
      </c>
      <c r="Z124" s="2" t="str">
        <f t="array" ref="Z124">IFERROR(INDEX(Table14[DESIGNATION ARTICLE],SMALL(IF(ISNUMBER(SEARCH(CALCULATEUR!$D$5,Table14[DESIGNATION ARTICLE])),ROW(Table14[DESIGNATION ARTICLE])-4),ROWS($1:120))),"")</f>
        <v/>
      </c>
    </row>
    <row r="125" spans="1:26" ht="14.45" customHeight="1" x14ac:dyDescent="0.25">
      <c r="A125" s="186"/>
      <c r="B125" s="5" t="s">
        <v>153</v>
      </c>
      <c r="C125" s="35">
        <v>646290000000067</v>
      </c>
      <c r="D125" s="11">
        <v>5411545022405</v>
      </c>
      <c r="E125" s="208">
        <v>50</v>
      </c>
      <c r="F125" s="209">
        <v>0.6</v>
      </c>
      <c r="G125" s="209">
        <v>0.6</v>
      </c>
      <c r="H125" s="90">
        <v>20</v>
      </c>
      <c r="I125" s="56">
        <f t="shared" si="20"/>
        <v>7.1999999999999993</v>
      </c>
      <c r="J125" s="90" t="s">
        <v>1</v>
      </c>
      <c r="K125" s="90">
        <v>10</v>
      </c>
      <c r="L125" s="55">
        <f t="shared" si="12"/>
        <v>200</v>
      </c>
      <c r="M125" s="56">
        <f t="shared" si="21"/>
        <v>72</v>
      </c>
      <c r="N125" s="90" t="s">
        <v>1</v>
      </c>
      <c r="O125" s="90">
        <v>12</v>
      </c>
      <c r="P125" s="56">
        <f t="shared" si="14"/>
        <v>864</v>
      </c>
      <c r="Q125" s="90" t="s">
        <v>1</v>
      </c>
      <c r="R125" s="90">
        <v>22</v>
      </c>
      <c r="S125" s="56">
        <f t="shared" si="15"/>
        <v>1584</v>
      </c>
      <c r="T125" s="90" t="s">
        <v>1</v>
      </c>
      <c r="U125" s="56">
        <f t="shared" si="22"/>
        <v>2.6</v>
      </c>
      <c r="Z125" s="2" t="str">
        <f t="array" ref="Z125">IFERROR(INDEX(Table14[DESIGNATION ARTICLE],SMALL(IF(ISNUMBER(SEARCH(CALCULATEUR!$D$5,Table14[DESIGNATION ARTICLE])),ROW(Table14[DESIGNATION ARTICLE])-4),ROWS($1:121))),"")</f>
        <v/>
      </c>
    </row>
    <row r="126" spans="1:26" ht="14.45" customHeight="1" x14ac:dyDescent="0.25">
      <c r="A126" s="186"/>
      <c r="B126" s="5" t="s">
        <v>154</v>
      </c>
      <c r="C126" s="35">
        <v>646290000000068</v>
      </c>
      <c r="D126" s="12">
        <v>5411545022412</v>
      </c>
      <c r="E126" s="206">
        <v>60</v>
      </c>
      <c r="F126" s="207">
        <v>0.6</v>
      </c>
      <c r="G126" s="207">
        <v>0.6</v>
      </c>
      <c r="H126" s="90">
        <v>16</v>
      </c>
      <c r="I126" s="56">
        <f t="shared" si="20"/>
        <v>5.76</v>
      </c>
      <c r="J126" s="90" t="s">
        <v>1</v>
      </c>
      <c r="K126" s="90">
        <v>10</v>
      </c>
      <c r="L126" s="55">
        <f t="shared" ref="L126:L189" si="23">H126*K126</f>
        <v>160</v>
      </c>
      <c r="M126" s="56">
        <f t="shared" si="21"/>
        <v>57.599999999999994</v>
      </c>
      <c r="N126" s="90" t="s">
        <v>1</v>
      </c>
      <c r="O126" s="90">
        <v>12</v>
      </c>
      <c r="P126" s="56">
        <f t="shared" si="14"/>
        <v>691.19999999999993</v>
      </c>
      <c r="Q126" s="90" t="s">
        <v>1</v>
      </c>
      <c r="R126" s="90">
        <v>22</v>
      </c>
      <c r="S126" s="56">
        <f t="shared" si="15"/>
        <v>1267.1999999999998</v>
      </c>
      <c r="T126" s="90" t="s">
        <v>1</v>
      </c>
      <c r="U126" s="56">
        <f t="shared" si="22"/>
        <v>2.5</v>
      </c>
      <c r="Z126" s="2" t="str">
        <f t="array" ref="Z126">IFERROR(INDEX(Table14[DESIGNATION ARTICLE],SMALL(IF(ISNUMBER(SEARCH(CALCULATEUR!$D$5,Table14[DESIGNATION ARTICLE])),ROW(Table14[DESIGNATION ARTICLE])-4),ROWS($1:122))),"")</f>
        <v/>
      </c>
    </row>
    <row r="127" spans="1:26" ht="14.45" customHeight="1" x14ac:dyDescent="0.25">
      <c r="A127" s="186"/>
      <c r="B127" s="5" t="s">
        <v>155</v>
      </c>
      <c r="C127" s="35">
        <v>646290000000069</v>
      </c>
      <c r="D127" s="11">
        <v>5411545022436</v>
      </c>
      <c r="E127" s="208">
        <v>70</v>
      </c>
      <c r="F127" s="209">
        <v>0.6</v>
      </c>
      <c r="G127" s="209">
        <v>0.6</v>
      </c>
      <c r="H127" s="90">
        <v>14</v>
      </c>
      <c r="I127" s="56">
        <f t="shared" si="20"/>
        <v>5.04</v>
      </c>
      <c r="J127" s="90" t="s">
        <v>1</v>
      </c>
      <c r="K127" s="90">
        <v>10</v>
      </c>
      <c r="L127" s="55">
        <f t="shared" si="23"/>
        <v>140</v>
      </c>
      <c r="M127" s="56">
        <f t="shared" si="21"/>
        <v>50.4</v>
      </c>
      <c r="N127" s="90" t="s">
        <v>1</v>
      </c>
      <c r="O127" s="90">
        <v>12</v>
      </c>
      <c r="P127" s="56">
        <f t="shared" si="14"/>
        <v>604.79999999999995</v>
      </c>
      <c r="Q127" s="90" t="s">
        <v>1</v>
      </c>
      <c r="R127" s="90">
        <v>22</v>
      </c>
      <c r="S127" s="56">
        <f t="shared" si="15"/>
        <v>1108.8</v>
      </c>
      <c r="T127" s="90" t="s">
        <v>1</v>
      </c>
      <c r="U127" s="56">
        <f t="shared" si="22"/>
        <v>2.5500000000000003</v>
      </c>
      <c r="Z127" s="2" t="str">
        <f t="array" ref="Z127">IFERROR(INDEX(Table14[DESIGNATION ARTICLE],SMALL(IF(ISNUMBER(SEARCH(CALCULATEUR!$D$5,Table14[DESIGNATION ARTICLE])),ROW(Table14[DESIGNATION ARTICLE])-4),ROWS($1:123))),"")</f>
        <v/>
      </c>
    </row>
    <row r="128" spans="1:26" ht="14.45" customHeight="1" x14ac:dyDescent="0.25">
      <c r="A128" s="186"/>
      <c r="B128" s="5" t="s">
        <v>156</v>
      </c>
      <c r="C128" s="35">
        <v>646290000000070</v>
      </c>
      <c r="D128" s="12">
        <v>5411545022450</v>
      </c>
      <c r="E128" s="206">
        <v>80</v>
      </c>
      <c r="F128" s="207">
        <v>0.6</v>
      </c>
      <c r="G128" s="207">
        <v>0.6</v>
      </c>
      <c r="H128" s="90">
        <v>12</v>
      </c>
      <c r="I128" s="56">
        <f t="shared" si="20"/>
        <v>4.32</v>
      </c>
      <c r="J128" s="90" t="s">
        <v>1</v>
      </c>
      <c r="K128" s="90">
        <v>10</v>
      </c>
      <c r="L128" s="55">
        <f t="shared" si="23"/>
        <v>120</v>
      </c>
      <c r="M128" s="56">
        <f t="shared" si="21"/>
        <v>43.2</v>
      </c>
      <c r="N128" s="90" t="s">
        <v>1</v>
      </c>
      <c r="O128" s="90">
        <v>12</v>
      </c>
      <c r="P128" s="56">
        <f t="shared" si="14"/>
        <v>518.40000000000009</v>
      </c>
      <c r="Q128" s="90" t="s">
        <v>1</v>
      </c>
      <c r="R128" s="90">
        <v>22</v>
      </c>
      <c r="S128" s="56">
        <f t="shared" si="15"/>
        <v>950.40000000000009</v>
      </c>
      <c r="T128" s="90" t="s">
        <v>1</v>
      </c>
      <c r="U128" s="56">
        <f t="shared" si="22"/>
        <v>2.5</v>
      </c>
      <c r="Z128" s="2" t="str">
        <f t="array" ref="Z128">IFERROR(INDEX(Table14[DESIGNATION ARTICLE],SMALL(IF(ISNUMBER(SEARCH(CALCULATEUR!$D$5,Table14[DESIGNATION ARTICLE])),ROW(Table14[DESIGNATION ARTICLE])-4),ROWS($1:124))),"")</f>
        <v/>
      </c>
    </row>
    <row r="129" spans="1:26" ht="14.45" customHeight="1" x14ac:dyDescent="0.25">
      <c r="A129" s="186"/>
      <c r="B129" s="5" t="s">
        <v>157</v>
      </c>
      <c r="C129" s="35">
        <v>646290000000078</v>
      </c>
      <c r="D129" s="11">
        <v>5411545022467</v>
      </c>
      <c r="E129" s="208">
        <v>90</v>
      </c>
      <c r="F129" s="209">
        <v>0.6</v>
      </c>
      <c r="G129" s="209">
        <v>0.6</v>
      </c>
      <c r="H129" s="90">
        <v>10</v>
      </c>
      <c r="I129" s="56">
        <f t="shared" si="20"/>
        <v>3.5999999999999996</v>
      </c>
      <c r="J129" s="55" t="s">
        <v>1</v>
      </c>
      <c r="K129" s="90">
        <v>10</v>
      </c>
      <c r="L129" s="55">
        <f t="shared" si="23"/>
        <v>100</v>
      </c>
      <c r="M129" s="56">
        <f t="shared" si="21"/>
        <v>36</v>
      </c>
      <c r="N129" s="55" t="s">
        <v>1</v>
      </c>
      <c r="O129" s="55">
        <v>12</v>
      </c>
      <c r="P129" s="56">
        <f t="shared" si="14"/>
        <v>432</v>
      </c>
      <c r="Q129" s="55" t="s">
        <v>1</v>
      </c>
      <c r="R129" s="55">
        <v>22</v>
      </c>
      <c r="S129" s="56">
        <f t="shared" si="15"/>
        <v>792</v>
      </c>
      <c r="T129" s="55" t="s">
        <v>1</v>
      </c>
      <c r="U129" s="56">
        <f t="shared" si="22"/>
        <v>2.35</v>
      </c>
      <c r="Z129" s="2" t="str">
        <f t="array" ref="Z129">IFERROR(INDEX(Table14[DESIGNATION ARTICLE],SMALL(IF(ISNUMBER(SEARCH(CALCULATEUR!$D$5,Table14[DESIGNATION ARTICLE])),ROW(Table14[DESIGNATION ARTICLE])-4),ROWS($1:125))),"")</f>
        <v/>
      </c>
    </row>
    <row r="130" spans="1:26" ht="14.45" customHeight="1" x14ac:dyDescent="0.25">
      <c r="A130" s="186"/>
      <c r="B130" s="5" t="s">
        <v>158</v>
      </c>
      <c r="C130" s="35">
        <v>646290000000080</v>
      </c>
      <c r="D130" s="12">
        <v>5411545022474</v>
      </c>
      <c r="E130" s="206">
        <v>100</v>
      </c>
      <c r="F130" s="207">
        <v>0.6</v>
      </c>
      <c r="G130" s="207">
        <v>0.6</v>
      </c>
      <c r="H130" s="90">
        <v>10</v>
      </c>
      <c r="I130" s="56">
        <f t="shared" si="20"/>
        <v>3.5999999999999996</v>
      </c>
      <c r="J130" s="55" t="s">
        <v>1</v>
      </c>
      <c r="K130" s="90">
        <v>10</v>
      </c>
      <c r="L130" s="55">
        <f t="shared" si="23"/>
        <v>100</v>
      </c>
      <c r="M130" s="56">
        <f t="shared" si="21"/>
        <v>36</v>
      </c>
      <c r="N130" s="55" t="s">
        <v>1</v>
      </c>
      <c r="O130" s="55">
        <v>12</v>
      </c>
      <c r="P130" s="56">
        <f t="shared" si="14"/>
        <v>432</v>
      </c>
      <c r="Q130" s="55" t="s">
        <v>1</v>
      </c>
      <c r="R130" s="55">
        <v>22</v>
      </c>
      <c r="S130" s="56">
        <f t="shared" si="15"/>
        <v>792</v>
      </c>
      <c r="T130" s="55" t="s">
        <v>1</v>
      </c>
      <c r="U130" s="56">
        <f t="shared" si="22"/>
        <v>2.6</v>
      </c>
      <c r="Z130" s="2" t="str">
        <f t="array" ref="Z130">IFERROR(INDEX(Table14[DESIGNATION ARTICLE],SMALL(IF(ISNUMBER(SEARCH(CALCULATEUR!$D$5,Table14[DESIGNATION ARTICLE])),ROW(Table14[DESIGNATION ARTICLE])-4),ROWS($1:126))),"")</f>
        <v/>
      </c>
    </row>
    <row r="131" spans="1:26" ht="14.45" customHeight="1" x14ac:dyDescent="0.25">
      <c r="A131" s="186"/>
      <c r="B131" s="5" t="s">
        <v>159</v>
      </c>
      <c r="C131" s="35">
        <v>646290000000082</v>
      </c>
      <c r="D131" s="11">
        <v>5411545022481</v>
      </c>
      <c r="E131" s="208">
        <v>110</v>
      </c>
      <c r="F131" s="209">
        <v>0.6</v>
      </c>
      <c r="G131" s="209">
        <v>0.6</v>
      </c>
      <c r="H131" s="93">
        <v>8</v>
      </c>
      <c r="I131" s="56">
        <f t="shared" si="20"/>
        <v>2.88</v>
      </c>
      <c r="J131" s="55" t="s">
        <v>1</v>
      </c>
      <c r="K131" s="93">
        <v>10</v>
      </c>
      <c r="L131" s="55">
        <f t="shared" si="23"/>
        <v>80</v>
      </c>
      <c r="M131" s="56">
        <f t="shared" si="21"/>
        <v>28.799999999999997</v>
      </c>
      <c r="N131" s="55" t="s">
        <v>1</v>
      </c>
      <c r="O131" s="55">
        <v>12</v>
      </c>
      <c r="P131" s="56">
        <f t="shared" si="14"/>
        <v>345.59999999999997</v>
      </c>
      <c r="Q131" s="55" t="s">
        <v>1</v>
      </c>
      <c r="R131" s="55">
        <v>22</v>
      </c>
      <c r="S131" s="56">
        <f t="shared" si="15"/>
        <v>633.59999999999991</v>
      </c>
      <c r="T131" s="55" t="s">
        <v>1</v>
      </c>
      <c r="U131" s="56">
        <f t="shared" si="22"/>
        <v>2.3000000000000003</v>
      </c>
      <c r="Z131" s="2" t="str">
        <f t="array" ref="Z131">IFERROR(INDEX(Table14[DESIGNATION ARTICLE],SMALL(IF(ISNUMBER(SEARCH(CALCULATEUR!$D$5,Table14[DESIGNATION ARTICLE])),ROW(Table14[DESIGNATION ARTICLE])-4),ROWS($1:127))),"")</f>
        <v/>
      </c>
    </row>
    <row r="132" spans="1:26" ht="14.45" customHeight="1" x14ac:dyDescent="0.25">
      <c r="A132" s="186"/>
      <c r="B132" s="5" t="s">
        <v>160</v>
      </c>
      <c r="C132" s="35">
        <v>646290000000084</v>
      </c>
      <c r="D132" s="12">
        <v>5411545022498</v>
      </c>
      <c r="E132" s="206">
        <v>120</v>
      </c>
      <c r="F132" s="207">
        <v>0.6</v>
      </c>
      <c r="G132" s="207">
        <v>0.6</v>
      </c>
      <c r="H132" s="93">
        <v>8</v>
      </c>
      <c r="I132" s="56">
        <f t="shared" si="20"/>
        <v>2.88</v>
      </c>
      <c r="J132" s="55" t="s">
        <v>1</v>
      </c>
      <c r="K132" s="93">
        <v>10</v>
      </c>
      <c r="L132" s="55">
        <f t="shared" si="23"/>
        <v>80</v>
      </c>
      <c r="M132" s="56">
        <f t="shared" si="21"/>
        <v>28.799999999999997</v>
      </c>
      <c r="N132" s="55" t="s">
        <v>1</v>
      </c>
      <c r="O132" s="55">
        <v>12</v>
      </c>
      <c r="P132" s="56">
        <f t="shared" si="14"/>
        <v>345.59999999999997</v>
      </c>
      <c r="Q132" s="55" t="s">
        <v>1</v>
      </c>
      <c r="R132" s="55">
        <v>22</v>
      </c>
      <c r="S132" s="56">
        <f t="shared" si="15"/>
        <v>633.59999999999991</v>
      </c>
      <c r="T132" s="55" t="s">
        <v>1</v>
      </c>
      <c r="U132" s="56">
        <f t="shared" si="22"/>
        <v>2.5</v>
      </c>
      <c r="Z132" s="2" t="str">
        <f t="array" ref="Z132">IFERROR(INDEX(Table14[DESIGNATION ARTICLE],SMALL(IF(ISNUMBER(SEARCH(CALCULATEUR!$D$5,Table14[DESIGNATION ARTICLE])),ROW(Table14[DESIGNATION ARTICLE])-4),ROWS($1:128))),"")</f>
        <v/>
      </c>
    </row>
    <row r="133" spans="1:26" ht="14.45" customHeight="1" x14ac:dyDescent="0.25">
      <c r="A133" s="186"/>
      <c r="B133" s="5" t="s">
        <v>161</v>
      </c>
      <c r="C133" s="35">
        <v>646290000000060</v>
      </c>
      <c r="D133" s="11">
        <v>5411545022504</v>
      </c>
      <c r="E133" s="208">
        <v>132</v>
      </c>
      <c r="F133" s="209">
        <v>0.6</v>
      </c>
      <c r="G133" s="209">
        <v>0.6</v>
      </c>
      <c r="H133" s="93">
        <v>6</v>
      </c>
      <c r="I133" s="56">
        <f t="shared" si="20"/>
        <v>2.16</v>
      </c>
      <c r="J133" s="55" t="s">
        <v>1</v>
      </c>
      <c r="K133" s="93">
        <v>12</v>
      </c>
      <c r="L133" s="55">
        <f t="shared" si="23"/>
        <v>72</v>
      </c>
      <c r="M133" s="56">
        <f t="shared" si="21"/>
        <v>25.92</v>
      </c>
      <c r="N133" s="55" t="s">
        <v>1</v>
      </c>
      <c r="O133" s="55">
        <v>12</v>
      </c>
      <c r="P133" s="56">
        <f t="shared" si="14"/>
        <v>311.04000000000002</v>
      </c>
      <c r="Q133" s="55" t="s">
        <v>1</v>
      </c>
      <c r="R133" s="55">
        <v>22</v>
      </c>
      <c r="S133" s="56">
        <f t="shared" si="15"/>
        <v>570.24</v>
      </c>
      <c r="T133" s="55" t="s">
        <v>1</v>
      </c>
      <c r="U133" s="56">
        <f t="shared" si="22"/>
        <v>2.4760000000000004</v>
      </c>
      <c r="Z133" s="2" t="str">
        <f t="array" ref="Z133">IFERROR(INDEX(Table14[DESIGNATION ARTICLE],SMALL(IF(ISNUMBER(SEARCH(CALCULATEUR!$D$5,Table14[DESIGNATION ARTICLE])),ROW(Table14[DESIGNATION ARTICLE])-4),ROWS($1:129))),"")</f>
        <v/>
      </c>
    </row>
    <row r="134" spans="1:26" ht="14.45" customHeight="1" x14ac:dyDescent="0.25">
      <c r="A134" s="186"/>
      <c r="B134" s="5" t="s">
        <v>162</v>
      </c>
      <c r="C134" s="35">
        <v>646290000000086</v>
      </c>
      <c r="D134" s="12">
        <v>5411545022511</v>
      </c>
      <c r="E134" s="206">
        <v>140</v>
      </c>
      <c r="F134" s="207">
        <v>0.6</v>
      </c>
      <c r="G134" s="207">
        <v>0.6</v>
      </c>
      <c r="H134" s="93">
        <v>6</v>
      </c>
      <c r="I134" s="56">
        <f t="shared" si="20"/>
        <v>2.16</v>
      </c>
      <c r="J134" s="55" t="s">
        <v>1</v>
      </c>
      <c r="K134" s="93">
        <v>12</v>
      </c>
      <c r="L134" s="55">
        <f t="shared" si="23"/>
        <v>72</v>
      </c>
      <c r="M134" s="56">
        <f t="shared" si="21"/>
        <v>25.92</v>
      </c>
      <c r="N134" s="55" t="s">
        <v>1</v>
      </c>
      <c r="O134" s="55">
        <v>12</v>
      </c>
      <c r="P134" s="56">
        <f t="shared" si="14"/>
        <v>311.04000000000002</v>
      </c>
      <c r="Q134" s="55" t="s">
        <v>1</v>
      </c>
      <c r="R134" s="55">
        <v>22</v>
      </c>
      <c r="S134" s="56">
        <f t="shared" si="15"/>
        <v>570.24</v>
      </c>
      <c r="T134" s="55" t="s">
        <v>1</v>
      </c>
      <c r="U134" s="56">
        <f t="shared" si="22"/>
        <v>2.6200000000000006</v>
      </c>
      <c r="Z134" s="2" t="str">
        <f t="array" ref="Z134">IFERROR(INDEX(Table14[DESIGNATION ARTICLE],SMALL(IF(ISNUMBER(SEARCH(CALCULATEUR!$D$5,Table14[DESIGNATION ARTICLE])),ROW(Table14[DESIGNATION ARTICLE])-4),ROWS($1:130))),"")</f>
        <v/>
      </c>
    </row>
    <row r="135" spans="1:26" ht="14.45" customHeight="1" x14ac:dyDescent="0.25">
      <c r="A135" s="186"/>
      <c r="B135" s="5" t="s">
        <v>163</v>
      </c>
      <c r="C135" s="35">
        <v>646290000000054</v>
      </c>
      <c r="D135" s="11">
        <v>5411545022528</v>
      </c>
      <c r="E135" s="208">
        <v>150</v>
      </c>
      <c r="F135" s="209">
        <v>0.6</v>
      </c>
      <c r="G135" s="209">
        <v>0.6</v>
      </c>
      <c r="H135" s="93">
        <v>6</v>
      </c>
      <c r="I135" s="56">
        <f t="shared" ref="I135:I156" si="24">H135*(F135*G135)</f>
        <v>2.16</v>
      </c>
      <c r="J135" s="90" t="s">
        <v>1</v>
      </c>
      <c r="K135" s="93">
        <v>10</v>
      </c>
      <c r="L135" s="55">
        <f t="shared" si="23"/>
        <v>60</v>
      </c>
      <c r="M135" s="56">
        <f t="shared" si="21"/>
        <v>21.6</v>
      </c>
      <c r="N135" s="90" t="s">
        <v>1</v>
      </c>
      <c r="O135" s="90">
        <v>12</v>
      </c>
      <c r="P135" s="56">
        <f t="shared" si="14"/>
        <v>259.20000000000005</v>
      </c>
      <c r="Q135" s="90" t="s">
        <v>1</v>
      </c>
      <c r="R135" s="90">
        <v>22</v>
      </c>
      <c r="S135" s="56">
        <f t="shared" si="15"/>
        <v>475.20000000000005</v>
      </c>
      <c r="T135" s="90" t="s">
        <v>1</v>
      </c>
      <c r="U135" s="56">
        <f t="shared" si="22"/>
        <v>2.35</v>
      </c>
      <c r="Z135" s="2" t="str">
        <f t="array" ref="Z135">IFERROR(INDEX(Table14[DESIGNATION ARTICLE],SMALL(IF(ISNUMBER(SEARCH(CALCULATEUR!$D$5,Table14[DESIGNATION ARTICLE])),ROW(Table14[DESIGNATION ARTICLE])-4),ROWS($1:131))),"")</f>
        <v/>
      </c>
    </row>
    <row r="136" spans="1:26" ht="14.45" customHeight="1" thickBot="1" x14ac:dyDescent="0.3">
      <c r="A136" s="186"/>
      <c r="B136" s="136" t="s">
        <v>164</v>
      </c>
      <c r="C136" s="36">
        <v>646290000000088</v>
      </c>
      <c r="D136" s="8">
        <v>5411545022535</v>
      </c>
      <c r="E136" s="212">
        <v>160</v>
      </c>
      <c r="F136" s="213">
        <v>0.6</v>
      </c>
      <c r="G136" s="213">
        <v>0.6</v>
      </c>
      <c r="H136" s="94">
        <v>6</v>
      </c>
      <c r="I136" s="58">
        <f t="shared" si="24"/>
        <v>2.16</v>
      </c>
      <c r="J136" s="96" t="s">
        <v>1</v>
      </c>
      <c r="K136" s="94">
        <v>10</v>
      </c>
      <c r="L136" s="57">
        <f t="shared" si="23"/>
        <v>60</v>
      </c>
      <c r="M136" s="58">
        <f t="shared" si="21"/>
        <v>21.6</v>
      </c>
      <c r="N136" s="96" t="s">
        <v>1</v>
      </c>
      <c r="O136" s="96">
        <v>12</v>
      </c>
      <c r="P136" s="56">
        <f t="shared" si="14"/>
        <v>259.20000000000005</v>
      </c>
      <c r="Q136" s="96" t="s">
        <v>1</v>
      </c>
      <c r="R136" s="96">
        <v>22</v>
      </c>
      <c r="S136" s="58">
        <f t="shared" si="15"/>
        <v>475.20000000000005</v>
      </c>
      <c r="T136" s="96" t="s">
        <v>1</v>
      </c>
      <c r="U136" s="58">
        <f t="shared" si="22"/>
        <v>2.5</v>
      </c>
      <c r="Z136" s="2" t="str">
        <f t="array" ref="Z136">IFERROR(INDEX(Table14[DESIGNATION ARTICLE],SMALL(IF(ISNUMBER(SEARCH(CALCULATEUR!$D$5,Table14[DESIGNATION ARTICLE])),ROW(Table14[DESIGNATION ARTICLE])-4),ROWS($1:132))),"")</f>
        <v/>
      </c>
    </row>
    <row r="137" spans="1:26" ht="14.45" customHeight="1" x14ac:dyDescent="0.25">
      <c r="A137" s="186"/>
      <c r="B137" s="137" t="s">
        <v>165</v>
      </c>
      <c r="C137" s="13">
        <v>646030000000001</v>
      </c>
      <c r="D137" s="11">
        <v>5411545018408</v>
      </c>
      <c r="E137" s="214">
        <v>30</v>
      </c>
      <c r="F137" s="215">
        <v>1.2</v>
      </c>
      <c r="G137" s="215">
        <v>0.6</v>
      </c>
      <c r="H137" s="61">
        <v>16</v>
      </c>
      <c r="I137" s="60">
        <f t="shared" si="24"/>
        <v>11.52</v>
      </c>
      <c r="J137" s="59" t="s">
        <v>1</v>
      </c>
      <c r="K137" s="59">
        <v>10</v>
      </c>
      <c r="L137" s="55">
        <f t="shared" si="23"/>
        <v>160</v>
      </c>
      <c r="M137" s="60">
        <f t="shared" si="21"/>
        <v>115.19999999999999</v>
      </c>
      <c r="N137" s="59" t="s">
        <v>1</v>
      </c>
      <c r="O137" s="59">
        <v>12</v>
      </c>
      <c r="P137" s="60">
        <f t="shared" ref="P137:P156" si="25">M137*O137</f>
        <v>1382.3999999999999</v>
      </c>
      <c r="Q137" s="59" t="s">
        <v>1</v>
      </c>
      <c r="R137" s="59">
        <v>22</v>
      </c>
      <c r="S137" s="56">
        <f t="shared" ref="S137:S200" si="26">R137*M137</f>
        <v>2534.3999999999996</v>
      </c>
      <c r="T137" s="59" t="s">
        <v>1</v>
      </c>
      <c r="U137" s="56">
        <f t="shared" ref="U137:U151" si="27">0.1+(L137*(E137/1000))/2</f>
        <v>2.5</v>
      </c>
      <c r="Z137" s="2" t="str">
        <f t="array" ref="Z137">IFERROR(INDEX(Table14[DESIGNATION ARTICLE],SMALL(IF(ISNUMBER(SEARCH(CALCULATEUR!$D$5,Table14[DESIGNATION ARTICLE])),ROW(Table14[DESIGNATION ARTICLE])-4),ROWS($1:133))),"")</f>
        <v/>
      </c>
    </row>
    <row r="138" spans="1:26" ht="14.45" customHeight="1" x14ac:dyDescent="0.25">
      <c r="A138" s="186"/>
      <c r="B138" s="5" t="s">
        <v>166</v>
      </c>
      <c r="C138" s="31">
        <v>646030000000002</v>
      </c>
      <c r="D138" s="12">
        <v>5411545018392</v>
      </c>
      <c r="E138" s="206">
        <v>40</v>
      </c>
      <c r="F138" s="207">
        <v>1.2</v>
      </c>
      <c r="G138" s="207">
        <v>0.6</v>
      </c>
      <c r="H138" s="71">
        <v>12</v>
      </c>
      <c r="I138" s="56">
        <f t="shared" si="24"/>
        <v>8.64</v>
      </c>
      <c r="J138" s="90" t="s">
        <v>1</v>
      </c>
      <c r="K138" s="55">
        <v>10</v>
      </c>
      <c r="L138" s="55">
        <f t="shared" si="23"/>
        <v>120</v>
      </c>
      <c r="M138" s="56">
        <f t="shared" si="21"/>
        <v>86.4</v>
      </c>
      <c r="N138" s="90" t="s">
        <v>1</v>
      </c>
      <c r="O138" s="90">
        <v>12</v>
      </c>
      <c r="P138" s="56">
        <f t="shared" si="25"/>
        <v>1036.8000000000002</v>
      </c>
      <c r="Q138" s="90" t="s">
        <v>1</v>
      </c>
      <c r="R138" s="90">
        <v>22</v>
      </c>
      <c r="S138" s="56">
        <f t="shared" si="26"/>
        <v>1900.8000000000002</v>
      </c>
      <c r="T138" s="90" t="s">
        <v>1</v>
      </c>
      <c r="U138" s="56">
        <f t="shared" si="27"/>
        <v>2.5</v>
      </c>
      <c r="Z138" s="2" t="str">
        <f t="array" ref="Z138">IFERROR(INDEX(Table14[DESIGNATION ARTICLE],SMALL(IF(ISNUMBER(SEARCH(CALCULATEUR!$D$5,Table14[DESIGNATION ARTICLE])),ROW(Table14[DESIGNATION ARTICLE])-4),ROWS($1:134))),"")</f>
        <v/>
      </c>
    </row>
    <row r="139" spans="1:26" ht="14.45" customHeight="1" x14ac:dyDescent="0.25">
      <c r="A139" s="186"/>
      <c r="B139" s="5" t="s">
        <v>167</v>
      </c>
      <c r="C139" s="14">
        <v>646030000000003</v>
      </c>
      <c r="D139" s="11">
        <v>5411545018385</v>
      </c>
      <c r="E139" s="208">
        <v>50</v>
      </c>
      <c r="F139" s="209">
        <v>1.2</v>
      </c>
      <c r="G139" s="209">
        <v>0.6</v>
      </c>
      <c r="H139" s="62">
        <v>10</v>
      </c>
      <c r="I139" s="56">
        <f t="shared" si="24"/>
        <v>7.1999999999999993</v>
      </c>
      <c r="J139" s="55" t="s">
        <v>1</v>
      </c>
      <c r="K139" s="55">
        <v>10</v>
      </c>
      <c r="L139" s="55">
        <f t="shared" si="23"/>
        <v>100</v>
      </c>
      <c r="M139" s="56">
        <f t="shared" si="21"/>
        <v>72</v>
      </c>
      <c r="N139" s="55" t="s">
        <v>1</v>
      </c>
      <c r="O139" s="55">
        <v>12</v>
      </c>
      <c r="P139" s="56">
        <f t="shared" si="25"/>
        <v>864</v>
      </c>
      <c r="Q139" s="55" t="s">
        <v>1</v>
      </c>
      <c r="R139" s="55">
        <v>22</v>
      </c>
      <c r="S139" s="56">
        <f t="shared" si="26"/>
        <v>1584</v>
      </c>
      <c r="T139" s="55" t="s">
        <v>1</v>
      </c>
      <c r="U139" s="56">
        <f t="shared" si="27"/>
        <v>2.6</v>
      </c>
      <c r="Z139" s="2" t="str">
        <f t="array" ref="Z139">IFERROR(INDEX(Table14[DESIGNATION ARTICLE],SMALL(IF(ISNUMBER(SEARCH(CALCULATEUR!$D$5,Table14[DESIGNATION ARTICLE])),ROW(Table14[DESIGNATION ARTICLE])-4),ROWS($1:135))),"")</f>
        <v/>
      </c>
    </row>
    <row r="140" spans="1:26" ht="14.45" customHeight="1" x14ac:dyDescent="0.25">
      <c r="A140" s="186"/>
      <c r="B140" s="5" t="s">
        <v>168</v>
      </c>
      <c r="C140" s="31">
        <v>646030000000004</v>
      </c>
      <c r="D140" s="12">
        <v>5411545018378</v>
      </c>
      <c r="E140" s="206">
        <v>60</v>
      </c>
      <c r="F140" s="207">
        <v>1.2</v>
      </c>
      <c r="G140" s="207">
        <v>0.6</v>
      </c>
      <c r="H140" s="71">
        <v>8</v>
      </c>
      <c r="I140" s="56">
        <f t="shared" si="24"/>
        <v>5.76</v>
      </c>
      <c r="J140" s="90" t="s">
        <v>1</v>
      </c>
      <c r="K140" s="55">
        <v>10</v>
      </c>
      <c r="L140" s="55">
        <f t="shared" si="23"/>
        <v>80</v>
      </c>
      <c r="M140" s="56">
        <f t="shared" si="21"/>
        <v>57.599999999999994</v>
      </c>
      <c r="N140" s="90" t="s">
        <v>1</v>
      </c>
      <c r="O140" s="90">
        <v>12</v>
      </c>
      <c r="P140" s="56">
        <f t="shared" si="25"/>
        <v>691.19999999999993</v>
      </c>
      <c r="Q140" s="90" t="s">
        <v>1</v>
      </c>
      <c r="R140" s="90">
        <v>22</v>
      </c>
      <c r="S140" s="56">
        <f t="shared" si="26"/>
        <v>1267.1999999999998</v>
      </c>
      <c r="T140" s="90" t="s">
        <v>1</v>
      </c>
      <c r="U140" s="56">
        <f t="shared" si="27"/>
        <v>2.5</v>
      </c>
      <c r="Z140" s="2" t="str">
        <f t="array" ref="Z140">IFERROR(INDEX(Table14[DESIGNATION ARTICLE],SMALL(IF(ISNUMBER(SEARCH(CALCULATEUR!$D$5,Table14[DESIGNATION ARTICLE])),ROW(Table14[DESIGNATION ARTICLE])-4),ROWS($1:136))),"")</f>
        <v/>
      </c>
    </row>
    <row r="141" spans="1:26" ht="14.45" customHeight="1" x14ac:dyDescent="0.25">
      <c r="A141" s="186"/>
      <c r="B141" s="5" t="s">
        <v>169</v>
      </c>
      <c r="C141" s="14">
        <v>646030000000005</v>
      </c>
      <c r="D141" s="11">
        <v>5411545018361</v>
      </c>
      <c r="E141" s="208">
        <v>70</v>
      </c>
      <c r="F141" s="209">
        <v>1.2</v>
      </c>
      <c r="G141" s="209">
        <v>0.6</v>
      </c>
      <c r="H141" s="62">
        <v>7</v>
      </c>
      <c r="I141" s="56">
        <f t="shared" si="24"/>
        <v>5.04</v>
      </c>
      <c r="J141" s="55" t="s">
        <v>1</v>
      </c>
      <c r="K141" s="55">
        <v>10</v>
      </c>
      <c r="L141" s="55">
        <f t="shared" si="23"/>
        <v>70</v>
      </c>
      <c r="M141" s="56">
        <f t="shared" ref="M141:M156" si="28">I141*K141</f>
        <v>50.4</v>
      </c>
      <c r="N141" s="55" t="s">
        <v>1</v>
      </c>
      <c r="O141" s="55">
        <v>12</v>
      </c>
      <c r="P141" s="56">
        <f t="shared" si="25"/>
        <v>604.79999999999995</v>
      </c>
      <c r="Q141" s="55" t="s">
        <v>1</v>
      </c>
      <c r="R141" s="55">
        <v>22</v>
      </c>
      <c r="S141" s="56">
        <f t="shared" si="26"/>
        <v>1108.8</v>
      </c>
      <c r="T141" s="55" t="s">
        <v>1</v>
      </c>
      <c r="U141" s="56">
        <f t="shared" si="27"/>
        <v>2.5500000000000003</v>
      </c>
      <c r="Z141" s="2" t="str">
        <f t="array" ref="Z141">IFERROR(INDEX(Table14[DESIGNATION ARTICLE],SMALL(IF(ISNUMBER(SEARCH(CALCULATEUR!$D$5,Table14[DESIGNATION ARTICLE])),ROW(Table14[DESIGNATION ARTICLE])-4),ROWS($1:137))),"")</f>
        <v/>
      </c>
    </row>
    <row r="142" spans="1:26" ht="14.45" customHeight="1" x14ac:dyDescent="0.25">
      <c r="A142" s="186"/>
      <c r="B142" s="5" t="s">
        <v>170</v>
      </c>
      <c r="C142" s="31">
        <v>646030000000402</v>
      </c>
      <c r="D142" s="12">
        <v>5411545018323</v>
      </c>
      <c r="E142" s="206">
        <v>80</v>
      </c>
      <c r="F142" s="207">
        <v>1.2</v>
      </c>
      <c r="G142" s="207">
        <v>0.6</v>
      </c>
      <c r="H142" s="71">
        <v>6</v>
      </c>
      <c r="I142" s="56">
        <f t="shared" si="24"/>
        <v>4.32</v>
      </c>
      <c r="J142" s="90" t="s">
        <v>1</v>
      </c>
      <c r="K142" s="55">
        <v>10</v>
      </c>
      <c r="L142" s="55">
        <f t="shared" si="23"/>
        <v>60</v>
      </c>
      <c r="M142" s="56">
        <f t="shared" si="28"/>
        <v>43.2</v>
      </c>
      <c r="N142" s="90" t="s">
        <v>1</v>
      </c>
      <c r="O142" s="90">
        <v>12</v>
      </c>
      <c r="P142" s="56">
        <f t="shared" si="25"/>
        <v>518.40000000000009</v>
      </c>
      <c r="Q142" s="90" t="s">
        <v>1</v>
      </c>
      <c r="R142" s="90">
        <v>22</v>
      </c>
      <c r="S142" s="56">
        <f t="shared" si="26"/>
        <v>950.40000000000009</v>
      </c>
      <c r="T142" s="90" t="s">
        <v>1</v>
      </c>
      <c r="U142" s="56">
        <f t="shared" si="27"/>
        <v>2.5</v>
      </c>
      <c r="Z142" s="2" t="str">
        <f t="array" ref="Z142">IFERROR(INDEX(Table14[DESIGNATION ARTICLE],SMALL(IF(ISNUMBER(SEARCH(CALCULATEUR!$D$5,Table14[DESIGNATION ARTICLE])),ROW(Table14[DESIGNATION ARTICLE])-4),ROWS($1:138))),"")</f>
        <v/>
      </c>
    </row>
    <row r="143" spans="1:26" ht="14.45" customHeight="1" x14ac:dyDescent="0.25">
      <c r="A143" s="186"/>
      <c r="B143" s="5" t="s">
        <v>171</v>
      </c>
      <c r="C143" s="14">
        <v>646030000000404</v>
      </c>
      <c r="D143" s="11">
        <v>5411545018316</v>
      </c>
      <c r="E143" s="208">
        <v>91</v>
      </c>
      <c r="F143" s="209">
        <v>1.2</v>
      </c>
      <c r="G143" s="209">
        <v>0.6</v>
      </c>
      <c r="H143" s="62">
        <v>5</v>
      </c>
      <c r="I143" s="56">
        <f t="shared" si="24"/>
        <v>3.5999999999999996</v>
      </c>
      <c r="J143" s="55" t="s">
        <v>1</v>
      </c>
      <c r="K143" s="55">
        <v>10</v>
      </c>
      <c r="L143" s="55">
        <f t="shared" si="23"/>
        <v>50</v>
      </c>
      <c r="M143" s="56">
        <f t="shared" si="28"/>
        <v>36</v>
      </c>
      <c r="N143" s="55" t="s">
        <v>1</v>
      </c>
      <c r="O143" s="55">
        <v>12</v>
      </c>
      <c r="P143" s="56">
        <f t="shared" si="25"/>
        <v>432</v>
      </c>
      <c r="Q143" s="55" t="s">
        <v>1</v>
      </c>
      <c r="R143" s="55">
        <v>22</v>
      </c>
      <c r="S143" s="56">
        <f t="shared" si="26"/>
        <v>792</v>
      </c>
      <c r="T143" s="55" t="s">
        <v>1</v>
      </c>
      <c r="U143" s="56">
        <f t="shared" si="27"/>
        <v>2.375</v>
      </c>
      <c r="Z143" s="2" t="str">
        <f t="array" ref="Z143">IFERROR(INDEX(Table14[DESIGNATION ARTICLE],SMALL(IF(ISNUMBER(SEARCH(CALCULATEUR!$D$5,Table14[DESIGNATION ARTICLE])),ROW(Table14[DESIGNATION ARTICLE])-4),ROWS($1:139))),"")</f>
        <v/>
      </c>
    </row>
    <row r="144" spans="1:26" ht="14.45" customHeight="1" x14ac:dyDescent="0.25">
      <c r="A144" s="186"/>
      <c r="B144" s="5" t="s">
        <v>172</v>
      </c>
      <c r="C144" s="31">
        <v>646030000000363</v>
      </c>
      <c r="D144" s="12">
        <v>5411545018330</v>
      </c>
      <c r="E144" s="206">
        <v>100</v>
      </c>
      <c r="F144" s="207">
        <v>1.2</v>
      </c>
      <c r="G144" s="207">
        <v>0.6</v>
      </c>
      <c r="H144" s="71">
        <v>5</v>
      </c>
      <c r="I144" s="56">
        <f t="shared" si="24"/>
        <v>3.5999999999999996</v>
      </c>
      <c r="J144" s="90" t="s">
        <v>1</v>
      </c>
      <c r="K144" s="55">
        <v>10</v>
      </c>
      <c r="L144" s="55">
        <f t="shared" si="23"/>
        <v>50</v>
      </c>
      <c r="M144" s="56">
        <f t="shared" si="28"/>
        <v>36</v>
      </c>
      <c r="N144" s="90" t="s">
        <v>1</v>
      </c>
      <c r="O144" s="90">
        <v>12</v>
      </c>
      <c r="P144" s="56">
        <f t="shared" si="25"/>
        <v>432</v>
      </c>
      <c r="Q144" s="90" t="s">
        <v>1</v>
      </c>
      <c r="R144" s="90">
        <v>22</v>
      </c>
      <c r="S144" s="56">
        <f t="shared" si="26"/>
        <v>792</v>
      </c>
      <c r="T144" s="90" t="s">
        <v>1</v>
      </c>
      <c r="U144" s="56">
        <f t="shared" si="27"/>
        <v>2.6</v>
      </c>
      <c r="Z144" s="2" t="str">
        <f t="array" ref="Z144">IFERROR(INDEX(Table14[DESIGNATION ARTICLE],SMALL(IF(ISNUMBER(SEARCH(CALCULATEUR!$D$5,Table14[DESIGNATION ARTICLE])),ROW(Table14[DESIGNATION ARTICLE])-4),ROWS($1:140))),"")</f>
        <v/>
      </c>
    </row>
    <row r="145" spans="1:26" ht="14.45" customHeight="1" x14ac:dyDescent="0.25">
      <c r="A145" s="186"/>
      <c r="B145" s="5" t="s">
        <v>173</v>
      </c>
      <c r="C145" s="14">
        <v>646030000000406</v>
      </c>
      <c r="D145" s="11">
        <v>5411545022542</v>
      </c>
      <c r="E145" s="208">
        <v>110</v>
      </c>
      <c r="F145" s="209">
        <v>1.2</v>
      </c>
      <c r="G145" s="209">
        <v>0.6</v>
      </c>
      <c r="H145" s="62">
        <v>4</v>
      </c>
      <c r="I145" s="56">
        <f t="shared" si="24"/>
        <v>2.88</v>
      </c>
      <c r="J145" s="55" t="s">
        <v>1</v>
      </c>
      <c r="K145" s="55">
        <v>10</v>
      </c>
      <c r="L145" s="55">
        <f t="shared" si="23"/>
        <v>40</v>
      </c>
      <c r="M145" s="56">
        <f t="shared" si="28"/>
        <v>28.799999999999997</v>
      </c>
      <c r="N145" s="55" t="s">
        <v>1</v>
      </c>
      <c r="O145" s="55">
        <v>12</v>
      </c>
      <c r="P145" s="56">
        <f t="shared" si="25"/>
        <v>345.59999999999997</v>
      </c>
      <c r="Q145" s="55" t="s">
        <v>1</v>
      </c>
      <c r="R145" s="55">
        <v>22</v>
      </c>
      <c r="S145" s="56">
        <f t="shared" si="26"/>
        <v>633.59999999999991</v>
      </c>
      <c r="T145" s="55" t="s">
        <v>1</v>
      </c>
      <c r="U145" s="56">
        <f t="shared" si="27"/>
        <v>2.3000000000000003</v>
      </c>
      <c r="Z145" s="2" t="str">
        <f t="array" ref="Z145">IFERROR(INDEX(Table14[DESIGNATION ARTICLE],SMALL(IF(ISNUMBER(SEARCH(CALCULATEUR!$D$5,Table14[DESIGNATION ARTICLE])),ROW(Table14[DESIGNATION ARTICLE])-4),ROWS($1:141))),"")</f>
        <v/>
      </c>
    </row>
    <row r="146" spans="1:26" ht="14.45" customHeight="1" thickBot="1" x14ac:dyDescent="0.3">
      <c r="A146" s="186"/>
      <c r="B146" s="136" t="s">
        <v>174</v>
      </c>
      <c r="C146" s="32">
        <v>646030000000150</v>
      </c>
      <c r="D146" s="12">
        <v>5411545018354</v>
      </c>
      <c r="E146" s="212">
        <v>120</v>
      </c>
      <c r="F146" s="213">
        <v>1.2</v>
      </c>
      <c r="G146" s="213">
        <v>0.6</v>
      </c>
      <c r="H146" s="74">
        <v>4</v>
      </c>
      <c r="I146" s="58">
        <f t="shared" si="24"/>
        <v>2.88</v>
      </c>
      <c r="J146" s="96" t="s">
        <v>1</v>
      </c>
      <c r="K146" s="57">
        <v>10</v>
      </c>
      <c r="L146" s="57">
        <f t="shared" si="23"/>
        <v>40</v>
      </c>
      <c r="M146" s="58">
        <f t="shared" si="28"/>
        <v>28.799999999999997</v>
      </c>
      <c r="N146" s="96" t="s">
        <v>1</v>
      </c>
      <c r="O146" s="96">
        <v>12</v>
      </c>
      <c r="P146" s="56">
        <f t="shared" si="25"/>
        <v>345.59999999999997</v>
      </c>
      <c r="Q146" s="96" t="s">
        <v>1</v>
      </c>
      <c r="R146" s="96">
        <v>22</v>
      </c>
      <c r="S146" s="58">
        <f t="shared" si="26"/>
        <v>633.59999999999991</v>
      </c>
      <c r="T146" s="96" t="s">
        <v>1</v>
      </c>
      <c r="U146" s="58">
        <f t="shared" si="27"/>
        <v>2.5</v>
      </c>
      <c r="Z146" s="2" t="str">
        <f t="array" ref="Z146">IFERROR(INDEX(Table14[DESIGNATION ARTICLE],SMALL(IF(ISNUMBER(SEARCH(CALCULATEUR!$D$5,Table14[DESIGNATION ARTICLE])),ROW(Table14[DESIGNATION ARTICLE])-4),ROWS($1:142))),"")</f>
        <v/>
      </c>
    </row>
    <row r="147" spans="1:26" ht="14.45" customHeight="1" x14ac:dyDescent="0.25">
      <c r="A147" s="186"/>
      <c r="B147" s="137" t="s">
        <v>175</v>
      </c>
      <c r="C147" s="13">
        <v>640310000000170</v>
      </c>
      <c r="D147" s="9">
        <v>5411545026953</v>
      </c>
      <c r="E147" s="112">
        <v>42.5</v>
      </c>
      <c r="F147" s="215">
        <v>1.2</v>
      </c>
      <c r="G147" s="215">
        <v>0.6</v>
      </c>
      <c r="H147" s="61">
        <v>10</v>
      </c>
      <c r="I147" s="60">
        <f t="shared" si="24"/>
        <v>7.1999999999999993</v>
      </c>
      <c r="J147" s="59" t="s">
        <v>1</v>
      </c>
      <c r="K147" s="59">
        <v>10</v>
      </c>
      <c r="L147" s="55">
        <f t="shared" si="23"/>
        <v>100</v>
      </c>
      <c r="M147" s="60">
        <f t="shared" si="28"/>
        <v>72</v>
      </c>
      <c r="N147" s="59" t="s">
        <v>1</v>
      </c>
      <c r="O147" s="59">
        <v>12</v>
      </c>
      <c r="P147" s="60">
        <f t="shared" si="25"/>
        <v>864</v>
      </c>
      <c r="Q147" s="59" t="s">
        <v>1</v>
      </c>
      <c r="R147" s="59">
        <v>22</v>
      </c>
      <c r="S147" s="56">
        <f t="shared" si="26"/>
        <v>1584</v>
      </c>
      <c r="T147" s="59" t="s">
        <v>1</v>
      </c>
      <c r="U147" s="56">
        <f t="shared" si="27"/>
        <v>2.2250000000000001</v>
      </c>
      <c r="Z147" s="2" t="str">
        <f t="array" ref="Z147">IFERROR(INDEX(Table14[DESIGNATION ARTICLE],SMALL(IF(ISNUMBER(SEARCH(CALCULATEUR!$D$5,Table14[DESIGNATION ARTICLE])),ROW(Table14[DESIGNATION ARTICLE])-4),ROWS($1:143))),"")</f>
        <v/>
      </c>
    </row>
    <row r="148" spans="1:26" ht="14.45" customHeight="1" x14ac:dyDescent="0.25">
      <c r="A148" s="186"/>
      <c r="B148" s="5" t="s">
        <v>176</v>
      </c>
      <c r="C148" s="31">
        <v>640310000000173</v>
      </c>
      <c r="D148" s="12">
        <v>5411545026977</v>
      </c>
      <c r="E148" s="218">
        <v>67.5</v>
      </c>
      <c r="F148" s="207">
        <v>1.2</v>
      </c>
      <c r="G148" s="207">
        <v>0.6</v>
      </c>
      <c r="H148" s="71">
        <v>6</v>
      </c>
      <c r="I148" s="56">
        <f t="shared" si="24"/>
        <v>4.32</v>
      </c>
      <c r="J148" s="90" t="s">
        <v>1</v>
      </c>
      <c r="K148" s="55">
        <v>12</v>
      </c>
      <c r="L148" s="55">
        <f t="shared" si="23"/>
        <v>72</v>
      </c>
      <c r="M148" s="56">
        <f t="shared" si="28"/>
        <v>51.84</v>
      </c>
      <c r="N148" s="90" t="s">
        <v>1</v>
      </c>
      <c r="O148" s="90">
        <v>12</v>
      </c>
      <c r="P148" s="56">
        <f t="shared" si="25"/>
        <v>622.08000000000004</v>
      </c>
      <c r="Q148" s="90" t="s">
        <v>1</v>
      </c>
      <c r="R148" s="90">
        <v>22</v>
      </c>
      <c r="S148" s="56">
        <f t="shared" si="26"/>
        <v>1140.48</v>
      </c>
      <c r="T148" s="90" t="s">
        <v>1</v>
      </c>
      <c r="U148" s="56">
        <f t="shared" si="27"/>
        <v>2.5300000000000002</v>
      </c>
      <c r="Z148" s="2" t="str">
        <f t="array" ref="Z148">IFERROR(INDEX(Table14[DESIGNATION ARTICLE],SMALL(IF(ISNUMBER(SEARCH(CALCULATEUR!$D$5,Table14[DESIGNATION ARTICLE])),ROW(Table14[DESIGNATION ARTICLE])-4),ROWS($1:144))),"")</f>
        <v/>
      </c>
    </row>
    <row r="149" spans="1:26" ht="14.45" customHeight="1" x14ac:dyDescent="0.25">
      <c r="A149" s="186"/>
      <c r="B149" s="5" t="s">
        <v>177</v>
      </c>
      <c r="C149" s="14">
        <v>640310000000175</v>
      </c>
      <c r="D149" s="11">
        <v>5411545026991</v>
      </c>
      <c r="E149" s="122">
        <v>92.5</v>
      </c>
      <c r="F149" s="209">
        <v>1.2</v>
      </c>
      <c r="G149" s="209">
        <v>0.6</v>
      </c>
      <c r="H149" s="62">
        <v>6</v>
      </c>
      <c r="I149" s="56">
        <f t="shared" si="24"/>
        <v>4.32</v>
      </c>
      <c r="J149" s="55" t="s">
        <v>1</v>
      </c>
      <c r="K149" s="55">
        <v>8</v>
      </c>
      <c r="L149" s="55">
        <f t="shared" si="23"/>
        <v>48</v>
      </c>
      <c r="M149" s="56">
        <f t="shared" si="28"/>
        <v>34.56</v>
      </c>
      <c r="N149" s="55" t="s">
        <v>1</v>
      </c>
      <c r="O149" s="55">
        <v>12</v>
      </c>
      <c r="P149" s="56">
        <f t="shared" si="25"/>
        <v>414.72</v>
      </c>
      <c r="Q149" s="55" t="s">
        <v>1</v>
      </c>
      <c r="R149" s="55">
        <v>22</v>
      </c>
      <c r="S149" s="56">
        <f t="shared" si="26"/>
        <v>760.32</v>
      </c>
      <c r="T149" s="55" t="s">
        <v>1</v>
      </c>
      <c r="U149" s="56">
        <f t="shared" si="27"/>
        <v>2.3199999999999998</v>
      </c>
      <c r="Z149" s="2" t="str">
        <f t="array" ref="Z149">IFERROR(INDEX(Table14[DESIGNATION ARTICLE],SMALL(IF(ISNUMBER(SEARCH(CALCULATEUR!$D$5,Table14[DESIGNATION ARTICLE])),ROW(Table14[DESIGNATION ARTICLE])-4),ROWS($1:145))),"")</f>
        <v/>
      </c>
    </row>
    <row r="150" spans="1:26" ht="14.45" customHeight="1" x14ac:dyDescent="0.25">
      <c r="A150" s="186"/>
      <c r="B150" s="5" t="s">
        <v>178</v>
      </c>
      <c r="C150" s="31">
        <v>640310000000176</v>
      </c>
      <c r="D150" s="12">
        <v>5411545027011</v>
      </c>
      <c r="E150" s="218">
        <v>117.5</v>
      </c>
      <c r="F150" s="207">
        <v>1.2</v>
      </c>
      <c r="G150" s="207">
        <v>0.6</v>
      </c>
      <c r="H150" s="71">
        <v>4</v>
      </c>
      <c r="I150" s="56">
        <f t="shared" si="24"/>
        <v>2.88</v>
      </c>
      <c r="J150" s="90" t="s">
        <v>1</v>
      </c>
      <c r="K150" s="55">
        <v>10</v>
      </c>
      <c r="L150" s="55">
        <f t="shared" si="23"/>
        <v>40</v>
      </c>
      <c r="M150" s="56">
        <f t="shared" si="28"/>
        <v>28.799999999999997</v>
      </c>
      <c r="N150" s="90" t="s">
        <v>1</v>
      </c>
      <c r="O150" s="90">
        <v>12</v>
      </c>
      <c r="P150" s="56">
        <f t="shared" si="25"/>
        <v>345.59999999999997</v>
      </c>
      <c r="Q150" s="90" t="s">
        <v>1</v>
      </c>
      <c r="R150" s="90">
        <v>22</v>
      </c>
      <c r="S150" s="56">
        <f t="shared" si="26"/>
        <v>633.59999999999991</v>
      </c>
      <c r="T150" s="90" t="s">
        <v>1</v>
      </c>
      <c r="U150" s="56">
        <f t="shared" si="27"/>
        <v>2.4499999999999997</v>
      </c>
      <c r="Z150" s="2" t="str">
        <f t="array" ref="Z150">IFERROR(INDEX(Table14[DESIGNATION ARTICLE],SMALL(IF(ISNUMBER(SEARCH(CALCULATEUR!$D$5,Table14[DESIGNATION ARTICLE])),ROW(Table14[DESIGNATION ARTICLE])-4),ROWS($1:146))),"")</f>
        <v/>
      </c>
    </row>
    <row r="151" spans="1:26" ht="14.45" customHeight="1" x14ac:dyDescent="0.25">
      <c r="A151" s="186"/>
      <c r="B151" s="5" t="s">
        <v>179</v>
      </c>
      <c r="C151" s="14">
        <v>640310000000128</v>
      </c>
      <c r="D151" s="11">
        <v>5411545018613</v>
      </c>
      <c r="E151" s="122">
        <v>60</v>
      </c>
      <c r="F151" s="209">
        <v>1.2</v>
      </c>
      <c r="G151" s="209">
        <v>1.2</v>
      </c>
      <c r="H151" s="62">
        <v>12</v>
      </c>
      <c r="I151" s="56">
        <f t="shared" si="24"/>
        <v>17.28</v>
      </c>
      <c r="J151" s="55" t="s">
        <v>1</v>
      </c>
      <c r="K151" s="55">
        <v>5</v>
      </c>
      <c r="L151" s="55">
        <f t="shared" si="23"/>
        <v>60</v>
      </c>
      <c r="M151" s="56">
        <f t="shared" si="28"/>
        <v>86.4</v>
      </c>
      <c r="N151" s="55" t="s">
        <v>1</v>
      </c>
      <c r="O151" s="55">
        <v>12</v>
      </c>
      <c r="P151" s="56">
        <f t="shared" si="25"/>
        <v>1036.8000000000002</v>
      </c>
      <c r="Q151" s="55" t="s">
        <v>1</v>
      </c>
      <c r="R151" s="55">
        <v>22</v>
      </c>
      <c r="S151" s="56">
        <f t="shared" si="26"/>
        <v>1900.8000000000002</v>
      </c>
      <c r="T151" s="55" t="s">
        <v>1</v>
      </c>
      <c r="U151" s="56">
        <f t="shared" si="27"/>
        <v>1.9</v>
      </c>
      <c r="Z151" s="2" t="str">
        <f t="array" ref="Z151">IFERROR(INDEX(Table14[DESIGNATION ARTICLE],SMALL(IF(ISNUMBER(SEARCH(CALCULATEUR!$D$5,Table14[DESIGNATION ARTICLE])),ROW(Table14[DESIGNATION ARTICLE])-4),ROWS($1:147))),"")</f>
        <v/>
      </c>
    </row>
    <row r="152" spans="1:26" ht="14.45" customHeight="1" x14ac:dyDescent="0.25">
      <c r="A152" s="186"/>
      <c r="B152" s="5" t="s">
        <v>180</v>
      </c>
      <c r="C152" s="31">
        <v>640310000000129</v>
      </c>
      <c r="D152" s="12">
        <v>5411545018606</v>
      </c>
      <c r="E152" s="218">
        <v>52.5</v>
      </c>
      <c r="F152" s="207">
        <v>1.2</v>
      </c>
      <c r="G152" s="207">
        <v>1.2</v>
      </c>
      <c r="H152" s="71">
        <v>8</v>
      </c>
      <c r="I152" s="56">
        <f t="shared" si="24"/>
        <v>11.52</v>
      </c>
      <c r="J152" s="90" t="s">
        <v>1</v>
      </c>
      <c r="K152" s="55">
        <v>5</v>
      </c>
      <c r="L152" s="55">
        <f t="shared" si="23"/>
        <v>40</v>
      </c>
      <c r="M152" s="56">
        <f t="shared" si="28"/>
        <v>57.599999999999994</v>
      </c>
      <c r="N152" s="90" t="s">
        <v>1</v>
      </c>
      <c r="O152" s="90">
        <v>12</v>
      </c>
      <c r="P152" s="56">
        <f t="shared" si="25"/>
        <v>691.19999999999993</v>
      </c>
      <c r="Q152" s="90" t="s">
        <v>1</v>
      </c>
      <c r="R152" s="90">
        <v>22</v>
      </c>
      <c r="S152" s="56">
        <f t="shared" si="26"/>
        <v>1267.1999999999998</v>
      </c>
      <c r="T152" s="90" t="s">
        <v>1</v>
      </c>
      <c r="U152" s="56">
        <f>0.1+(L152*(E152/1000))</f>
        <v>2.2000000000000002</v>
      </c>
      <c r="Z152" s="2" t="str">
        <f t="array" ref="Z152">IFERROR(INDEX(Table14[DESIGNATION ARTICLE],SMALL(IF(ISNUMBER(SEARCH(CALCULATEUR!$D$5,Table14[DESIGNATION ARTICLE])),ROW(Table14[DESIGNATION ARTICLE])-4),ROWS($1:148))),"")</f>
        <v/>
      </c>
    </row>
    <row r="153" spans="1:26" ht="14.45" customHeight="1" x14ac:dyDescent="0.25">
      <c r="A153" s="186"/>
      <c r="B153" s="5" t="s">
        <v>181</v>
      </c>
      <c r="C153" s="14">
        <v>640310000000122</v>
      </c>
      <c r="D153" s="11">
        <v>5411545018651</v>
      </c>
      <c r="E153" s="122">
        <v>67.5</v>
      </c>
      <c r="F153" s="209">
        <v>1.2</v>
      </c>
      <c r="G153" s="209">
        <v>1.2</v>
      </c>
      <c r="H153" s="62">
        <v>6</v>
      </c>
      <c r="I153" s="56">
        <f t="shared" si="24"/>
        <v>8.64</v>
      </c>
      <c r="J153" s="55" t="s">
        <v>1</v>
      </c>
      <c r="K153" s="55">
        <v>6</v>
      </c>
      <c r="L153" s="55">
        <f t="shared" si="23"/>
        <v>36</v>
      </c>
      <c r="M153" s="56">
        <f t="shared" si="28"/>
        <v>51.84</v>
      </c>
      <c r="N153" s="55" t="s">
        <v>1</v>
      </c>
      <c r="O153" s="55">
        <v>12</v>
      </c>
      <c r="P153" s="56">
        <f t="shared" si="25"/>
        <v>622.08000000000004</v>
      </c>
      <c r="Q153" s="55" t="s">
        <v>1</v>
      </c>
      <c r="R153" s="55">
        <v>22</v>
      </c>
      <c r="S153" s="56">
        <f t="shared" si="26"/>
        <v>1140.48</v>
      </c>
      <c r="T153" s="55" t="s">
        <v>1</v>
      </c>
      <c r="U153" s="56">
        <f>0.1+(L153*(E153/1000))</f>
        <v>2.5300000000000002</v>
      </c>
      <c r="Z153" s="2" t="str">
        <f t="array" ref="Z153">IFERROR(INDEX(Table14[DESIGNATION ARTICLE],SMALL(IF(ISNUMBER(SEARCH(CALCULATEUR!$D$5,Table14[DESIGNATION ARTICLE])),ROW(Table14[DESIGNATION ARTICLE])-4),ROWS($1:149))),"")</f>
        <v/>
      </c>
    </row>
    <row r="154" spans="1:26" ht="14.45" customHeight="1" x14ac:dyDescent="0.25">
      <c r="A154" s="186"/>
      <c r="B154" s="5" t="s">
        <v>182</v>
      </c>
      <c r="C154" s="31">
        <v>640310000000130</v>
      </c>
      <c r="D154" s="12">
        <v>5411545018590</v>
      </c>
      <c r="E154" s="218">
        <v>82.5</v>
      </c>
      <c r="F154" s="207">
        <v>1.2</v>
      </c>
      <c r="G154" s="207">
        <v>1.2</v>
      </c>
      <c r="H154" s="71">
        <v>6</v>
      </c>
      <c r="I154" s="56">
        <f t="shared" si="24"/>
        <v>8.64</v>
      </c>
      <c r="J154" s="90" t="s">
        <v>1</v>
      </c>
      <c r="K154" s="55">
        <v>5</v>
      </c>
      <c r="L154" s="55">
        <f t="shared" si="23"/>
        <v>30</v>
      </c>
      <c r="M154" s="56">
        <f t="shared" si="28"/>
        <v>43.2</v>
      </c>
      <c r="N154" s="90" t="s">
        <v>1</v>
      </c>
      <c r="O154" s="90">
        <v>12</v>
      </c>
      <c r="P154" s="56">
        <f t="shared" si="25"/>
        <v>518.40000000000009</v>
      </c>
      <c r="Q154" s="90" t="s">
        <v>1</v>
      </c>
      <c r="R154" s="90">
        <v>22</v>
      </c>
      <c r="S154" s="56">
        <f t="shared" si="26"/>
        <v>950.40000000000009</v>
      </c>
      <c r="T154" s="90" t="s">
        <v>1</v>
      </c>
      <c r="U154" s="56">
        <f>0.1+(L154*(E154/1000))</f>
        <v>2.5750000000000002</v>
      </c>
      <c r="Z154" s="2" t="str">
        <f t="array" ref="Z154">IFERROR(INDEX(Table14[DESIGNATION ARTICLE],SMALL(IF(ISNUMBER(SEARCH(CALCULATEUR!$D$5,Table14[DESIGNATION ARTICLE])),ROW(Table14[DESIGNATION ARTICLE])-4),ROWS($1:150))),"")</f>
        <v/>
      </c>
    </row>
    <row r="155" spans="1:26" ht="14.45" customHeight="1" x14ac:dyDescent="0.25">
      <c r="A155" s="186"/>
      <c r="B155" s="5" t="s">
        <v>183</v>
      </c>
      <c r="C155" s="14">
        <v>640310000000131</v>
      </c>
      <c r="D155" s="11">
        <v>5411545018583</v>
      </c>
      <c r="E155" s="122">
        <v>97.5</v>
      </c>
      <c r="F155" s="209">
        <v>1.2</v>
      </c>
      <c r="G155" s="209">
        <v>1.2</v>
      </c>
      <c r="H155" s="62">
        <v>4</v>
      </c>
      <c r="I155" s="56">
        <f t="shared" si="24"/>
        <v>5.76</v>
      </c>
      <c r="J155" s="55" t="s">
        <v>1</v>
      </c>
      <c r="K155" s="55">
        <v>6</v>
      </c>
      <c r="L155" s="55">
        <f t="shared" si="23"/>
        <v>24</v>
      </c>
      <c r="M155" s="56">
        <f t="shared" si="28"/>
        <v>34.56</v>
      </c>
      <c r="N155" s="55" t="s">
        <v>1</v>
      </c>
      <c r="O155" s="55">
        <v>12</v>
      </c>
      <c r="P155" s="56">
        <f t="shared" si="25"/>
        <v>414.72</v>
      </c>
      <c r="Q155" s="55" t="s">
        <v>1</v>
      </c>
      <c r="R155" s="55">
        <v>22</v>
      </c>
      <c r="S155" s="56">
        <f t="shared" si="26"/>
        <v>760.32</v>
      </c>
      <c r="T155" s="55" t="s">
        <v>1</v>
      </c>
      <c r="U155" s="56">
        <f>0.1+(L155*(E155/1000))</f>
        <v>2.44</v>
      </c>
      <c r="Z155" s="2" t="str">
        <f t="array" ref="Z155">IFERROR(INDEX(Table14[DESIGNATION ARTICLE],SMALL(IF(ISNUMBER(SEARCH(CALCULATEUR!$D$5,Table14[DESIGNATION ARTICLE])),ROW(Table14[DESIGNATION ARTICLE])-4),ROWS($1:151))),"")</f>
        <v/>
      </c>
    </row>
    <row r="156" spans="1:26" ht="14.45" customHeight="1" thickBot="1" x14ac:dyDescent="0.3">
      <c r="A156" s="186"/>
      <c r="B156" s="136" t="s">
        <v>184</v>
      </c>
      <c r="C156" s="32">
        <v>640310000000133</v>
      </c>
      <c r="D156" s="8">
        <v>5411545018576</v>
      </c>
      <c r="E156" s="219">
        <v>112.5</v>
      </c>
      <c r="F156" s="213">
        <v>1.2</v>
      </c>
      <c r="G156" s="213">
        <v>1.2</v>
      </c>
      <c r="H156" s="74">
        <v>4</v>
      </c>
      <c r="I156" s="58">
        <f t="shared" si="24"/>
        <v>5.76</v>
      </c>
      <c r="J156" s="96" t="s">
        <v>1</v>
      </c>
      <c r="K156" s="57">
        <v>5</v>
      </c>
      <c r="L156" s="57">
        <f t="shared" si="23"/>
        <v>20</v>
      </c>
      <c r="M156" s="58">
        <f t="shared" si="28"/>
        <v>28.799999999999997</v>
      </c>
      <c r="N156" s="96" t="s">
        <v>1</v>
      </c>
      <c r="O156" s="96">
        <v>12</v>
      </c>
      <c r="P156" s="56">
        <f t="shared" si="25"/>
        <v>345.59999999999997</v>
      </c>
      <c r="Q156" s="96" t="s">
        <v>1</v>
      </c>
      <c r="R156" s="96">
        <v>22</v>
      </c>
      <c r="S156" s="58">
        <f t="shared" si="26"/>
        <v>633.59999999999991</v>
      </c>
      <c r="T156" s="96" t="s">
        <v>1</v>
      </c>
      <c r="U156" s="58">
        <f>0.1+(L156*(E156/1000))</f>
        <v>2.35</v>
      </c>
      <c r="Z156" s="2" t="str">
        <f t="array" ref="Z156">IFERROR(INDEX(Table14[DESIGNATION ARTICLE],SMALL(IF(ISNUMBER(SEARCH(CALCULATEUR!$D$5,Table14[DESIGNATION ARTICLE])),ROW(Table14[DESIGNATION ARTICLE])-4),ROWS($1:152))),"")</f>
        <v/>
      </c>
    </row>
    <row r="157" spans="1:26" ht="14.45" customHeight="1" x14ac:dyDescent="0.25">
      <c r="A157" s="186"/>
      <c r="B157" s="142" t="s">
        <v>185</v>
      </c>
      <c r="C157" s="41">
        <v>661010000000012</v>
      </c>
      <c r="D157" s="44">
        <v>5411545032695</v>
      </c>
      <c r="E157" s="223">
        <v>40</v>
      </c>
      <c r="F157" s="220">
        <v>0.6</v>
      </c>
      <c r="G157" s="220">
        <v>0.3</v>
      </c>
      <c r="H157" s="97"/>
      <c r="I157" s="98"/>
      <c r="J157" s="99"/>
      <c r="K157" s="100"/>
      <c r="L157" s="55">
        <f t="shared" si="23"/>
        <v>0</v>
      </c>
      <c r="M157" s="98"/>
      <c r="N157" s="101"/>
      <c r="O157" s="101"/>
      <c r="P157" s="131"/>
      <c r="Q157" s="101"/>
      <c r="R157" s="101"/>
      <c r="S157" s="56"/>
      <c r="T157" s="101"/>
      <c r="U157" s="56"/>
      <c r="Z157" s="2" t="str">
        <f t="array" ref="Z157">IFERROR(INDEX(Table14[DESIGNATION ARTICLE],SMALL(IF(ISNUMBER(SEARCH(CALCULATEUR!$D$5,Table14[DESIGNATION ARTICLE])),ROW(Table14[DESIGNATION ARTICLE])-4),ROWS($1:153))),"")</f>
        <v/>
      </c>
    </row>
    <row r="158" spans="1:26" ht="14.45" customHeight="1" x14ac:dyDescent="0.25">
      <c r="A158" s="186"/>
      <c r="B158" s="143" t="s">
        <v>186</v>
      </c>
      <c r="C158" s="42">
        <v>661010000000010</v>
      </c>
      <c r="D158" s="45">
        <v>5411545032671</v>
      </c>
      <c r="E158" s="224">
        <v>40</v>
      </c>
      <c r="F158" s="222">
        <v>1.2</v>
      </c>
      <c r="G158" s="222">
        <v>0.3</v>
      </c>
      <c r="H158" s="102"/>
      <c r="I158" s="103"/>
      <c r="J158" s="104"/>
      <c r="K158" s="105"/>
      <c r="L158" s="55">
        <f t="shared" si="23"/>
        <v>0</v>
      </c>
      <c r="M158" s="103"/>
      <c r="N158" s="104"/>
      <c r="O158" s="104"/>
      <c r="P158" s="132"/>
      <c r="Q158" s="104"/>
      <c r="R158" s="104"/>
      <c r="S158" s="56"/>
      <c r="T158" s="104"/>
      <c r="U158" s="56"/>
      <c r="Z158" s="2" t="str">
        <f t="array" ref="Z158">IFERROR(INDEX(Table14[DESIGNATION ARTICLE],SMALL(IF(ISNUMBER(SEARCH(CALCULATEUR!$D$5,Table14[DESIGNATION ARTICLE])),ROW(Table14[DESIGNATION ARTICLE])-4),ROWS($1:154))),"")</f>
        <v/>
      </c>
    </row>
    <row r="159" spans="1:26" ht="14.45" customHeight="1" x14ac:dyDescent="0.25">
      <c r="A159" s="186"/>
      <c r="B159" s="143" t="s">
        <v>187</v>
      </c>
      <c r="C159" s="42">
        <v>661010000000011</v>
      </c>
      <c r="D159" s="44">
        <v>5411545032688</v>
      </c>
      <c r="E159" s="225">
        <v>40</v>
      </c>
      <c r="F159" s="221">
        <v>0.6</v>
      </c>
      <c r="G159" s="221">
        <v>0.6</v>
      </c>
      <c r="H159" s="102"/>
      <c r="I159" s="103"/>
      <c r="J159" s="106"/>
      <c r="K159" s="105"/>
      <c r="L159" s="55">
        <f t="shared" si="23"/>
        <v>0</v>
      </c>
      <c r="M159" s="103"/>
      <c r="N159" s="104"/>
      <c r="O159" s="104"/>
      <c r="P159" s="132"/>
      <c r="Q159" s="104"/>
      <c r="R159" s="104"/>
      <c r="S159" s="56"/>
      <c r="T159" s="104"/>
      <c r="U159" s="56"/>
      <c r="Z159" s="2" t="str">
        <f t="array" ref="Z159">IFERROR(INDEX(Table14[DESIGNATION ARTICLE],SMALL(IF(ISNUMBER(SEARCH(CALCULATEUR!$D$5,Table14[DESIGNATION ARTICLE])),ROW(Table14[DESIGNATION ARTICLE])-4),ROWS($1:155))),"")</f>
        <v/>
      </c>
    </row>
    <row r="160" spans="1:26" ht="14.45" customHeight="1" x14ac:dyDescent="0.25">
      <c r="A160" s="186"/>
      <c r="B160" s="143" t="s">
        <v>188</v>
      </c>
      <c r="C160" s="42">
        <v>661010000000009</v>
      </c>
      <c r="D160" s="45">
        <v>5411545032664</v>
      </c>
      <c r="E160" s="224">
        <v>40</v>
      </c>
      <c r="F160" s="222">
        <v>1.2</v>
      </c>
      <c r="G160" s="222">
        <v>0.6</v>
      </c>
      <c r="H160" s="102"/>
      <c r="I160" s="103"/>
      <c r="J160" s="104"/>
      <c r="K160" s="105"/>
      <c r="L160" s="55">
        <f t="shared" si="23"/>
        <v>0</v>
      </c>
      <c r="M160" s="103"/>
      <c r="N160" s="104"/>
      <c r="O160" s="104"/>
      <c r="P160" s="132"/>
      <c r="Q160" s="104"/>
      <c r="R160" s="104"/>
      <c r="S160" s="56"/>
      <c r="T160" s="104"/>
      <c r="U160" s="56"/>
      <c r="Z160" s="2" t="str">
        <f t="array" ref="Z160">IFERROR(INDEX(Table14[DESIGNATION ARTICLE],SMALL(IF(ISNUMBER(SEARCH(CALCULATEUR!$D$5,Table14[DESIGNATION ARTICLE])),ROW(Table14[DESIGNATION ARTICLE])-4),ROWS($1:156))),"")</f>
        <v/>
      </c>
    </row>
    <row r="161" spans="1:26" ht="14.45" customHeight="1" x14ac:dyDescent="0.25">
      <c r="A161" s="186"/>
      <c r="B161" s="5" t="s">
        <v>189</v>
      </c>
      <c r="C161" s="24">
        <v>661010000000008</v>
      </c>
      <c r="D161" s="11">
        <v>5411545034620</v>
      </c>
      <c r="E161" s="208">
        <v>45</v>
      </c>
      <c r="F161" s="209">
        <v>0.6</v>
      </c>
      <c r="G161" s="209">
        <v>0.3</v>
      </c>
      <c r="H161" s="107">
        <v>184</v>
      </c>
      <c r="I161" s="65">
        <f>H161*(F161*G161)</f>
        <v>33.119999999999997</v>
      </c>
      <c r="J161" s="55" t="s">
        <v>1</v>
      </c>
      <c r="K161" s="63">
        <v>1</v>
      </c>
      <c r="L161" s="55">
        <f t="shared" si="23"/>
        <v>184</v>
      </c>
      <c r="M161" s="65">
        <f>I161*K161</f>
        <v>33.119999999999997</v>
      </c>
      <c r="N161" s="90" t="s">
        <v>1</v>
      </c>
      <c r="O161" s="90"/>
      <c r="P161" s="78"/>
      <c r="Q161" s="90"/>
      <c r="R161" s="90"/>
      <c r="S161" s="56"/>
      <c r="T161" s="90"/>
      <c r="U161" s="56"/>
      <c r="Z161" s="2" t="str">
        <f t="array" ref="Z161">IFERROR(INDEX(Table14[DESIGNATION ARTICLE],SMALL(IF(ISNUMBER(SEARCH(CALCULATEUR!$D$5,Table14[DESIGNATION ARTICLE])),ROW(Table14[DESIGNATION ARTICLE])-4),ROWS($1:157))),"")</f>
        <v/>
      </c>
    </row>
    <row r="162" spans="1:26" ht="14.45" customHeight="1" x14ac:dyDescent="0.25">
      <c r="A162" s="186"/>
      <c r="B162" s="5" t="s">
        <v>190</v>
      </c>
      <c r="C162" s="24">
        <v>661010000000006</v>
      </c>
      <c r="D162" s="12">
        <v>5411545034637</v>
      </c>
      <c r="E162" s="206">
        <v>45</v>
      </c>
      <c r="F162" s="207">
        <v>1.2</v>
      </c>
      <c r="G162" s="207">
        <v>0.3</v>
      </c>
      <c r="H162" s="107">
        <v>92</v>
      </c>
      <c r="I162" s="65">
        <f>H162*(F162*G162)</f>
        <v>33.119999999999997</v>
      </c>
      <c r="J162" s="90" t="s">
        <v>1</v>
      </c>
      <c r="K162" s="63">
        <v>1</v>
      </c>
      <c r="L162" s="55">
        <f t="shared" si="23"/>
        <v>92</v>
      </c>
      <c r="M162" s="65">
        <f>I162*K162</f>
        <v>33.119999999999997</v>
      </c>
      <c r="N162" s="90" t="s">
        <v>1</v>
      </c>
      <c r="O162" s="90"/>
      <c r="P162" s="78"/>
      <c r="Q162" s="90"/>
      <c r="R162" s="90"/>
      <c r="S162" s="56"/>
      <c r="T162" s="90"/>
      <c r="U162" s="56"/>
      <c r="Z162" s="2" t="str">
        <f t="array" ref="Z162">IFERROR(INDEX(Table14[DESIGNATION ARTICLE],SMALL(IF(ISNUMBER(SEARCH(CALCULATEUR!$D$5,Table14[DESIGNATION ARTICLE])),ROW(Table14[DESIGNATION ARTICLE])-4),ROWS($1:158))),"")</f>
        <v/>
      </c>
    </row>
    <row r="163" spans="1:26" ht="14.45" customHeight="1" x14ac:dyDescent="0.25">
      <c r="A163" s="186"/>
      <c r="B163" s="5" t="s">
        <v>191</v>
      </c>
      <c r="C163" s="24">
        <v>661010000000007</v>
      </c>
      <c r="D163" s="11">
        <v>5411545034637</v>
      </c>
      <c r="E163" s="208">
        <v>45</v>
      </c>
      <c r="F163" s="209">
        <v>0.6</v>
      </c>
      <c r="G163" s="209">
        <v>0.6</v>
      </c>
      <c r="H163" s="107">
        <v>92</v>
      </c>
      <c r="I163" s="65">
        <f>H163*(F163*G163)</f>
        <v>33.119999999999997</v>
      </c>
      <c r="J163" s="55" t="s">
        <v>1</v>
      </c>
      <c r="K163" s="63">
        <v>1</v>
      </c>
      <c r="L163" s="55">
        <f t="shared" si="23"/>
        <v>92</v>
      </c>
      <c r="M163" s="65">
        <f>I163*K163</f>
        <v>33.119999999999997</v>
      </c>
      <c r="N163" s="90" t="s">
        <v>1</v>
      </c>
      <c r="O163" s="90"/>
      <c r="P163" s="78"/>
      <c r="Q163" s="90"/>
      <c r="R163" s="90"/>
      <c r="S163" s="56"/>
      <c r="T163" s="90"/>
      <c r="U163" s="56"/>
      <c r="Z163" s="2" t="str">
        <f t="array" ref="Z163">IFERROR(INDEX(Table14[DESIGNATION ARTICLE],SMALL(IF(ISNUMBER(SEARCH(CALCULATEUR!$D$5,Table14[DESIGNATION ARTICLE])),ROW(Table14[DESIGNATION ARTICLE])-4),ROWS($1:159))),"")</f>
        <v/>
      </c>
    </row>
    <row r="164" spans="1:26" ht="14.45" customHeight="1" x14ac:dyDescent="0.25">
      <c r="A164" s="186"/>
      <c r="B164" s="5" t="s">
        <v>192</v>
      </c>
      <c r="C164" s="24">
        <v>661010000000005</v>
      </c>
      <c r="D164" s="12">
        <v>5411545034651</v>
      </c>
      <c r="E164" s="206">
        <v>45</v>
      </c>
      <c r="F164" s="207">
        <v>1.2</v>
      </c>
      <c r="G164" s="207">
        <v>0.6</v>
      </c>
      <c r="H164" s="107">
        <v>46</v>
      </c>
      <c r="I164" s="65">
        <f>H164*(F164*G164)</f>
        <v>33.119999999999997</v>
      </c>
      <c r="J164" s="90" t="s">
        <v>1</v>
      </c>
      <c r="K164" s="63">
        <v>1</v>
      </c>
      <c r="L164" s="55">
        <f t="shared" si="23"/>
        <v>46</v>
      </c>
      <c r="M164" s="65">
        <f>I164*K164</f>
        <v>33.119999999999997</v>
      </c>
      <c r="N164" s="90" t="s">
        <v>1</v>
      </c>
      <c r="O164" s="90"/>
      <c r="P164" s="78"/>
      <c r="Q164" s="90"/>
      <c r="R164" s="90"/>
      <c r="S164" s="56"/>
      <c r="T164" s="90"/>
      <c r="U164" s="56"/>
      <c r="Z164" s="2" t="str">
        <f t="array" ref="Z164">IFERROR(INDEX(Table14[DESIGNATION ARTICLE],SMALL(IF(ISNUMBER(SEARCH(CALCULATEUR!$D$5,Table14[DESIGNATION ARTICLE])),ROW(Table14[DESIGNATION ARTICLE])-4),ROWS($1:160))),"")</f>
        <v/>
      </c>
    </row>
    <row r="165" spans="1:26" ht="14.45" customHeight="1" x14ac:dyDescent="0.25">
      <c r="A165" s="186"/>
      <c r="B165" s="143" t="s">
        <v>193</v>
      </c>
      <c r="C165" s="42" t="s">
        <v>12</v>
      </c>
      <c r="D165" s="42" t="s">
        <v>12</v>
      </c>
      <c r="E165" s="225">
        <v>50</v>
      </c>
      <c r="F165" s="221">
        <v>0.6</v>
      </c>
      <c r="G165" s="221">
        <v>0.3</v>
      </c>
      <c r="H165" s="102"/>
      <c r="I165" s="103"/>
      <c r="J165" s="106"/>
      <c r="K165" s="105"/>
      <c r="L165" s="55">
        <f t="shared" si="23"/>
        <v>0</v>
      </c>
      <c r="M165" s="103"/>
      <c r="N165" s="104"/>
      <c r="O165" s="104"/>
      <c r="P165" s="132"/>
      <c r="Q165" s="104"/>
      <c r="R165" s="104"/>
      <c r="S165" s="56"/>
      <c r="T165" s="104"/>
      <c r="U165" s="56"/>
      <c r="Z165" s="2" t="str">
        <f t="array" ref="Z165">IFERROR(INDEX(Table14[DESIGNATION ARTICLE],SMALL(IF(ISNUMBER(SEARCH(CALCULATEUR!$D$5,Table14[DESIGNATION ARTICLE])),ROW(Table14[DESIGNATION ARTICLE])-4),ROWS($1:161))),"")</f>
        <v/>
      </c>
    </row>
    <row r="166" spans="1:26" ht="14.45" customHeight="1" x14ac:dyDescent="0.25">
      <c r="A166" s="186"/>
      <c r="B166" s="143" t="s">
        <v>194</v>
      </c>
      <c r="C166" s="42" t="s">
        <v>12</v>
      </c>
      <c r="D166" s="42" t="s">
        <v>12</v>
      </c>
      <c r="E166" s="224">
        <v>50</v>
      </c>
      <c r="F166" s="222">
        <v>1.2</v>
      </c>
      <c r="G166" s="222">
        <v>0.3</v>
      </c>
      <c r="H166" s="102"/>
      <c r="I166" s="103"/>
      <c r="J166" s="104"/>
      <c r="K166" s="105"/>
      <c r="L166" s="55">
        <f t="shared" si="23"/>
        <v>0</v>
      </c>
      <c r="M166" s="103"/>
      <c r="N166" s="104"/>
      <c r="O166" s="104"/>
      <c r="P166" s="132"/>
      <c r="Q166" s="104"/>
      <c r="R166" s="104"/>
      <c r="S166" s="56"/>
      <c r="T166" s="104"/>
      <c r="U166" s="56"/>
      <c r="Z166" s="2" t="str">
        <f t="array" ref="Z166">IFERROR(INDEX(Table14[DESIGNATION ARTICLE],SMALL(IF(ISNUMBER(SEARCH(CALCULATEUR!$D$5,Table14[DESIGNATION ARTICLE])),ROW(Table14[DESIGNATION ARTICLE])-4),ROWS($1:162))),"")</f>
        <v/>
      </c>
    </row>
    <row r="167" spans="1:26" ht="14.45" customHeight="1" x14ac:dyDescent="0.25">
      <c r="A167" s="186"/>
      <c r="B167" s="143" t="s">
        <v>195</v>
      </c>
      <c r="C167" s="42" t="s">
        <v>12</v>
      </c>
      <c r="D167" s="42" t="s">
        <v>12</v>
      </c>
      <c r="E167" s="225">
        <v>50</v>
      </c>
      <c r="F167" s="221">
        <v>0.6</v>
      </c>
      <c r="G167" s="221">
        <v>0.6</v>
      </c>
      <c r="H167" s="102"/>
      <c r="I167" s="103"/>
      <c r="J167" s="106"/>
      <c r="K167" s="105"/>
      <c r="L167" s="55">
        <f t="shared" si="23"/>
        <v>0</v>
      </c>
      <c r="M167" s="103"/>
      <c r="N167" s="104"/>
      <c r="O167" s="104"/>
      <c r="P167" s="132"/>
      <c r="Q167" s="104"/>
      <c r="R167" s="104"/>
      <c r="S167" s="56"/>
      <c r="T167" s="104"/>
      <c r="U167" s="56"/>
      <c r="Z167" s="2" t="str">
        <f t="array" ref="Z167">IFERROR(INDEX(Table14[DESIGNATION ARTICLE],SMALL(IF(ISNUMBER(SEARCH(CALCULATEUR!$D$5,Table14[DESIGNATION ARTICLE])),ROW(Table14[DESIGNATION ARTICLE])-4),ROWS($1:163))),"")</f>
        <v/>
      </c>
    </row>
    <row r="168" spans="1:26" ht="14.45" customHeight="1" x14ac:dyDescent="0.25">
      <c r="A168" s="186"/>
      <c r="B168" s="143" t="s">
        <v>196</v>
      </c>
      <c r="C168" s="42" t="s">
        <v>12</v>
      </c>
      <c r="D168" s="42" t="s">
        <v>12</v>
      </c>
      <c r="E168" s="224">
        <v>50</v>
      </c>
      <c r="F168" s="222">
        <v>1.2</v>
      </c>
      <c r="G168" s="222">
        <v>0.6</v>
      </c>
      <c r="H168" s="102"/>
      <c r="I168" s="103"/>
      <c r="J168" s="104"/>
      <c r="K168" s="105"/>
      <c r="L168" s="55">
        <f t="shared" si="23"/>
        <v>0</v>
      </c>
      <c r="M168" s="103"/>
      <c r="N168" s="104"/>
      <c r="O168" s="104"/>
      <c r="P168" s="132"/>
      <c r="Q168" s="104"/>
      <c r="R168" s="104"/>
      <c r="S168" s="56"/>
      <c r="T168" s="104"/>
      <c r="U168" s="56"/>
      <c r="Z168" s="2" t="str">
        <f t="array" ref="Z168">IFERROR(INDEX(Table14[DESIGNATION ARTICLE],SMALL(IF(ISNUMBER(SEARCH(CALCULATEUR!$D$5,Table14[DESIGNATION ARTICLE])),ROW(Table14[DESIGNATION ARTICLE])-4),ROWS($1:164))),"")</f>
        <v/>
      </c>
    </row>
    <row r="169" spans="1:26" ht="14.45" customHeight="1" x14ac:dyDescent="0.25">
      <c r="A169" s="186"/>
      <c r="B169" s="5" t="s">
        <v>197</v>
      </c>
      <c r="C169" s="24">
        <v>661010000000004</v>
      </c>
      <c r="D169" s="11">
        <v>5411545034668</v>
      </c>
      <c r="E169" s="208">
        <v>60</v>
      </c>
      <c r="F169" s="209">
        <v>0.6</v>
      </c>
      <c r="G169" s="209">
        <v>0.3</v>
      </c>
      <c r="H169" s="107">
        <v>136</v>
      </c>
      <c r="I169" s="65">
        <f>H169*(F169*G169)</f>
        <v>24.48</v>
      </c>
      <c r="J169" s="55" t="s">
        <v>1</v>
      </c>
      <c r="K169" s="63">
        <v>1</v>
      </c>
      <c r="L169" s="55">
        <f t="shared" si="23"/>
        <v>136</v>
      </c>
      <c r="M169" s="65">
        <f>I169*K169</f>
        <v>24.48</v>
      </c>
      <c r="N169" s="90" t="s">
        <v>1</v>
      </c>
      <c r="O169" s="90"/>
      <c r="P169" s="78"/>
      <c r="Q169" s="90"/>
      <c r="R169" s="90"/>
      <c r="S169" s="56"/>
      <c r="T169" s="90"/>
      <c r="U169" s="56"/>
      <c r="Z169" s="2" t="str">
        <f t="array" ref="Z169">IFERROR(INDEX(Table14[DESIGNATION ARTICLE],SMALL(IF(ISNUMBER(SEARCH(CALCULATEUR!$D$5,Table14[DESIGNATION ARTICLE])),ROW(Table14[DESIGNATION ARTICLE])-4),ROWS($1:165))),"")</f>
        <v/>
      </c>
    </row>
    <row r="170" spans="1:26" ht="14.45" customHeight="1" x14ac:dyDescent="0.25">
      <c r="A170" s="186"/>
      <c r="B170" s="5" t="s">
        <v>198</v>
      </c>
      <c r="C170" s="24">
        <v>661010000000002</v>
      </c>
      <c r="D170" s="12">
        <v>5411545034675</v>
      </c>
      <c r="E170" s="206">
        <v>60</v>
      </c>
      <c r="F170" s="207">
        <v>1.2</v>
      </c>
      <c r="G170" s="207">
        <v>0.3</v>
      </c>
      <c r="H170" s="107">
        <v>68</v>
      </c>
      <c r="I170" s="65">
        <f>H170*(F170*G170)</f>
        <v>24.48</v>
      </c>
      <c r="J170" s="90" t="s">
        <v>1</v>
      </c>
      <c r="K170" s="63">
        <v>1</v>
      </c>
      <c r="L170" s="55">
        <f t="shared" si="23"/>
        <v>68</v>
      </c>
      <c r="M170" s="65">
        <f>I170*K170</f>
        <v>24.48</v>
      </c>
      <c r="N170" s="90" t="s">
        <v>1</v>
      </c>
      <c r="O170" s="90"/>
      <c r="P170" s="78"/>
      <c r="Q170" s="90"/>
      <c r="R170" s="90"/>
      <c r="S170" s="56"/>
      <c r="T170" s="90"/>
      <c r="U170" s="56"/>
      <c r="Z170" s="2" t="str">
        <f t="array" ref="Z170">IFERROR(INDEX(Table14[DESIGNATION ARTICLE],SMALL(IF(ISNUMBER(SEARCH(CALCULATEUR!$D$5,Table14[DESIGNATION ARTICLE])),ROW(Table14[DESIGNATION ARTICLE])-4),ROWS($1:166))),"")</f>
        <v/>
      </c>
    </row>
    <row r="171" spans="1:26" ht="14.45" customHeight="1" x14ac:dyDescent="0.25">
      <c r="A171" s="186"/>
      <c r="B171" s="5" t="s">
        <v>199</v>
      </c>
      <c r="C171" s="24">
        <v>661010000000003</v>
      </c>
      <c r="D171" s="11">
        <v>5411545034682</v>
      </c>
      <c r="E171" s="208">
        <v>60</v>
      </c>
      <c r="F171" s="209">
        <v>0.6</v>
      </c>
      <c r="G171" s="209">
        <v>0.6</v>
      </c>
      <c r="H171" s="107">
        <v>68</v>
      </c>
      <c r="I171" s="65">
        <f>H171*(F171*G171)</f>
        <v>24.48</v>
      </c>
      <c r="J171" s="55" t="s">
        <v>1</v>
      </c>
      <c r="K171" s="63">
        <v>1</v>
      </c>
      <c r="L171" s="55">
        <f t="shared" si="23"/>
        <v>68</v>
      </c>
      <c r="M171" s="65">
        <f>I171*K171</f>
        <v>24.48</v>
      </c>
      <c r="N171" s="90" t="s">
        <v>1</v>
      </c>
      <c r="O171" s="90"/>
      <c r="P171" s="78"/>
      <c r="Q171" s="90"/>
      <c r="R171" s="90"/>
      <c r="S171" s="56"/>
      <c r="T171" s="90"/>
      <c r="U171" s="56"/>
      <c r="Z171" s="2" t="str">
        <f t="array" ref="Z171">IFERROR(INDEX(Table14[DESIGNATION ARTICLE],SMALL(IF(ISNUMBER(SEARCH(CALCULATEUR!$D$5,Table14[DESIGNATION ARTICLE])),ROW(Table14[DESIGNATION ARTICLE])-4),ROWS($1:167))),"")</f>
        <v/>
      </c>
    </row>
    <row r="172" spans="1:26" ht="14.45" customHeight="1" x14ac:dyDescent="0.25">
      <c r="A172" s="186"/>
      <c r="B172" s="5" t="s">
        <v>200</v>
      </c>
      <c r="C172" s="24">
        <v>661010000000001</v>
      </c>
      <c r="D172" s="12">
        <v>5411545034699</v>
      </c>
      <c r="E172" s="206">
        <v>60</v>
      </c>
      <c r="F172" s="207">
        <v>1.2</v>
      </c>
      <c r="G172" s="207">
        <v>0.6</v>
      </c>
      <c r="H172" s="107">
        <v>34</v>
      </c>
      <c r="I172" s="65">
        <f>H172*(F172*G172)</f>
        <v>24.48</v>
      </c>
      <c r="J172" s="90" t="s">
        <v>1</v>
      </c>
      <c r="K172" s="63">
        <v>1</v>
      </c>
      <c r="L172" s="55">
        <f t="shared" si="23"/>
        <v>34</v>
      </c>
      <c r="M172" s="65">
        <f>I172*K172</f>
        <v>24.48</v>
      </c>
      <c r="N172" s="90" t="s">
        <v>1</v>
      </c>
      <c r="O172" s="90"/>
      <c r="P172" s="78"/>
      <c r="Q172" s="90"/>
      <c r="R172" s="90"/>
      <c r="S172" s="56"/>
      <c r="T172" s="90"/>
      <c r="U172" s="56"/>
      <c r="Z172" s="2" t="str">
        <f t="array" ref="Z172">IFERROR(INDEX(Table14[DESIGNATION ARTICLE],SMALL(IF(ISNUMBER(SEARCH(CALCULATEUR!$D$5,Table14[DESIGNATION ARTICLE])),ROW(Table14[DESIGNATION ARTICLE])-4),ROWS($1:168))),"")</f>
        <v/>
      </c>
    </row>
    <row r="173" spans="1:26" ht="14.45" customHeight="1" x14ac:dyDescent="0.25">
      <c r="A173" s="186"/>
      <c r="B173" s="143" t="s">
        <v>201</v>
      </c>
      <c r="C173" s="42" t="s">
        <v>12</v>
      </c>
      <c r="D173" s="42" t="s">
        <v>12</v>
      </c>
      <c r="E173" s="208">
        <v>70</v>
      </c>
      <c r="F173" s="209">
        <v>0.6</v>
      </c>
      <c r="G173" s="209">
        <v>0.3</v>
      </c>
      <c r="H173" s="107"/>
      <c r="I173" s="65"/>
      <c r="J173" s="55"/>
      <c r="K173" s="63"/>
      <c r="L173" s="55">
        <f t="shared" si="23"/>
        <v>0</v>
      </c>
      <c r="M173" s="65"/>
      <c r="N173" s="90"/>
      <c r="O173" s="90"/>
      <c r="P173" s="78"/>
      <c r="Q173" s="90"/>
      <c r="R173" s="90"/>
      <c r="S173" s="56"/>
      <c r="T173" s="90"/>
      <c r="U173" s="56"/>
      <c r="Z173" s="2" t="str">
        <f t="array" ref="Z173">IFERROR(INDEX(Table14[DESIGNATION ARTICLE],SMALL(IF(ISNUMBER(SEARCH(CALCULATEUR!$D$5,Table14[DESIGNATION ARTICLE])),ROW(Table14[DESIGNATION ARTICLE])-4),ROWS($1:169))),"")</f>
        <v/>
      </c>
    </row>
    <row r="174" spans="1:26" ht="14.45" customHeight="1" x14ac:dyDescent="0.25">
      <c r="A174" s="186"/>
      <c r="B174" s="143" t="s">
        <v>202</v>
      </c>
      <c r="C174" s="42" t="s">
        <v>12</v>
      </c>
      <c r="D174" s="42" t="s">
        <v>12</v>
      </c>
      <c r="E174" s="206">
        <v>70</v>
      </c>
      <c r="F174" s="207">
        <v>1.2</v>
      </c>
      <c r="G174" s="207">
        <v>0.3</v>
      </c>
      <c r="H174" s="107"/>
      <c r="I174" s="65"/>
      <c r="J174" s="90"/>
      <c r="K174" s="63"/>
      <c r="L174" s="55">
        <f t="shared" si="23"/>
        <v>0</v>
      </c>
      <c r="M174" s="65"/>
      <c r="N174" s="90"/>
      <c r="O174" s="90"/>
      <c r="P174" s="78"/>
      <c r="Q174" s="90"/>
      <c r="R174" s="90"/>
      <c r="S174" s="56"/>
      <c r="T174" s="90"/>
      <c r="U174" s="56"/>
      <c r="Z174" s="2" t="str">
        <f t="array" ref="Z174">IFERROR(INDEX(Table14[DESIGNATION ARTICLE],SMALL(IF(ISNUMBER(SEARCH(CALCULATEUR!$D$5,Table14[DESIGNATION ARTICLE])),ROW(Table14[DESIGNATION ARTICLE])-4),ROWS($1:170))),"")</f>
        <v/>
      </c>
    </row>
    <row r="175" spans="1:26" ht="14.45" customHeight="1" x14ac:dyDescent="0.25">
      <c r="A175" s="186"/>
      <c r="B175" s="143" t="s">
        <v>203</v>
      </c>
      <c r="C175" s="42" t="s">
        <v>12</v>
      </c>
      <c r="D175" s="42" t="s">
        <v>12</v>
      </c>
      <c r="E175" s="208">
        <v>70</v>
      </c>
      <c r="F175" s="209">
        <v>0.6</v>
      </c>
      <c r="G175" s="209">
        <v>0.6</v>
      </c>
      <c r="H175" s="107"/>
      <c r="I175" s="65"/>
      <c r="J175" s="55"/>
      <c r="K175" s="63"/>
      <c r="L175" s="55">
        <f t="shared" si="23"/>
        <v>0</v>
      </c>
      <c r="M175" s="65"/>
      <c r="N175" s="90"/>
      <c r="O175" s="90"/>
      <c r="P175" s="78"/>
      <c r="Q175" s="90"/>
      <c r="R175" s="90"/>
      <c r="S175" s="56"/>
      <c r="T175" s="90"/>
      <c r="U175" s="56"/>
      <c r="Z175" s="2" t="str">
        <f t="array" ref="Z175">IFERROR(INDEX(Table14[DESIGNATION ARTICLE],SMALL(IF(ISNUMBER(SEARCH(CALCULATEUR!$D$5,Table14[DESIGNATION ARTICLE])),ROW(Table14[DESIGNATION ARTICLE])-4),ROWS($1:171))),"")</f>
        <v/>
      </c>
    </row>
    <row r="176" spans="1:26" ht="15" customHeight="1" thickBot="1" x14ac:dyDescent="0.3">
      <c r="A176" s="187"/>
      <c r="B176" s="144" t="s">
        <v>204</v>
      </c>
      <c r="C176" s="43" t="s">
        <v>12</v>
      </c>
      <c r="D176" s="145" t="s">
        <v>12</v>
      </c>
      <c r="E176" s="212">
        <v>70</v>
      </c>
      <c r="F176" s="213">
        <v>1.2</v>
      </c>
      <c r="G176" s="213">
        <v>0.6</v>
      </c>
      <c r="H176" s="108"/>
      <c r="I176" s="79"/>
      <c r="J176" s="96"/>
      <c r="K176" s="76"/>
      <c r="L176" s="57">
        <f t="shared" si="23"/>
        <v>0</v>
      </c>
      <c r="M176" s="79"/>
      <c r="N176" s="96"/>
      <c r="O176" s="96"/>
      <c r="P176" s="80"/>
      <c r="Q176" s="96"/>
      <c r="R176" s="96"/>
      <c r="S176" s="58"/>
      <c r="T176" s="96"/>
      <c r="U176" s="58"/>
      <c r="Z176" s="2" t="str">
        <f t="array" ref="Z176">IFERROR(INDEX(Table14[DESIGNATION ARTICLE],SMALL(IF(ISNUMBER(SEARCH(CALCULATEUR!$D$5,Table14[DESIGNATION ARTICLE])),ROW(Table14[DESIGNATION ARTICLE])-4),ROWS($1:172))),"")</f>
        <v/>
      </c>
    </row>
    <row r="177" spans="1:26" ht="12.95" customHeight="1" x14ac:dyDescent="0.25">
      <c r="A177" s="192" t="s">
        <v>5</v>
      </c>
      <c r="B177" s="137" t="s">
        <v>205</v>
      </c>
      <c r="C177" s="37">
        <v>646310000000008</v>
      </c>
      <c r="D177" s="11">
        <v>5411545033838</v>
      </c>
      <c r="E177" s="214">
        <v>40</v>
      </c>
      <c r="F177" s="215">
        <v>2.4</v>
      </c>
      <c r="G177" s="215">
        <v>1.2</v>
      </c>
      <c r="H177" s="109">
        <v>8</v>
      </c>
      <c r="I177" s="60">
        <f t="shared" ref="I177:I213" si="29">H177*(F177*G177)</f>
        <v>23.04</v>
      </c>
      <c r="J177" s="88" t="s">
        <v>1</v>
      </c>
      <c r="K177" s="69">
        <v>7</v>
      </c>
      <c r="L177" s="55">
        <f t="shared" si="23"/>
        <v>56</v>
      </c>
      <c r="M177" s="89">
        <f t="shared" ref="M177:M221" si="30">I177*K177</f>
        <v>161.28</v>
      </c>
      <c r="N177" s="88" t="s">
        <v>1</v>
      </c>
      <c r="O177" s="88">
        <v>6</v>
      </c>
      <c r="P177" s="56">
        <f t="shared" ref="P177:P221" si="31">M177*O177</f>
        <v>967.68000000000006</v>
      </c>
      <c r="Q177" s="88" t="s">
        <v>1</v>
      </c>
      <c r="R177" s="88">
        <v>11</v>
      </c>
      <c r="S177" s="56">
        <f t="shared" si="26"/>
        <v>1774.08</v>
      </c>
      <c r="T177" s="88" t="s">
        <v>1</v>
      </c>
      <c r="U177" s="56">
        <f t="shared" ref="U177:U203" si="32">0.1+(L177*(E177/1000))</f>
        <v>2.3400000000000003</v>
      </c>
      <c r="Z177" s="2" t="str">
        <f t="array" ref="Z177">IFERROR(INDEX(Table14[DESIGNATION ARTICLE],SMALL(IF(ISNUMBER(SEARCH(CALCULATEUR!$D$5,Table14[DESIGNATION ARTICLE])),ROW(Table14[DESIGNATION ARTICLE])-4),ROWS($1:173))),"")</f>
        <v/>
      </c>
    </row>
    <row r="178" spans="1:26" ht="14.45" customHeight="1" x14ac:dyDescent="0.25">
      <c r="A178" s="193"/>
      <c r="B178" s="5" t="s">
        <v>206</v>
      </c>
      <c r="C178" s="24">
        <v>646310000000010</v>
      </c>
      <c r="D178" s="12">
        <v>5411545022559</v>
      </c>
      <c r="E178" s="206">
        <v>60</v>
      </c>
      <c r="F178" s="207">
        <v>2.4</v>
      </c>
      <c r="G178" s="207">
        <v>1.2</v>
      </c>
      <c r="H178" s="107">
        <v>6</v>
      </c>
      <c r="I178" s="56">
        <f t="shared" si="29"/>
        <v>17.28</v>
      </c>
      <c r="J178" s="90" t="s">
        <v>1</v>
      </c>
      <c r="K178" s="63">
        <v>7</v>
      </c>
      <c r="L178" s="55">
        <f t="shared" si="23"/>
        <v>42</v>
      </c>
      <c r="M178" s="65">
        <f t="shared" si="30"/>
        <v>120.96000000000001</v>
      </c>
      <c r="N178" s="90" t="s">
        <v>1</v>
      </c>
      <c r="O178" s="90">
        <v>6</v>
      </c>
      <c r="P178" s="56">
        <f t="shared" si="31"/>
        <v>725.76</v>
      </c>
      <c r="Q178" s="90" t="s">
        <v>1</v>
      </c>
      <c r="R178" s="90">
        <v>11</v>
      </c>
      <c r="S178" s="56">
        <f t="shared" si="26"/>
        <v>1330.5600000000002</v>
      </c>
      <c r="T178" s="90" t="s">
        <v>1</v>
      </c>
      <c r="U178" s="56">
        <f t="shared" si="32"/>
        <v>2.62</v>
      </c>
      <c r="Z178" s="2" t="str">
        <f t="array" ref="Z178">IFERROR(INDEX(Table14[DESIGNATION ARTICLE],SMALL(IF(ISNUMBER(SEARCH(CALCULATEUR!$D$5,Table14[DESIGNATION ARTICLE])),ROW(Table14[DESIGNATION ARTICLE])-4),ROWS($1:174))),"")</f>
        <v/>
      </c>
    </row>
    <row r="179" spans="1:26" ht="14.45" customHeight="1" x14ac:dyDescent="0.25">
      <c r="A179" s="193"/>
      <c r="B179" s="5" t="s">
        <v>207</v>
      </c>
      <c r="C179" s="24">
        <v>646310000000005</v>
      </c>
      <c r="D179" s="11">
        <v>5411545022566</v>
      </c>
      <c r="E179" s="208">
        <v>70</v>
      </c>
      <c r="F179" s="209">
        <v>2.4</v>
      </c>
      <c r="G179" s="209">
        <v>1.2</v>
      </c>
      <c r="H179" s="107">
        <v>7</v>
      </c>
      <c r="I179" s="56">
        <f t="shared" si="29"/>
        <v>20.16</v>
      </c>
      <c r="J179" s="90" t="s">
        <v>1</v>
      </c>
      <c r="K179" s="63">
        <v>5</v>
      </c>
      <c r="L179" s="55">
        <f t="shared" si="23"/>
        <v>35</v>
      </c>
      <c r="M179" s="65">
        <f t="shared" si="30"/>
        <v>100.8</v>
      </c>
      <c r="N179" s="90" t="s">
        <v>1</v>
      </c>
      <c r="O179" s="90">
        <v>6</v>
      </c>
      <c r="P179" s="56">
        <f t="shared" si="31"/>
        <v>604.79999999999995</v>
      </c>
      <c r="Q179" s="90" t="s">
        <v>1</v>
      </c>
      <c r="R179" s="90">
        <v>11</v>
      </c>
      <c r="S179" s="56">
        <f t="shared" si="26"/>
        <v>1108.8</v>
      </c>
      <c r="T179" s="90" t="s">
        <v>1</v>
      </c>
      <c r="U179" s="56">
        <f t="shared" si="32"/>
        <v>2.5500000000000003</v>
      </c>
      <c r="Z179" s="2" t="str">
        <f t="array" ref="Z179">IFERROR(INDEX(Table14[DESIGNATION ARTICLE],SMALL(IF(ISNUMBER(SEARCH(CALCULATEUR!$D$5,Table14[DESIGNATION ARTICLE])),ROW(Table14[DESIGNATION ARTICLE])-4),ROWS($1:175))),"")</f>
        <v/>
      </c>
    </row>
    <row r="180" spans="1:26" ht="14.45" customHeight="1" x14ac:dyDescent="0.25">
      <c r="A180" s="193"/>
      <c r="B180" s="5" t="s">
        <v>208</v>
      </c>
      <c r="C180" s="24">
        <v>646310000000006</v>
      </c>
      <c r="D180" s="12">
        <v>5411545022573</v>
      </c>
      <c r="E180" s="206">
        <v>80</v>
      </c>
      <c r="F180" s="207">
        <v>1.2</v>
      </c>
      <c r="G180" s="207">
        <v>1</v>
      </c>
      <c r="H180" s="107">
        <v>6</v>
      </c>
      <c r="I180" s="56">
        <f t="shared" si="29"/>
        <v>7.1999999999999993</v>
      </c>
      <c r="J180" s="90" t="s">
        <v>1</v>
      </c>
      <c r="K180" s="63">
        <v>5</v>
      </c>
      <c r="L180" s="55">
        <f t="shared" si="23"/>
        <v>30</v>
      </c>
      <c r="M180" s="65">
        <f t="shared" si="30"/>
        <v>36</v>
      </c>
      <c r="N180" s="90" t="s">
        <v>1</v>
      </c>
      <c r="O180" s="90">
        <v>6</v>
      </c>
      <c r="P180" s="56">
        <f t="shared" si="31"/>
        <v>216</v>
      </c>
      <c r="Q180" s="90" t="s">
        <v>1</v>
      </c>
      <c r="R180" s="90">
        <v>11</v>
      </c>
      <c r="S180" s="56">
        <f t="shared" si="26"/>
        <v>396</v>
      </c>
      <c r="T180" s="90" t="s">
        <v>1</v>
      </c>
      <c r="U180" s="56">
        <f t="shared" si="32"/>
        <v>2.5</v>
      </c>
      <c r="Z180" s="2" t="str">
        <f t="array" ref="Z180">IFERROR(INDEX(Table14[DESIGNATION ARTICLE],SMALL(IF(ISNUMBER(SEARCH(CALCULATEUR!$D$5,Table14[DESIGNATION ARTICLE])),ROW(Table14[DESIGNATION ARTICLE])-4),ROWS($1:176))),"")</f>
        <v/>
      </c>
    </row>
    <row r="181" spans="1:26" ht="14.45" customHeight="1" x14ac:dyDescent="0.25">
      <c r="A181" s="193"/>
      <c r="B181" s="5" t="s">
        <v>209</v>
      </c>
      <c r="C181" s="24">
        <v>646310000000012</v>
      </c>
      <c r="D181" s="11">
        <v>5411545022580</v>
      </c>
      <c r="E181" s="208">
        <v>100</v>
      </c>
      <c r="F181" s="209">
        <v>1.2</v>
      </c>
      <c r="G181" s="209">
        <v>1</v>
      </c>
      <c r="H181" s="107">
        <v>5</v>
      </c>
      <c r="I181" s="56">
        <f t="shared" si="29"/>
        <v>6</v>
      </c>
      <c r="J181" s="90" t="s">
        <v>1</v>
      </c>
      <c r="K181" s="63">
        <v>5</v>
      </c>
      <c r="L181" s="55">
        <f t="shared" si="23"/>
        <v>25</v>
      </c>
      <c r="M181" s="65">
        <f t="shared" si="30"/>
        <v>30</v>
      </c>
      <c r="N181" s="90" t="s">
        <v>1</v>
      </c>
      <c r="O181" s="90">
        <v>6</v>
      </c>
      <c r="P181" s="56">
        <f t="shared" si="31"/>
        <v>180</v>
      </c>
      <c r="Q181" s="90" t="s">
        <v>1</v>
      </c>
      <c r="R181" s="90">
        <v>11</v>
      </c>
      <c r="S181" s="56">
        <f t="shared" si="26"/>
        <v>330</v>
      </c>
      <c r="T181" s="90" t="s">
        <v>1</v>
      </c>
      <c r="U181" s="56">
        <f t="shared" si="32"/>
        <v>2.6</v>
      </c>
      <c r="Z181" s="2" t="str">
        <f t="array" ref="Z181">IFERROR(INDEX(Table14[DESIGNATION ARTICLE],SMALL(IF(ISNUMBER(SEARCH(CALCULATEUR!$D$5,Table14[DESIGNATION ARTICLE])),ROW(Table14[DESIGNATION ARTICLE])-4),ROWS($1:177))),"")</f>
        <v/>
      </c>
    </row>
    <row r="182" spans="1:26" ht="14.45" customHeight="1" x14ac:dyDescent="0.25">
      <c r="A182" s="193"/>
      <c r="B182" s="5" t="s">
        <v>210</v>
      </c>
      <c r="C182" s="24">
        <v>646310000000002</v>
      </c>
      <c r="D182" s="12">
        <v>5411545022597</v>
      </c>
      <c r="E182" s="206">
        <v>120</v>
      </c>
      <c r="F182" s="207">
        <v>1.2</v>
      </c>
      <c r="G182" s="207">
        <v>1</v>
      </c>
      <c r="H182" s="107">
        <v>4</v>
      </c>
      <c r="I182" s="56">
        <f t="shared" si="29"/>
        <v>4.8</v>
      </c>
      <c r="J182" s="90" t="s">
        <v>1</v>
      </c>
      <c r="K182" s="63">
        <v>5</v>
      </c>
      <c r="L182" s="55">
        <f t="shared" si="23"/>
        <v>20</v>
      </c>
      <c r="M182" s="65">
        <f t="shared" si="30"/>
        <v>24</v>
      </c>
      <c r="N182" s="90" t="s">
        <v>1</v>
      </c>
      <c r="O182" s="90">
        <v>6</v>
      </c>
      <c r="P182" s="56">
        <f t="shared" si="31"/>
        <v>144</v>
      </c>
      <c r="Q182" s="90" t="s">
        <v>1</v>
      </c>
      <c r="R182" s="90">
        <v>11</v>
      </c>
      <c r="S182" s="56">
        <f t="shared" si="26"/>
        <v>264</v>
      </c>
      <c r="T182" s="90" t="s">
        <v>1</v>
      </c>
      <c r="U182" s="56">
        <f t="shared" si="32"/>
        <v>2.5</v>
      </c>
      <c r="Z182" s="2" t="str">
        <f t="array" ref="Z182">IFERROR(INDEX(Table14[DESIGNATION ARTICLE],SMALL(IF(ISNUMBER(SEARCH(CALCULATEUR!$D$5,Table14[DESIGNATION ARTICLE])),ROW(Table14[DESIGNATION ARTICLE])-4),ROWS($1:178))),"")</f>
        <v/>
      </c>
    </row>
    <row r="183" spans="1:26" ht="14.45" customHeight="1" x14ac:dyDescent="0.25">
      <c r="A183" s="193"/>
      <c r="B183" s="5" t="s">
        <v>211</v>
      </c>
      <c r="C183" s="24">
        <v>646310000000018</v>
      </c>
      <c r="D183" s="11">
        <v>5411545022603</v>
      </c>
      <c r="E183" s="208">
        <v>130</v>
      </c>
      <c r="F183" s="209">
        <v>1.2</v>
      </c>
      <c r="G183" s="209">
        <v>1</v>
      </c>
      <c r="H183" s="107">
        <v>3</v>
      </c>
      <c r="I183" s="56">
        <f t="shared" si="29"/>
        <v>3.5999999999999996</v>
      </c>
      <c r="J183" s="90" t="s">
        <v>1</v>
      </c>
      <c r="K183" s="63">
        <v>6</v>
      </c>
      <c r="L183" s="55">
        <f t="shared" si="23"/>
        <v>18</v>
      </c>
      <c r="M183" s="65">
        <f t="shared" si="30"/>
        <v>21.599999999999998</v>
      </c>
      <c r="N183" s="90" t="s">
        <v>1</v>
      </c>
      <c r="O183" s="90">
        <v>6</v>
      </c>
      <c r="P183" s="56">
        <f t="shared" si="31"/>
        <v>129.6</v>
      </c>
      <c r="Q183" s="90" t="s">
        <v>1</v>
      </c>
      <c r="R183" s="90">
        <v>11</v>
      </c>
      <c r="S183" s="56">
        <f t="shared" si="26"/>
        <v>237.59999999999997</v>
      </c>
      <c r="T183" s="90" t="s">
        <v>1</v>
      </c>
      <c r="U183" s="56">
        <f t="shared" si="32"/>
        <v>2.44</v>
      </c>
      <c r="Z183" s="2" t="str">
        <f t="array" ref="Z183">IFERROR(INDEX(Table14[DESIGNATION ARTICLE],SMALL(IF(ISNUMBER(SEARCH(CALCULATEUR!$D$5,Table14[DESIGNATION ARTICLE])),ROW(Table14[DESIGNATION ARTICLE])-4),ROWS($1:179))),"")</f>
        <v/>
      </c>
    </row>
    <row r="184" spans="1:26" ht="14.45" customHeight="1" x14ac:dyDescent="0.25">
      <c r="A184" s="193"/>
      <c r="B184" s="5" t="s">
        <v>212</v>
      </c>
      <c r="C184" s="24">
        <v>646310000000022</v>
      </c>
      <c r="D184" s="12">
        <v>5411545027035</v>
      </c>
      <c r="E184" s="206">
        <v>140</v>
      </c>
      <c r="F184" s="207">
        <v>1.2</v>
      </c>
      <c r="G184" s="207">
        <v>1</v>
      </c>
      <c r="H184" s="107">
        <v>3</v>
      </c>
      <c r="I184" s="56">
        <f t="shared" si="29"/>
        <v>3.5999999999999996</v>
      </c>
      <c r="J184" s="90" t="s">
        <v>1</v>
      </c>
      <c r="K184" s="63">
        <v>6</v>
      </c>
      <c r="L184" s="55">
        <f t="shared" si="23"/>
        <v>18</v>
      </c>
      <c r="M184" s="65">
        <f t="shared" si="30"/>
        <v>21.599999999999998</v>
      </c>
      <c r="N184" s="90" t="s">
        <v>1</v>
      </c>
      <c r="O184" s="90">
        <v>6</v>
      </c>
      <c r="P184" s="56">
        <f t="shared" si="31"/>
        <v>129.6</v>
      </c>
      <c r="Q184" s="90" t="s">
        <v>1</v>
      </c>
      <c r="R184" s="90">
        <v>11</v>
      </c>
      <c r="S184" s="56">
        <f t="shared" si="26"/>
        <v>237.59999999999997</v>
      </c>
      <c r="T184" s="90" t="s">
        <v>1</v>
      </c>
      <c r="U184" s="56">
        <f t="shared" si="32"/>
        <v>2.6200000000000006</v>
      </c>
      <c r="Z184" s="2" t="str">
        <f t="array" ref="Z184">IFERROR(INDEX(Table14[DESIGNATION ARTICLE],SMALL(IF(ISNUMBER(SEARCH(CALCULATEUR!$D$5,Table14[DESIGNATION ARTICLE])),ROW(Table14[DESIGNATION ARTICLE])-4),ROWS($1:180))),"")</f>
        <v/>
      </c>
    </row>
    <row r="185" spans="1:26" ht="14.45" customHeight="1" x14ac:dyDescent="0.25">
      <c r="A185" s="193"/>
      <c r="B185" s="5" t="s">
        <v>213</v>
      </c>
      <c r="C185" s="24">
        <v>646310000000020</v>
      </c>
      <c r="D185" s="11">
        <v>5411545033890</v>
      </c>
      <c r="E185" s="208">
        <v>150</v>
      </c>
      <c r="F185" s="209">
        <v>1.2</v>
      </c>
      <c r="G185" s="209">
        <v>1</v>
      </c>
      <c r="H185" s="107">
        <v>3</v>
      </c>
      <c r="I185" s="56">
        <f t="shared" si="29"/>
        <v>3.5999999999999996</v>
      </c>
      <c r="J185" s="90" t="s">
        <v>1</v>
      </c>
      <c r="K185" s="63">
        <v>5</v>
      </c>
      <c r="L185" s="55">
        <f t="shared" si="23"/>
        <v>15</v>
      </c>
      <c r="M185" s="65">
        <f t="shared" si="30"/>
        <v>18</v>
      </c>
      <c r="N185" s="90" t="s">
        <v>1</v>
      </c>
      <c r="O185" s="90">
        <v>6</v>
      </c>
      <c r="P185" s="56">
        <f t="shared" si="31"/>
        <v>108</v>
      </c>
      <c r="Q185" s="90" t="s">
        <v>1</v>
      </c>
      <c r="R185" s="90">
        <v>11</v>
      </c>
      <c r="S185" s="56">
        <f t="shared" si="26"/>
        <v>198</v>
      </c>
      <c r="T185" s="90" t="s">
        <v>1</v>
      </c>
      <c r="U185" s="56">
        <f t="shared" si="32"/>
        <v>2.35</v>
      </c>
      <c r="Z185" s="2" t="str">
        <f t="array" ref="Z185">IFERROR(INDEX(Table14[DESIGNATION ARTICLE],SMALL(IF(ISNUMBER(SEARCH(CALCULATEUR!$D$5,Table14[DESIGNATION ARTICLE])),ROW(Table14[DESIGNATION ARTICLE])-4),ROWS($1:181))),"")</f>
        <v/>
      </c>
    </row>
    <row r="186" spans="1:26" s="6" customFormat="1" ht="14.45" customHeight="1" thickBot="1" x14ac:dyDescent="0.25">
      <c r="A186" s="193"/>
      <c r="B186" s="136" t="s">
        <v>214</v>
      </c>
      <c r="C186" s="40" t="s">
        <v>12</v>
      </c>
      <c r="D186" s="12" t="s">
        <v>12</v>
      </c>
      <c r="E186" s="216">
        <v>160</v>
      </c>
      <c r="F186" s="217">
        <v>1.2</v>
      </c>
      <c r="G186" s="217">
        <v>1</v>
      </c>
      <c r="H186" s="108">
        <v>3</v>
      </c>
      <c r="I186" s="58">
        <f t="shared" si="29"/>
        <v>3.5999999999999996</v>
      </c>
      <c r="J186" s="96" t="s">
        <v>1</v>
      </c>
      <c r="K186" s="76">
        <v>5</v>
      </c>
      <c r="L186" s="57">
        <f t="shared" si="23"/>
        <v>15</v>
      </c>
      <c r="M186" s="79">
        <f t="shared" si="30"/>
        <v>18</v>
      </c>
      <c r="N186" s="96" t="s">
        <v>1</v>
      </c>
      <c r="O186" s="96">
        <v>6</v>
      </c>
      <c r="P186" s="56">
        <f t="shared" si="31"/>
        <v>108</v>
      </c>
      <c r="Q186" s="96" t="s">
        <v>1</v>
      </c>
      <c r="R186" s="96">
        <v>11</v>
      </c>
      <c r="S186" s="58">
        <f t="shared" si="26"/>
        <v>198</v>
      </c>
      <c r="T186" s="96" t="s">
        <v>1</v>
      </c>
      <c r="U186" s="58">
        <f t="shared" si="32"/>
        <v>2.5</v>
      </c>
      <c r="Z186" s="2" t="str">
        <f t="array" ref="Z186">IFERROR(INDEX(Table14[DESIGNATION ARTICLE],SMALL(IF(ISNUMBER(SEARCH(CALCULATEUR!$D$5,Table14[DESIGNATION ARTICLE])),ROW(Table14[DESIGNATION ARTICLE])-4),ROWS($1:182))),"")</f>
        <v/>
      </c>
    </row>
    <row r="187" spans="1:26" ht="14.45" customHeight="1" x14ac:dyDescent="0.25">
      <c r="A187" s="193"/>
      <c r="B187" s="137" t="s">
        <v>215</v>
      </c>
      <c r="C187" s="33">
        <v>640200000000007</v>
      </c>
      <c r="D187" s="12">
        <v>5411545022610</v>
      </c>
      <c r="E187" s="210">
        <v>30</v>
      </c>
      <c r="F187" s="211">
        <v>1.2</v>
      </c>
      <c r="G187" s="211">
        <v>1</v>
      </c>
      <c r="H187" s="88">
        <v>15</v>
      </c>
      <c r="I187" s="60">
        <f t="shared" si="29"/>
        <v>18</v>
      </c>
      <c r="J187" s="88" t="s">
        <v>1</v>
      </c>
      <c r="K187" s="67">
        <v>5</v>
      </c>
      <c r="L187" s="55">
        <f t="shared" si="23"/>
        <v>75</v>
      </c>
      <c r="M187" s="60">
        <f t="shared" si="30"/>
        <v>90</v>
      </c>
      <c r="N187" s="88" t="s">
        <v>1</v>
      </c>
      <c r="O187" s="88">
        <v>12</v>
      </c>
      <c r="P187" s="60">
        <f t="shared" si="31"/>
        <v>1080</v>
      </c>
      <c r="Q187" s="88" t="s">
        <v>1</v>
      </c>
      <c r="R187" s="88">
        <v>26</v>
      </c>
      <c r="S187" s="56">
        <f t="shared" si="26"/>
        <v>2340</v>
      </c>
      <c r="T187" s="88" t="s">
        <v>1</v>
      </c>
      <c r="U187" s="56">
        <f t="shared" si="32"/>
        <v>2.35</v>
      </c>
      <c r="Z187" s="2" t="str">
        <f t="array" ref="Z187">IFERROR(INDEX(Table14[DESIGNATION ARTICLE],SMALL(IF(ISNUMBER(SEARCH(CALCULATEUR!$D$5,Table14[DESIGNATION ARTICLE])),ROW(Table14[DESIGNATION ARTICLE])-4),ROWS($1:183))),"")</f>
        <v/>
      </c>
    </row>
    <row r="188" spans="1:26" ht="14.45" customHeight="1" x14ac:dyDescent="0.25">
      <c r="A188" s="193"/>
      <c r="B188" s="5" t="s">
        <v>216</v>
      </c>
      <c r="C188" s="31">
        <v>640200000000008</v>
      </c>
      <c r="D188" s="11">
        <v>5411545022627</v>
      </c>
      <c r="E188" s="208">
        <v>40</v>
      </c>
      <c r="F188" s="209">
        <v>1.2</v>
      </c>
      <c r="G188" s="209">
        <v>1</v>
      </c>
      <c r="H188" s="90">
        <v>11</v>
      </c>
      <c r="I188" s="56">
        <f t="shared" si="29"/>
        <v>13.2</v>
      </c>
      <c r="J188" s="90" t="s">
        <v>1</v>
      </c>
      <c r="K188" s="71">
        <v>5</v>
      </c>
      <c r="L188" s="55">
        <f t="shared" si="23"/>
        <v>55</v>
      </c>
      <c r="M188" s="56">
        <f t="shared" si="30"/>
        <v>66</v>
      </c>
      <c r="N188" s="90" t="s">
        <v>1</v>
      </c>
      <c r="O188" s="90">
        <v>12</v>
      </c>
      <c r="P188" s="56">
        <f t="shared" si="31"/>
        <v>792</v>
      </c>
      <c r="Q188" s="90" t="s">
        <v>1</v>
      </c>
      <c r="R188" s="90">
        <v>26</v>
      </c>
      <c r="S188" s="56">
        <f t="shared" si="26"/>
        <v>1716</v>
      </c>
      <c r="T188" s="90" t="s">
        <v>1</v>
      </c>
      <c r="U188" s="56">
        <f t="shared" si="32"/>
        <v>2.3000000000000003</v>
      </c>
      <c r="Z188" s="2" t="str">
        <f t="array" ref="Z188">IFERROR(INDEX(Table14[DESIGNATION ARTICLE],SMALL(IF(ISNUMBER(SEARCH(CALCULATEUR!$D$5,Table14[DESIGNATION ARTICLE])),ROW(Table14[DESIGNATION ARTICLE])-4),ROWS($1:184))),"")</f>
        <v/>
      </c>
    </row>
    <row r="189" spans="1:26" ht="14.45" customHeight="1" x14ac:dyDescent="0.25">
      <c r="A189" s="193"/>
      <c r="B189" s="5" t="s">
        <v>217</v>
      </c>
      <c r="C189" s="31">
        <v>640200000000009</v>
      </c>
      <c r="D189" s="12">
        <v>5411545022634</v>
      </c>
      <c r="E189" s="206">
        <v>50</v>
      </c>
      <c r="F189" s="207">
        <v>1.2</v>
      </c>
      <c r="G189" s="207">
        <v>1</v>
      </c>
      <c r="H189" s="90">
        <v>9</v>
      </c>
      <c r="I189" s="56">
        <f t="shared" si="29"/>
        <v>10.799999999999999</v>
      </c>
      <c r="J189" s="90" t="s">
        <v>1</v>
      </c>
      <c r="K189" s="71">
        <v>5</v>
      </c>
      <c r="L189" s="55">
        <f t="shared" si="23"/>
        <v>45</v>
      </c>
      <c r="M189" s="56">
        <f t="shared" si="30"/>
        <v>53.999999999999993</v>
      </c>
      <c r="N189" s="90" t="s">
        <v>1</v>
      </c>
      <c r="O189" s="90">
        <v>12</v>
      </c>
      <c r="P189" s="56">
        <f t="shared" si="31"/>
        <v>647.99999999999989</v>
      </c>
      <c r="Q189" s="90" t="s">
        <v>1</v>
      </c>
      <c r="R189" s="90">
        <v>26</v>
      </c>
      <c r="S189" s="56">
        <f t="shared" si="26"/>
        <v>1403.9999999999998</v>
      </c>
      <c r="T189" s="90" t="s">
        <v>1</v>
      </c>
      <c r="U189" s="56">
        <f t="shared" si="32"/>
        <v>2.35</v>
      </c>
      <c r="Z189" s="2" t="str">
        <f t="array" ref="Z189">IFERROR(INDEX(Table14[DESIGNATION ARTICLE],SMALL(IF(ISNUMBER(SEARCH(CALCULATEUR!$D$5,Table14[DESIGNATION ARTICLE])),ROW(Table14[DESIGNATION ARTICLE])-4),ROWS($1:185))),"")</f>
        <v/>
      </c>
    </row>
    <row r="190" spans="1:26" ht="14.45" customHeight="1" x14ac:dyDescent="0.25">
      <c r="A190" s="193"/>
      <c r="B190" s="5" t="s">
        <v>218</v>
      </c>
      <c r="C190" s="31">
        <v>640200000000010</v>
      </c>
      <c r="D190" s="11">
        <v>5411545022641</v>
      </c>
      <c r="E190" s="208">
        <v>60</v>
      </c>
      <c r="F190" s="209">
        <v>1.2</v>
      </c>
      <c r="G190" s="209">
        <v>1</v>
      </c>
      <c r="H190" s="90">
        <v>8</v>
      </c>
      <c r="I190" s="56">
        <f t="shared" si="29"/>
        <v>9.6</v>
      </c>
      <c r="J190" s="90" t="s">
        <v>1</v>
      </c>
      <c r="K190" s="71">
        <v>5</v>
      </c>
      <c r="L190" s="55">
        <f t="shared" ref="L190:L221" si="33">H190*K190</f>
        <v>40</v>
      </c>
      <c r="M190" s="56">
        <f t="shared" si="30"/>
        <v>48</v>
      </c>
      <c r="N190" s="90" t="s">
        <v>1</v>
      </c>
      <c r="O190" s="90">
        <v>12</v>
      </c>
      <c r="P190" s="56">
        <f t="shared" si="31"/>
        <v>576</v>
      </c>
      <c r="Q190" s="90" t="s">
        <v>1</v>
      </c>
      <c r="R190" s="90">
        <v>26</v>
      </c>
      <c r="S190" s="56">
        <f t="shared" si="26"/>
        <v>1248</v>
      </c>
      <c r="T190" s="90" t="s">
        <v>1</v>
      </c>
      <c r="U190" s="56">
        <f t="shared" si="32"/>
        <v>2.5</v>
      </c>
      <c r="Z190" s="2" t="str">
        <f t="array" ref="Z190">IFERROR(INDEX(Table14[DESIGNATION ARTICLE],SMALL(IF(ISNUMBER(SEARCH(CALCULATEUR!$D$5,Table14[DESIGNATION ARTICLE])),ROW(Table14[DESIGNATION ARTICLE])-4),ROWS($1:186))),"")</f>
        <v/>
      </c>
    </row>
    <row r="191" spans="1:26" ht="14.45" customHeight="1" x14ac:dyDescent="0.25">
      <c r="A191" s="193"/>
      <c r="B191" s="5" t="s">
        <v>219</v>
      </c>
      <c r="C191" s="31">
        <v>640200000000011</v>
      </c>
      <c r="D191" s="12">
        <v>5411545022658</v>
      </c>
      <c r="E191" s="206">
        <v>70</v>
      </c>
      <c r="F191" s="207">
        <v>1.2</v>
      </c>
      <c r="G191" s="207">
        <v>1</v>
      </c>
      <c r="H191" s="90">
        <v>6</v>
      </c>
      <c r="I191" s="56">
        <f t="shared" si="29"/>
        <v>7.1999999999999993</v>
      </c>
      <c r="J191" s="90" t="s">
        <v>1</v>
      </c>
      <c r="K191" s="71">
        <v>5</v>
      </c>
      <c r="L191" s="55">
        <f t="shared" si="33"/>
        <v>30</v>
      </c>
      <c r="M191" s="56">
        <f t="shared" si="30"/>
        <v>36</v>
      </c>
      <c r="N191" s="90" t="s">
        <v>1</v>
      </c>
      <c r="O191" s="90">
        <v>12</v>
      </c>
      <c r="P191" s="56">
        <f t="shared" si="31"/>
        <v>432</v>
      </c>
      <c r="Q191" s="90" t="s">
        <v>1</v>
      </c>
      <c r="R191" s="90">
        <v>26</v>
      </c>
      <c r="S191" s="56">
        <f t="shared" si="26"/>
        <v>936</v>
      </c>
      <c r="T191" s="90" t="s">
        <v>1</v>
      </c>
      <c r="U191" s="56">
        <f t="shared" si="32"/>
        <v>2.2000000000000002</v>
      </c>
      <c r="Z191" s="2" t="str">
        <f t="array" ref="Z191">IFERROR(INDEX(Table14[DESIGNATION ARTICLE],SMALL(IF(ISNUMBER(SEARCH(CALCULATEUR!$D$5,Table14[DESIGNATION ARTICLE])),ROW(Table14[DESIGNATION ARTICLE])-4),ROWS($1:187))),"")</f>
        <v/>
      </c>
    </row>
    <row r="192" spans="1:26" ht="14.45" customHeight="1" x14ac:dyDescent="0.25">
      <c r="A192" s="193"/>
      <c r="B192" s="5" t="s">
        <v>220</v>
      </c>
      <c r="C192" s="31">
        <v>640200000000055</v>
      </c>
      <c r="D192" s="11">
        <v>5411545022665</v>
      </c>
      <c r="E192" s="208">
        <v>80</v>
      </c>
      <c r="F192" s="209">
        <v>1.2</v>
      </c>
      <c r="G192" s="209">
        <v>1</v>
      </c>
      <c r="H192" s="90">
        <v>3</v>
      </c>
      <c r="I192" s="56">
        <f t="shared" si="29"/>
        <v>3.5999999999999996</v>
      </c>
      <c r="J192" s="90" t="s">
        <v>1</v>
      </c>
      <c r="K192" s="71">
        <v>10</v>
      </c>
      <c r="L192" s="55">
        <f t="shared" si="33"/>
        <v>30</v>
      </c>
      <c r="M192" s="56">
        <f t="shared" si="30"/>
        <v>36</v>
      </c>
      <c r="N192" s="90" t="s">
        <v>1</v>
      </c>
      <c r="O192" s="90">
        <v>12</v>
      </c>
      <c r="P192" s="56">
        <f t="shared" si="31"/>
        <v>432</v>
      </c>
      <c r="Q192" s="90" t="s">
        <v>1</v>
      </c>
      <c r="R192" s="90">
        <v>26</v>
      </c>
      <c r="S192" s="56">
        <f t="shared" si="26"/>
        <v>936</v>
      </c>
      <c r="T192" s="90" t="s">
        <v>1</v>
      </c>
      <c r="U192" s="56">
        <f t="shared" si="32"/>
        <v>2.5</v>
      </c>
      <c r="Z192" s="2" t="str">
        <f t="array" ref="Z192">IFERROR(INDEX(Table14[DESIGNATION ARTICLE],SMALL(IF(ISNUMBER(SEARCH(CALCULATEUR!$D$5,Table14[DESIGNATION ARTICLE])),ROW(Table14[DESIGNATION ARTICLE])-4),ROWS($1:188))),"")</f>
        <v/>
      </c>
    </row>
    <row r="193" spans="1:26" ht="14.45" customHeight="1" x14ac:dyDescent="0.25">
      <c r="A193" s="193"/>
      <c r="B193" s="5" t="s">
        <v>221</v>
      </c>
      <c r="C193" s="31">
        <v>640200000000155</v>
      </c>
      <c r="D193" s="12">
        <v>5411545022672</v>
      </c>
      <c r="E193" s="206">
        <v>100</v>
      </c>
      <c r="F193" s="207">
        <v>1.2</v>
      </c>
      <c r="G193" s="207">
        <v>1</v>
      </c>
      <c r="H193" s="90">
        <v>3</v>
      </c>
      <c r="I193" s="56">
        <f t="shared" si="29"/>
        <v>3.5999999999999996</v>
      </c>
      <c r="J193" s="90" t="s">
        <v>1</v>
      </c>
      <c r="K193" s="71">
        <v>8</v>
      </c>
      <c r="L193" s="55">
        <f t="shared" si="33"/>
        <v>24</v>
      </c>
      <c r="M193" s="56">
        <f t="shared" si="30"/>
        <v>28.799999999999997</v>
      </c>
      <c r="N193" s="90" t="s">
        <v>1</v>
      </c>
      <c r="O193" s="90">
        <v>12</v>
      </c>
      <c r="P193" s="56">
        <f t="shared" si="31"/>
        <v>345.59999999999997</v>
      </c>
      <c r="Q193" s="90" t="s">
        <v>1</v>
      </c>
      <c r="R193" s="90">
        <v>26</v>
      </c>
      <c r="S193" s="56">
        <f t="shared" si="26"/>
        <v>748.8</v>
      </c>
      <c r="T193" s="90" t="s">
        <v>1</v>
      </c>
      <c r="U193" s="56">
        <f t="shared" si="32"/>
        <v>2.5000000000000004</v>
      </c>
      <c r="Z193" s="2" t="str">
        <f t="array" ref="Z193">IFERROR(INDEX(Table14[DESIGNATION ARTICLE],SMALL(IF(ISNUMBER(SEARCH(CALCULATEUR!$D$5,Table14[DESIGNATION ARTICLE])),ROW(Table14[DESIGNATION ARTICLE])-4),ROWS($1:189))),"")</f>
        <v/>
      </c>
    </row>
    <row r="194" spans="1:26" ht="14.45" customHeight="1" x14ac:dyDescent="0.25">
      <c r="A194" s="193"/>
      <c r="B194" s="5" t="s">
        <v>222</v>
      </c>
      <c r="C194" s="24">
        <v>640200000000516</v>
      </c>
      <c r="D194" s="11">
        <v>5411545032527</v>
      </c>
      <c r="E194" s="122">
        <v>110</v>
      </c>
      <c r="F194" s="209">
        <v>1.2</v>
      </c>
      <c r="G194" s="209">
        <v>1</v>
      </c>
      <c r="H194" s="110">
        <v>4</v>
      </c>
      <c r="I194" s="56">
        <f t="shared" si="29"/>
        <v>4.8</v>
      </c>
      <c r="J194" s="90" t="s">
        <v>1</v>
      </c>
      <c r="K194" s="107">
        <v>5</v>
      </c>
      <c r="L194" s="55">
        <f t="shared" si="33"/>
        <v>20</v>
      </c>
      <c r="M194" s="56">
        <f t="shared" si="30"/>
        <v>24</v>
      </c>
      <c r="N194" s="90" t="s">
        <v>1</v>
      </c>
      <c r="O194" s="90">
        <v>12</v>
      </c>
      <c r="P194" s="56">
        <f t="shared" si="31"/>
        <v>288</v>
      </c>
      <c r="Q194" s="90" t="s">
        <v>1</v>
      </c>
      <c r="R194" s="90">
        <v>26</v>
      </c>
      <c r="S194" s="56">
        <f t="shared" si="26"/>
        <v>624</v>
      </c>
      <c r="T194" s="90" t="s">
        <v>1</v>
      </c>
      <c r="U194" s="56">
        <f t="shared" si="32"/>
        <v>2.3000000000000003</v>
      </c>
      <c r="Z194" s="2" t="str">
        <f t="array" ref="Z194">IFERROR(INDEX(Table14[DESIGNATION ARTICLE],SMALL(IF(ISNUMBER(SEARCH(CALCULATEUR!$D$5,Table14[DESIGNATION ARTICLE])),ROW(Table14[DESIGNATION ARTICLE])-4),ROWS($1:190))),"")</f>
        <v/>
      </c>
    </row>
    <row r="195" spans="1:26" ht="14.45" customHeight="1" x14ac:dyDescent="0.25">
      <c r="A195" s="193"/>
      <c r="B195" s="5" t="s">
        <v>223</v>
      </c>
      <c r="C195" s="31">
        <v>640200000000364</v>
      </c>
      <c r="D195" s="12">
        <v>5411545019177</v>
      </c>
      <c r="E195" s="206">
        <v>120</v>
      </c>
      <c r="F195" s="207">
        <v>1.2</v>
      </c>
      <c r="G195" s="207">
        <v>1</v>
      </c>
      <c r="H195" s="90">
        <v>4</v>
      </c>
      <c r="I195" s="56">
        <f t="shared" si="29"/>
        <v>4.8</v>
      </c>
      <c r="J195" s="90" t="s">
        <v>1</v>
      </c>
      <c r="K195" s="71">
        <v>5</v>
      </c>
      <c r="L195" s="55">
        <f t="shared" si="33"/>
        <v>20</v>
      </c>
      <c r="M195" s="56">
        <f t="shared" si="30"/>
        <v>24</v>
      </c>
      <c r="N195" s="90" t="s">
        <v>1</v>
      </c>
      <c r="O195" s="90">
        <v>12</v>
      </c>
      <c r="P195" s="56">
        <f t="shared" si="31"/>
        <v>288</v>
      </c>
      <c r="Q195" s="90" t="s">
        <v>1</v>
      </c>
      <c r="R195" s="90">
        <v>26</v>
      </c>
      <c r="S195" s="56">
        <f t="shared" si="26"/>
        <v>624</v>
      </c>
      <c r="T195" s="90" t="s">
        <v>1</v>
      </c>
      <c r="U195" s="56">
        <f t="shared" si="32"/>
        <v>2.5</v>
      </c>
      <c r="Z195" s="2" t="str">
        <f t="array" ref="Z195">IFERROR(INDEX(Table14[DESIGNATION ARTICLE],SMALL(IF(ISNUMBER(SEARCH(CALCULATEUR!$D$5,Table14[DESIGNATION ARTICLE])),ROW(Table14[DESIGNATION ARTICLE])-4),ROWS($1:191))),"")</f>
        <v/>
      </c>
    </row>
    <row r="196" spans="1:26" ht="14.45" customHeight="1" x14ac:dyDescent="0.25">
      <c r="A196" s="193"/>
      <c r="B196" s="5" t="s">
        <v>224</v>
      </c>
      <c r="C196" s="31">
        <v>640200000000013</v>
      </c>
      <c r="D196" s="11">
        <v>5411545019269</v>
      </c>
      <c r="E196" s="208">
        <v>30</v>
      </c>
      <c r="F196" s="209">
        <v>2.5</v>
      </c>
      <c r="G196" s="209">
        <v>1.2</v>
      </c>
      <c r="H196" s="90">
        <v>12</v>
      </c>
      <c r="I196" s="56">
        <f t="shared" si="29"/>
        <v>36</v>
      </c>
      <c r="J196" s="90" t="s">
        <v>1</v>
      </c>
      <c r="K196" s="71">
        <v>7</v>
      </c>
      <c r="L196" s="55">
        <f t="shared" si="33"/>
        <v>84</v>
      </c>
      <c r="M196" s="56">
        <f t="shared" si="30"/>
        <v>252</v>
      </c>
      <c r="N196" s="90" t="s">
        <v>1</v>
      </c>
      <c r="O196" s="90">
        <v>12</v>
      </c>
      <c r="P196" s="56">
        <f t="shared" si="31"/>
        <v>3024</v>
      </c>
      <c r="Q196" s="90" t="s">
        <v>1</v>
      </c>
      <c r="R196" s="90">
        <v>26</v>
      </c>
      <c r="S196" s="56">
        <f t="shared" si="26"/>
        <v>6552</v>
      </c>
      <c r="T196" s="90" t="s">
        <v>1</v>
      </c>
      <c r="U196" s="56">
        <f t="shared" si="32"/>
        <v>2.62</v>
      </c>
      <c r="Z196" s="2" t="str">
        <f t="array" ref="Z196">IFERROR(INDEX(Table14[DESIGNATION ARTICLE],SMALL(IF(ISNUMBER(SEARCH(CALCULATEUR!$D$5,Table14[DESIGNATION ARTICLE])),ROW(Table14[DESIGNATION ARTICLE])-4),ROWS($1:192))),"")</f>
        <v/>
      </c>
    </row>
    <row r="197" spans="1:26" ht="14.45" customHeight="1" x14ac:dyDescent="0.25">
      <c r="A197" s="193"/>
      <c r="B197" s="5" t="s">
        <v>225</v>
      </c>
      <c r="C197" s="31">
        <v>640200000000014</v>
      </c>
      <c r="D197" s="12">
        <v>5411545019252</v>
      </c>
      <c r="E197" s="206">
        <v>40</v>
      </c>
      <c r="F197" s="207">
        <v>2.5</v>
      </c>
      <c r="G197" s="207">
        <v>1.2</v>
      </c>
      <c r="H197" s="90">
        <v>9</v>
      </c>
      <c r="I197" s="56">
        <f t="shared" si="29"/>
        <v>27</v>
      </c>
      <c r="J197" s="90" t="s">
        <v>1</v>
      </c>
      <c r="K197" s="71">
        <v>7</v>
      </c>
      <c r="L197" s="55">
        <f t="shared" si="33"/>
        <v>63</v>
      </c>
      <c r="M197" s="56">
        <f t="shared" si="30"/>
        <v>189</v>
      </c>
      <c r="N197" s="90" t="s">
        <v>1</v>
      </c>
      <c r="O197" s="90">
        <v>12</v>
      </c>
      <c r="P197" s="56">
        <f t="shared" si="31"/>
        <v>2268</v>
      </c>
      <c r="Q197" s="90" t="s">
        <v>1</v>
      </c>
      <c r="R197" s="90">
        <v>26</v>
      </c>
      <c r="S197" s="56">
        <f t="shared" si="26"/>
        <v>4914</v>
      </c>
      <c r="T197" s="90" t="s">
        <v>1</v>
      </c>
      <c r="U197" s="56">
        <f t="shared" si="32"/>
        <v>2.62</v>
      </c>
      <c r="Z197" s="2" t="str">
        <f t="array" ref="Z197">IFERROR(INDEX(Table14[DESIGNATION ARTICLE],SMALL(IF(ISNUMBER(SEARCH(CALCULATEUR!$D$5,Table14[DESIGNATION ARTICLE])),ROW(Table14[DESIGNATION ARTICLE])-4),ROWS($1:193))),"")</f>
        <v/>
      </c>
    </row>
    <row r="198" spans="1:26" ht="14.45" customHeight="1" x14ac:dyDescent="0.25">
      <c r="A198" s="193"/>
      <c r="B198" s="5" t="s">
        <v>226</v>
      </c>
      <c r="C198" s="31">
        <v>640200000000015</v>
      </c>
      <c r="D198" s="11">
        <v>5411545019245</v>
      </c>
      <c r="E198" s="208">
        <v>50</v>
      </c>
      <c r="F198" s="209">
        <v>2.5</v>
      </c>
      <c r="G198" s="209">
        <v>1.2</v>
      </c>
      <c r="H198" s="90">
        <v>7</v>
      </c>
      <c r="I198" s="56">
        <f t="shared" si="29"/>
        <v>21</v>
      </c>
      <c r="J198" s="90" t="s">
        <v>1</v>
      </c>
      <c r="K198" s="71">
        <v>7</v>
      </c>
      <c r="L198" s="55">
        <f t="shared" si="33"/>
        <v>49</v>
      </c>
      <c r="M198" s="56">
        <f t="shared" si="30"/>
        <v>147</v>
      </c>
      <c r="N198" s="90" t="s">
        <v>1</v>
      </c>
      <c r="O198" s="90">
        <v>12</v>
      </c>
      <c r="P198" s="56">
        <f t="shared" si="31"/>
        <v>1764</v>
      </c>
      <c r="Q198" s="90" t="s">
        <v>1</v>
      </c>
      <c r="R198" s="90">
        <v>26</v>
      </c>
      <c r="S198" s="56">
        <f t="shared" si="26"/>
        <v>3822</v>
      </c>
      <c r="T198" s="90" t="s">
        <v>1</v>
      </c>
      <c r="U198" s="56">
        <f t="shared" si="32"/>
        <v>2.5500000000000003</v>
      </c>
      <c r="Z198" s="2" t="str">
        <f t="array" ref="Z198">IFERROR(INDEX(Table14[DESIGNATION ARTICLE],SMALL(IF(ISNUMBER(SEARCH(CALCULATEUR!$D$5,Table14[DESIGNATION ARTICLE])),ROW(Table14[DESIGNATION ARTICLE])-4),ROWS($1:194))),"")</f>
        <v/>
      </c>
    </row>
    <row r="199" spans="1:26" ht="14.45" customHeight="1" x14ac:dyDescent="0.25">
      <c r="A199" s="193"/>
      <c r="B199" s="5" t="s">
        <v>227</v>
      </c>
      <c r="C199" s="31">
        <v>640200000000016</v>
      </c>
      <c r="D199" s="12">
        <v>5411545019238</v>
      </c>
      <c r="E199" s="206">
        <v>60</v>
      </c>
      <c r="F199" s="207">
        <v>2.5</v>
      </c>
      <c r="G199" s="207">
        <v>1.2</v>
      </c>
      <c r="H199" s="90">
        <v>6</v>
      </c>
      <c r="I199" s="56">
        <f t="shared" si="29"/>
        <v>18</v>
      </c>
      <c r="J199" s="90" t="s">
        <v>1</v>
      </c>
      <c r="K199" s="71">
        <v>7</v>
      </c>
      <c r="L199" s="55">
        <f t="shared" si="33"/>
        <v>42</v>
      </c>
      <c r="M199" s="56">
        <f t="shared" si="30"/>
        <v>126</v>
      </c>
      <c r="N199" s="90" t="s">
        <v>1</v>
      </c>
      <c r="O199" s="90">
        <v>12</v>
      </c>
      <c r="P199" s="56">
        <f t="shared" si="31"/>
        <v>1512</v>
      </c>
      <c r="Q199" s="90" t="s">
        <v>1</v>
      </c>
      <c r="R199" s="90">
        <v>26</v>
      </c>
      <c r="S199" s="56">
        <f t="shared" si="26"/>
        <v>3276</v>
      </c>
      <c r="T199" s="90" t="s">
        <v>1</v>
      </c>
      <c r="U199" s="56">
        <f t="shared" si="32"/>
        <v>2.62</v>
      </c>
      <c r="Z199" s="2" t="str">
        <f t="array" ref="Z199">IFERROR(INDEX(Table14[DESIGNATION ARTICLE],SMALL(IF(ISNUMBER(SEARCH(CALCULATEUR!$D$5,Table14[DESIGNATION ARTICLE])),ROW(Table14[DESIGNATION ARTICLE])-4),ROWS($1:195))),"")</f>
        <v/>
      </c>
    </row>
    <row r="200" spans="1:26" ht="14.45" customHeight="1" x14ac:dyDescent="0.25">
      <c r="A200" s="193"/>
      <c r="B200" s="5" t="s">
        <v>228</v>
      </c>
      <c r="C200" s="31">
        <v>640200000000017</v>
      </c>
      <c r="D200" s="11">
        <v>5411545019221</v>
      </c>
      <c r="E200" s="208">
        <v>70</v>
      </c>
      <c r="F200" s="209">
        <v>2.5</v>
      </c>
      <c r="G200" s="209">
        <v>1.2</v>
      </c>
      <c r="H200" s="90">
        <v>5</v>
      </c>
      <c r="I200" s="56">
        <f t="shared" si="29"/>
        <v>15</v>
      </c>
      <c r="J200" s="90" t="s">
        <v>1</v>
      </c>
      <c r="K200" s="71">
        <v>7</v>
      </c>
      <c r="L200" s="55">
        <f t="shared" si="33"/>
        <v>35</v>
      </c>
      <c r="M200" s="56">
        <f t="shared" si="30"/>
        <v>105</v>
      </c>
      <c r="N200" s="90" t="s">
        <v>1</v>
      </c>
      <c r="O200" s="90">
        <v>12</v>
      </c>
      <c r="P200" s="56">
        <f t="shared" si="31"/>
        <v>1260</v>
      </c>
      <c r="Q200" s="90" t="s">
        <v>1</v>
      </c>
      <c r="R200" s="90">
        <v>26</v>
      </c>
      <c r="S200" s="56">
        <f t="shared" si="26"/>
        <v>2730</v>
      </c>
      <c r="T200" s="90" t="s">
        <v>1</v>
      </c>
      <c r="U200" s="56">
        <f t="shared" si="32"/>
        <v>2.5500000000000003</v>
      </c>
      <c r="Z200" s="2" t="str">
        <f t="array" ref="Z200">IFERROR(INDEX(Table14[DESIGNATION ARTICLE],SMALL(IF(ISNUMBER(SEARCH(CALCULATEUR!$D$5,Table14[DESIGNATION ARTICLE])),ROW(Table14[DESIGNATION ARTICLE])-4),ROWS($1:196))),"")</f>
        <v/>
      </c>
    </row>
    <row r="201" spans="1:26" ht="14.45" customHeight="1" x14ac:dyDescent="0.25">
      <c r="A201" s="193"/>
      <c r="B201" s="5" t="s">
        <v>229</v>
      </c>
      <c r="C201" s="31">
        <v>640200000000123</v>
      </c>
      <c r="D201" s="12">
        <v>5411545019191</v>
      </c>
      <c r="E201" s="206">
        <v>80</v>
      </c>
      <c r="F201" s="207">
        <v>2.5</v>
      </c>
      <c r="G201" s="207">
        <v>1.2</v>
      </c>
      <c r="H201" s="90">
        <v>4</v>
      </c>
      <c r="I201" s="56">
        <f t="shared" si="29"/>
        <v>12</v>
      </c>
      <c r="J201" s="90" t="s">
        <v>1</v>
      </c>
      <c r="K201" s="71">
        <v>8</v>
      </c>
      <c r="L201" s="55">
        <f t="shared" si="33"/>
        <v>32</v>
      </c>
      <c r="M201" s="56">
        <f t="shared" si="30"/>
        <v>96</v>
      </c>
      <c r="N201" s="90" t="s">
        <v>1</v>
      </c>
      <c r="O201" s="90">
        <v>12</v>
      </c>
      <c r="P201" s="56">
        <f t="shared" si="31"/>
        <v>1152</v>
      </c>
      <c r="Q201" s="90" t="s">
        <v>1</v>
      </c>
      <c r="R201" s="90">
        <v>26</v>
      </c>
      <c r="S201" s="56">
        <f t="shared" ref="S201:S221" si="34">R201*M201</f>
        <v>2496</v>
      </c>
      <c r="T201" s="90" t="s">
        <v>1</v>
      </c>
      <c r="U201" s="56">
        <f t="shared" si="32"/>
        <v>2.66</v>
      </c>
      <c r="Z201" s="2" t="str">
        <f t="array" ref="Z201">IFERROR(INDEX(Table14[DESIGNATION ARTICLE],SMALL(IF(ISNUMBER(SEARCH(CALCULATEUR!$D$5,Table14[DESIGNATION ARTICLE])),ROW(Table14[DESIGNATION ARTICLE])-4),ROWS($1:197))),"")</f>
        <v/>
      </c>
    </row>
    <row r="202" spans="1:26" ht="14.45" customHeight="1" x14ac:dyDescent="0.25">
      <c r="A202" s="193"/>
      <c r="B202" s="5" t="s">
        <v>230</v>
      </c>
      <c r="C202" s="24">
        <v>640200000000289</v>
      </c>
      <c r="D202" s="11">
        <v>5411545019184</v>
      </c>
      <c r="E202" s="122">
        <v>90</v>
      </c>
      <c r="F202" s="209">
        <v>2.5</v>
      </c>
      <c r="G202" s="209">
        <v>1.2</v>
      </c>
      <c r="H202" s="110">
        <v>4</v>
      </c>
      <c r="I202" s="56">
        <f t="shared" si="29"/>
        <v>12</v>
      </c>
      <c r="J202" s="90" t="s">
        <v>1</v>
      </c>
      <c r="K202" s="107">
        <v>6</v>
      </c>
      <c r="L202" s="55">
        <f t="shared" si="33"/>
        <v>24</v>
      </c>
      <c r="M202" s="56">
        <f t="shared" si="30"/>
        <v>72</v>
      </c>
      <c r="N202" s="90" t="s">
        <v>1</v>
      </c>
      <c r="O202" s="90">
        <v>12</v>
      </c>
      <c r="P202" s="56">
        <f t="shared" si="31"/>
        <v>864</v>
      </c>
      <c r="Q202" s="90" t="s">
        <v>1</v>
      </c>
      <c r="R202" s="90">
        <v>26</v>
      </c>
      <c r="S202" s="56">
        <f t="shared" si="34"/>
        <v>1872</v>
      </c>
      <c r="T202" s="90" t="s">
        <v>1</v>
      </c>
      <c r="U202" s="56">
        <f t="shared" si="32"/>
        <v>2.2600000000000002</v>
      </c>
      <c r="Z202" s="2" t="str">
        <f t="array" ref="Z202">IFERROR(INDEX(Table14[DESIGNATION ARTICLE],SMALL(IF(ISNUMBER(SEARCH(CALCULATEUR!$D$5,Table14[DESIGNATION ARTICLE])),ROW(Table14[DESIGNATION ARTICLE])-4),ROWS($1:198))),"")</f>
        <v/>
      </c>
    </row>
    <row r="203" spans="1:26" ht="14.45" customHeight="1" thickBot="1" x14ac:dyDescent="0.3">
      <c r="A203" s="193"/>
      <c r="B203" s="136" t="s">
        <v>231</v>
      </c>
      <c r="C203" s="32">
        <v>640200000000089</v>
      </c>
      <c r="D203" s="12">
        <v>5411545019207</v>
      </c>
      <c r="E203" s="212">
        <v>100</v>
      </c>
      <c r="F203" s="213">
        <v>2.5</v>
      </c>
      <c r="G203" s="213">
        <v>1.2</v>
      </c>
      <c r="H203" s="96">
        <v>3</v>
      </c>
      <c r="I203" s="58">
        <f t="shared" si="29"/>
        <v>9</v>
      </c>
      <c r="J203" s="96" t="s">
        <v>1</v>
      </c>
      <c r="K203" s="74">
        <v>8</v>
      </c>
      <c r="L203" s="57">
        <f t="shared" si="33"/>
        <v>24</v>
      </c>
      <c r="M203" s="58">
        <f t="shared" si="30"/>
        <v>72</v>
      </c>
      <c r="N203" s="96" t="s">
        <v>1</v>
      </c>
      <c r="O203" s="96">
        <v>12</v>
      </c>
      <c r="P203" s="56">
        <f t="shared" si="31"/>
        <v>864</v>
      </c>
      <c r="Q203" s="96" t="s">
        <v>1</v>
      </c>
      <c r="R203" s="96">
        <v>26</v>
      </c>
      <c r="S203" s="58">
        <f t="shared" si="34"/>
        <v>1872</v>
      </c>
      <c r="T203" s="96" t="s">
        <v>1</v>
      </c>
      <c r="U203" s="56">
        <f t="shared" si="32"/>
        <v>2.5000000000000004</v>
      </c>
      <c r="Z203" s="2" t="str">
        <f t="array" ref="Z203">IFERROR(INDEX(Table14[DESIGNATION ARTICLE],SMALL(IF(ISNUMBER(SEARCH(CALCULATEUR!$D$5,Table14[DESIGNATION ARTICLE])),ROW(Table14[DESIGNATION ARTICLE])-4),ROWS($1:199))),"")</f>
        <v/>
      </c>
    </row>
    <row r="204" spans="1:26" s="6" customFormat="1" ht="15" customHeight="1" x14ac:dyDescent="0.2">
      <c r="A204" s="193"/>
      <c r="B204" s="5" t="s">
        <v>232</v>
      </c>
      <c r="C204" s="50">
        <v>640120000000003</v>
      </c>
      <c r="D204" s="12" t="s">
        <v>12</v>
      </c>
      <c r="E204" s="218">
        <v>40</v>
      </c>
      <c r="F204" s="207">
        <v>1.2</v>
      </c>
      <c r="G204" s="207">
        <v>0.3</v>
      </c>
      <c r="H204" s="111">
        <v>90</v>
      </c>
      <c r="I204" s="112">
        <f t="shared" si="29"/>
        <v>32.4</v>
      </c>
      <c r="J204" s="113" t="s">
        <v>1</v>
      </c>
      <c r="K204" s="114">
        <v>1</v>
      </c>
      <c r="L204" s="55">
        <f t="shared" si="33"/>
        <v>90</v>
      </c>
      <c r="M204" s="115">
        <f t="shared" si="30"/>
        <v>32.4</v>
      </c>
      <c r="N204" s="113" t="s">
        <v>1</v>
      </c>
      <c r="O204" s="113"/>
      <c r="P204" s="60"/>
      <c r="Q204" s="113"/>
      <c r="R204" s="113"/>
      <c r="S204" s="56"/>
      <c r="T204" s="113"/>
      <c r="U204" s="56"/>
      <c r="Z204" s="2" t="str">
        <f t="array" ref="Z204">IFERROR(INDEX(Table14[DESIGNATION ARTICLE],SMALL(IF(ISNUMBER(SEARCH(CALCULATEUR!$D$5,Table14[DESIGNATION ARTICLE])),ROW(Table14[DESIGNATION ARTICLE])-4),ROWS($1:200))),"")</f>
        <v/>
      </c>
    </row>
    <row r="205" spans="1:26" s="6" customFormat="1" ht="15" customHeight="1" thickBot="1" x14ac:dyDescent="0.25">
      <c r="A205" s="193"/>
      <c r="B205" s="5" t="s">
        <v>233</v>
      </c>
      <c r="C205" s="51">
        <v>640120000000004</v>
      </c>
      <c r="D205" s="12" t="s">
        <v>12</v>
      </c>
      <c r="E205" s="218">
        <v>40</v>
      </c>
      <c r="F205" s="207">
        <v>1.2</v>
      </c>
      <c r="G205" s="207">
        <v>0.22</v>
      </c>
      <c r="H205" s="116">
        <v>150</v>
      </c>
      <c r="I205" s="117">
        <f t="shared" si="29"/>
        <v>39.6</v>
      </c>
      <c r="J205" s="113" t="s">
        <v>1</v>
      </c>
      <c r="K205" s="118">
        <v>1</v>
      </c>
      <c r="L205" s="57">
        <f t="shared" si="33"/>
        <v>150</v>
      </c>
      <c r="M205" s="119">
        <f t="shared" si="30"/>
        <v>39.6</v>
      </c>
      <c r="N205" s="120" t="s">
        <v>1</v>
      </c>
      <c r="O205" s="113"/>
      <c r="P205" s="56"/>
      <c r="Q205" s="113"/>
      <c r="R205" s="113"/>
      <c r="S205" s="58"/>
      <c r="T205" s="113"/>
      <c r="U205" s="56"/>
      <c r="Z205" s="2" t="str">
        <f t="array" ref="Z205">IFERROR(INDEX(Table14[DESIGNATION ARTICLE],SMALL(IF(ISNUMBER(SEARCH(CALCULATEUR!$D$5,Table14[DESIGNATION ARTICLE])),ROW(Table14[DESIGNATION ARTICLE])-4),ROWS($1:201))),"")</f>
        <v/>
      </c>
    </row>
    <row r="206" spans="1:26" ht="14.45" customHeight="1" x14ac:dyDescent="0.25">
      <c r="A206" s="193"/>
      <c r="B206" s="137" t="s">
        <v>234</v>
      </c>
      <c r="C206" s="33">
        <v>640060000000011</v>
      </c>
      <c r="D206" s="9">
        <v>5411545022689</v>
      </c>
      <c r="E206" s="214">
        <v>30</v>
      </c>
      <c r="F206" s="215">
        <v>1.2</v>
      </c>
      <c r="G206" s="215">
        <v>0.6</v>
      </c>
      <c r="H206" s="121">
        <v>16</v>
      </c>
      <c r="I206" s="112">
        <f t="shared" si="29"/>
        <v>11.52</v>
      </c>
      <c r="J206" s="121" t="s">
        <v>1</v>
      </c>
      <c r="K206" s="67">
        <v>10</v>
      </c>
      <c r="L206" s="55">
        <f t="shared" si="33"/>
        <v>160</v>
      </c>
      <c r="M206" s="60">
        <f t="shared" si="30"/>
        <v>115.19999999999999</v>
      </c>
      <c r="N206" s="121" t="s">
        <v>1</v>
      </c>
      <c r="O206" s="121">
        <v>12</v>
      </c>
      <c r="P206" s="60">
        <f t="shared" si="31"/>
        <v>1382.3999999999999</v>
      </c>
      <c r="Q206" s="121" t="s">
        <v>1</v>
      </c>
      <c r="R206" s="121">
        <v>26</v>
      </c>
      <c r="S206" s="56">
        <f t="shared" si="34"/>
        <v>2995.2</v>
      </c>
      <c r="T206" s="121" t="s">
        <v>1</v>
      </c>
      <c r="U206" s="56">
        <f t="shared" ref="U206:U214" si="35">0.1+(L206*(E206/1000))/2</f>
        <v>2.5</v>
      </c>
      <c r="Z206" s="2" t="str">
        <f t="array" ref="Z206">IFERROR(INDEX(Table14[DESIGNATION ARTICLE],SMALL(IF(ISNUMBER(SEARCH(CALCULATEUR!$D$5,Table14[DESIGNATION ARTICLE])),ROW(Table14[DESIGNATION ARTICLE])-4),ROWS($1:202))),"")</f>
        <v/>
      </c>
    </row>
    <row r="207" spans="1:26" ht="14.45" customHeight="1" x14ac:dyDescent="0.25">
      <c r="A207" s="193"/>
      <c r="B207" s="5" t="s">
        <v>235</v>
      </c>
      <c r="C207" s="31">
        <v>640060000000037</v>
      </c>
      <c r="D207" s="12">
        <v>5411545022696</v>
      </c>
      <c r="E207" s="206">
        <v>40</v>
      </c>
      <c r="F207" s="207">
        <v>1.2</v>
      </c>
      <c r="G207" s="207">
        <v>0.6</v>
      </c>
      <c r="H207" s="113">
        <v>12</v>
      </c>
      <c r="I207" s="122">
        <f t="shared" si="29"/>
        <v>8.64</v>
      </c>
      <c r="J207" s="113" t="s">
        <v>1</v>
      </c>
      <c r="K207" s="71">
        <v>10</v>
      </c>
      <c r="L207" s="55">
        <f t="shared" si="33"/>
        <v>120</v>
      </c>
      <c r="M207" s="56">
        <f t="shared" si="30"/>
        <v>86.4</v>
      </c>
      <c r="N207" s="113" t="s">
        <v>1</v>
      </c>
      <c r="O207" s="113">
        <v>12</v>
      </c>
      <c r="P207" s="56">
        <f t="shared" si="31"/>
        <v>1036.8000000000002</v>
      </c>
      <c r="Q207" s="113" t="s">
        <v>1</v>
      </c>
      <c r="R207" s="113">
        <v>26</v>
      </c>
      <c r="S207" s="56">
        <f t="shared" si="34"/>
        <v>2246.4</v>
      </c>
      <c r="T207" s="113" t="s">
        <v>1</v>
      </c>
      <c r="U207" s="56">
        <f t="shared" si="35"/>
        <v>2.5</v>
      </c>
      <c r="Z207" s="2" t="str">
        <f t="array" ref="Z207">IFERROR(INDEX(Table14[DESIGNATION ARTICLE],SMALL(IF(ISNUMBER(SEARCH(CALCULATEUR!$D$5,Table14[DESIGNATION ARTICLE])),ROW(Table14[DESIGNATION ARTICLE])-4),ROWS($1:203))),"")</f>
        <v/>
      </c>
    </row>
    <row r="208" spans="1:26" ht="14.45" customHeight="1" x14ac:dyDescent="0.25">
      <c r="A208" s="193"/>
      <c r="B208" s="138" t="s">
        <v>236</v>
      </c>
      <c r="C208" s="25">
        <v>640060000000038</v>
      </c>
      <c r="D208" s="11">
        <v>5411545022702</v>
      </c>
      <c r="E208" s="208">
        <v>50</v>
      </c>
      <c r="F208" s="209">
        <v>1.2</v>
      </c>
      <c r="G208" s="209">
        <v>0.6</v>
      </c>
      <c r="H208" s="82">
        <v>10</v>
      </c>
      <c r="I208" s="82">
        <f t="shared" si="29"/>
        <v>7.1999999999999993</v>
      </c>
      <c r="J208" s="82" t="s">
        <v>1</v>
      </c>
      <c r="K208" s="82">
        <v>10</v>
      </c>
      <c r="L208" s="55">
        <f t="shared" si="33"/>
        <v>100</v>
      </c>
      <c r="M208" s="82">
        <f t="shared" si="30"/>
        <v>72</v>
      </c>
      <c r="N208" s="82" t="s">
        <v>1</v>
      </c>
      <c r="O208" s="82">
        <v>12</v>
      </c>
      <c r="P208" s="56">
        <f t="shared" si="31"/>
        <v>864</v>
      </c>
      <c r="Q208" s="82" t="s">
        <v>1</v>
      </c>
      <c r="R208" s="82">
        <v>26</v>
      </c>
      <c r="S208" s="56">
        <f t="shared" si="34"/>
        <v>1872</v>
      </c>
      <c r="T208" s="82" t="s">
        <v>1</v>
      </c>
      <c r="U208" s="56">
        <f t="shared" si="35"/>
        <v>2.6</v>
      </c>
      <c r="Z208" s="2" t="str">
        <f t="array" ref="Z208">IFERROR(INDEX(Table14[DESIGNATION ARTICLE],SMALL(IF(ISNUMBER(SEARCH(CALCULATEUR!$D$5,Table14[DESIGNATION ARTICLE])),ROW(Table14[DESIGNATION ARTICLE])-4),ROWS($1:204))),"")</f>
        <v/>
      </c>
    </row>
    <row r="209" spans="1:26" ht="14.45" customHeight="1" x14ac:dyDescent="0.25">
      <c r="A209" s="193"/>
      <c r="B209" s="5" t="s">
        <v>237</v>
      </c>
      <c r="C209" s="31">
        <v>640060000000016</v>
      </c>
      <c r="D209" s="12">
        <v>5411545022719</v>
      </c>
      <c r="E209" s="206">
        <v>60</v>
      </c>
      <c r="F209" s="207">
        <v>1.2</v>
      </c>
      <c r="G209" s="207">
        <v>0.6</v>
      </c>
      <c r="H209" s="113">
        <v>8</v>
      </c>
      <c r="I209" s="122">
        <f t="shared" si="29"/>
        <v>5.76</v>
      </c>
      <c r="J209" s="113" t="s">
        <v>1</v>
      </c>
      <c r="K209" s="71">
        <v>10</v>
      </c>
      <c r="L209" s="55">
        <f t="shared" si="33"/>
        <v>80</v>
      </c>
      <c r="M209" s="56">
        <f t="shared" si="30"/>
        <v>57.599999999999994</v>
      </c>
      <c r="N209" s="113" t="s">
        <v>1</v>
      </c>
      <c r="O209" s="113">
        <v>12</v>
      </c>
      <c r="P209" s="56">
        <f t="shared" si="31"/>
        <v>691.19999999999993</v>
      </c>
      <c r="Q209" s="113" t="s">
        <v>1</v>
      </c>
      <c r="R209" s="113">
        <v>26</v>
      </c>
      <c r="S209" s="56">
        <f t="shared" si="34"/>
        <v>1497.6</v>
      </c>
      <c r="T209" s="113" t="s">
        <v>1</v>
      </c>
      <c r="U209" s="56">
        <f t="shared" si="35"/>
        <v>2.5</v>
      </c>
      <c r="Z209" s="2" t="str">
        <f t="array" ref="Z209">IFERROR(INDEX(Table14[DESIGNATION ARTICLE],SMALL(IF(ISNUMBER(SEARCH(CALCULATEUR!$D$5,Table14[DESIGNATION ARTICLE])),ROW(Table14[DESIGNATION ARTICLE])-4),ROWS($1:205))),"")</f>
        <v/>
      </c>
    </row>
    <row r="210" spans="1:26" ht="14.45" customHeight="1" x14ac:dyDescent="0.25">
      <c r="A210" s="193"/>
      <c r="B210" s="5" t="s">
        <v>238</v>
      </c>
      <c r="C210" s="31">
        <v>640060000000021</v>
      </c>
      <c r="D210" s="11">
        <v>5411545022726</v>
      </c>
      <c r="E210" s="208">
        <v>70</v>
      </c>
      <c r="F210" s="209">
        <v>1.2</v>
      </c>
      <c r="G210" s="209">
        <v>0.6</v>
      </c>
      <c r="H210" s="113">
        <v>7</v>
      </c>
      <c r="I210" s="122">
        <f t="shared" si="29"/>
        <v>5.04</v>
      </c>
      <c r="J210" s="113" t="s">
        <v>1</v>
      </c>
      <c r="K210" s="71">
        <v>10</v>
      </c>
      <c r="L210" s="55">
        <f t="shared" si="33"/>
        <v>70</v>
      </c>
      <c r="M210" s="56">
        <f t="shared" si="30"/>
        <v>50.4</v>
      </c>
      <c r="N210" s="113" t="s">
        <v>1</v>
      </c>
      <c r="O210" s="113">
        <v>12</v>
      </c>
      <c r="P210" s="56">
        <f t="shared" si="31"/>
        <v>604.79999999999995</v>
      </c>
      <c r="Q210" s="113" t="s">
        <v>1</v>
      </c>
      <c r="R210" s="113">
        <v>26</v>
      </c>
      <c r="S210" s="56">
        <f t="shared" si="34"/>
        <v>1310.3999999999999</v>
      </c>
      <c r="T210" s="113" t="s">
        <v>1</v>
      </c>
      <c r="U210" s="56">
        <f t="shared" si="35"/>
        <v>2.5500000000000003</v>
      </c>
      <c r="Z210" s="2" t="str">
        <f t="array" ref="Z210">IFERROR(INDEX(Table14[DESIGNATION ARTICLE],SMALL(IF(ISNUMBER(SEARCH(CALCULATEUR!$D$5,Table14[DESIGNATION ARTICLE])),ROW(Table14[DESIGNATION ARTICLE])-4),ROWS($1:206))),"")</f>
        <v/>
      </c>
    </row>
    <row r="211" spans="1:26" ht="14.45" customHeight="1" x14ac:dyDescent="0.25">
      <c r="A211" s="193"/>
      <c r="B211" s="5" t="s">
        <v>239</v>
      </c>
      <c r="C211" s="31">
        <v>640060000000015</v>
      </c>
      <c r="D211" s="12">
        <v>5411545022733</v>
      </c>
      <c r="E211" s="206">
        <v>80</v>
      </c>
      <c r="F211" s="207">
        <v>1.2</v>
      </c>
      <c r="G211" s="207">
        <v>0.6</v>
      </c>
      <c r="H211" s="113">
        <v>6</v>
      </c>
      <c r="I211" s="122">
        <f t="shared" si="29"/>
        <v>4.32</v>
      </c>
      <c r="J211" s="113" t="s">
        <v>1</v>
      </c>
      <c r="K211" s="71">
        <v>10</v>
      </c>
      <c r="L211" s="55">
        <f t="shared" si="33"/>
        <v>60</v>
      </c>
      <c r="M211" s="56">
        <f t="shared" si="30"/>
        <v>43.2</v>
      </c>
      <c r="N211" s="113" t="s">
        <v>1</v>
      </c>
      <c r="O211" s="113">
        <v>12</v>
      </c>
      <c r="P211" s="56">
        <f t="shared" si="31"/>
        <v>518.40000000000009</v>
      </c>
      <c r="Q211" s="113" t="s">
        <v>1</v>
      </c>
      <c r="R211" s="113">
        <v>26</v>
      </c>
      <c r="S211" s="56">
        <f t="shared" si="34"/>
        <v>1123.2</v>
      </c>
      <c r="T211" s="113" t="s">
        <v>1</v>
      </c>
      <c r="U211" s="56">
        <f t="shared" si="35"/>
        <v>2.5</v>
      </c>
      <c r="Z211" s="2" t="str">
        <f t="array" ref="Z211">IFERROR(INDEX(Table14[DESIGNATION ARTICLE],SMALL(IF(ISNUMBER(SEARCH(CALCULATEUR!$D$5,Table14[DESIGNATION ARTICLE])),ROW(Table14[DESIGNATION ARTICLE])-4),ROWS($1:207))),"")</f>
        <v/>
      </c>
    </row>
    <row r="212" spans="1:26" ht="14.45" customHeight="1" x14ac:dyDescent="0.25">
      <c r="A212" s="193"/>
      <c r="B212" s="5" t="s">
        <v>240</v>
      </c>
      <c r="C212" s="31">
        <v>640060000000012</v>
      </c>
      <c r="D212" s="11">
        <v>5411545022740</v>
      </c>
      <c r="E212" s="208">
        <v>100</v>
      </c>
      <c r="F212" s="209">
        <v>1.2</v>
      </c>
      <c r="G212" s="209">
        <v>0.6</v>
      </c>
      <c r="H212" s="113">
        <v>5</v>
      </c>
      <c r="I212" s="122">
        <f t="shared" si="29"/>
        <v>3.5999999999999996</v>
      </c>
      <c r="J212" s="113" t="s">
        <v>1</v>
      </c>
      <c r="K212" s="71">
        <v>10</v>
      </c>
      <c r="L212" s="55">
        <f t="shared" si="33"/>
        <v>50</v>
      </c>
      <c r="M212" s="56">
        <f t="shared" si="30"/>
        <v>36</v>
      </c>
      <c r="N212" s="113" t="s">
        <v>1</v>
      </c>
      <c r="O212" s="113">
        <v>12</v>
      </c>
      <c r="P212" s="56">
        <f t="shared" si="31"/>
        <v>432</v>
      </c>
      <c r="Q212" s="113" t="s">
        <v>1</v>
      </c>
      <c r="R212" s="113">
        <v>26</v>
      </c>
      <c r="S212" s="56">
        <f t="shared" si="34"/>
        <v>936</v>
      </c>
      <c r="T212" s="113" t="s">
        <v>1</v>
      </c>
      <c r="U212" s="56">
        <f t="shared" si="35"/>
        <v>2.6</v>
      </c>
      <c r="Z212" s="2" t="str">
        <f t="array" ref="Z212">IFERROR(INDEX(Table14[DESIGNATION ARTICLE],SMALL(IF(ISNUMBER(SEARCH(CALCULATEUR!$D$5,Table14[DESIGNATION ARTICLE])),ROW(Table14[DESIGNATION ARTICLE])-4),ROWS($1:208))),"")</f>
        <v/>
      </c>
    </row>
    <row r="213" spans="1:26" ht="14.45" customHeight="1" x14ac:dyDescent="0.25">
      <c r="A213" s="193"/>
      <c r="B213" s="5" t="s">
        <v>241</v>
      </c>
      <c r="C213" s="31">
        <v>640060000000013</v>
      </c>
      <c r="D213" s="12">
        <v>5411545022757</v>
      </c>
      <c r="E213" s="206">
        <v>120</v>
      </c>
      <c r="F213" s="207">
        <v>1.2</v>
      </c>
      <c r="G213" s="207">
        <v>0.6</v>
      </c>
      <c r="H213" s="113">
        <v>4</v>
      </c>
      <c r="I213" s="122">
        <f t="shared" si="29"/>
        <v>2.88</v>
      </c>
      <c r="J213" s="113" t="s">
        <v>1</v>
      </c>
      <c r="K213" s="71">
        <v>10</v>
      </c>
      <c r="L213" s="55">
        <f t="shared" si="33"/>
        <v>40</v>
      </c>
      <c r="M213" s="56">
        <f t="shared" si="30"/>
        <v>28.799999999999997</v>
      </c>
      <c r="N213" s="113" t="s">
        <v>1</v>
      </c>
      <c r="O213" s="113">
        <v>12</v>
      </c>
      <c r="P213" s="56">
        <f t="shared" si="31"/>
        <v>345.59999999999997</v>
      </c>
      <c r="Q213" s="113" t="s">
        <v>1</v>
      </c>
      <c r="R213" s="113">
        <v>26</v>
      </c>
      <c r="S213" s="56">
        <f t="shared" si="34"/>
        <v>748.8</v>
      </c>
      <c r="T213" s="113" t="s">
        <v>1</v>
      </c>
      <c r="U213" s="56">
        <f t="shared" si="35"/>
        <v>2.5</v>
      </c>
      <c r="Z213" s="2" t="str">
        <f t="array" ref="Z213">IFERROR(INDEX(Table14[DESIGNATION ARTICLE],SMALL(IF(ISNUMBER(SEARCH(CALCULATEUR!$D$5,Table14[DESIGNATION ARTICLE])),ROW(Table14[DESIGNATION ARTICLE])-4),ROWS($1:209))),"")</f>
        <v/>
      </c>
    </row>
    <row r="214" spans="1:26" ht="14.45" customHeight="1" x14ac:dyDescent="0.25">
      <c r="A214" s="193"/>
      <c r="B214" s="138" t="s">
        <v>242</v>
      </c>
      <c r="C214" s="25">
        <v>640060000000031</v>
      </c>
      <c r="D214" s="11" t="s">
        <v>7</v>
      </c>
      <c r="E214" s="208">
        <v>80</v>
      </c>
      <c r="F214" s="209">
        <v>1.2</v>
      </c>
      <c r="G214" s="209">
        <v>0.6</v>
      </c>
      <c r="H214" s="82">
        <v>6</v>
      </c>
      <c r="I214" s="82">
        <v>4.32</v>
      </c>
      <c r="J214" s="82" t="s">
        <v>1</v>
      </c>
      <c r="K214" s="82">
        <v>10</v>
      </c>
      <c r="L214" s="55">
        <f t="shared" si="33"/>
        <v>60</v>
      </c>
      <c r="M214" s="82">
        <f t="shared" si="30"/>
        <v>43.2</v>
      </c>
      <c r="N214" s="82" t="s">
        <v>1</v>
      </c>
      <c r="O214" s="82">
        <v>12</v>
      </c>
      <c r="P214" s="56">
        <f t="shared" si="31"/>
        <v>518.40000000000009</v>
      </c>
      <c r="Q214" s="82" t="s">
        <v>1</v>
      </c>
      <c r="R214" s="82">
        <v>26</v>
      </c>
      <c r="S214" s="56">
        <f t="shared" si="34"/>
        <v>1123.2</v>
      </c>
      <c r="T214" s="82" t="s">
        <v>1</v>
      </c>
      <c r="U214" s="56">
        <f t="shared" si="35"/>
        <v>2.5</v>
      </c>
      <c r="Z214" s="2" t="str">
        <f t="array" ref="Z214">IFERROR(INDEX(Table14[DESIGNATION ARTICLE],SMALL(IF(ISNUMBER(SEARCH(CALCULATEUR!$D$5,Table14[DESIGNATION ARTICLE])),ROW(Table14[DESIGNATION ARTICLE])-4),ROWS($1:210))),"")</f>
        <v/>
      </c>
    </row>
    <row r="215" spans="1:26" ht="14.45" customHeight="1" x14ac:dyDescent="0.25">
      <c r="A215" s="193"/>
      <c r="B215" s="5" t="s">
        <v>243</v>
      </c>
      <c r="C215" s="31">
        <v>640060000000048</v>
      </c>
      <c r="D215" s="11">
        <v>5411545029664</v>
      </c>
      <c r="E215" s="208">
        <v>60</v>
      </c>
      <c r="F215" s="209">
        <v>1.2</v>
      </c>
      <c r="G215" s="209">
        <v>1</v>
      </c>
      <c r="H215" s="113">
        <v>8</v>
      </c>
      <c r="I215" s="122">
        <f>H215*(F215*G215)</f>
        <v>9.6</v>
      </c>
      <c r="J215" s="113" t="s">
        <v>1</v>
      </c>
      <c r="K215" s="71">
        <v>5</v>
      </c>
      <c r="L215" s="55">
        <f t="shared" si="33"/>
        <v>40</v>
      </c>
      <c r="M215" s="56">
        <f t="shared" si="30"/>
        <v>48</v>
      </c>
      <c r="N215" s="113" t="s">
        <v>1</v>
      </c>
      <c r="O215" s="113">
        <v>12</v>
      </c>
      <c r="P215" s="56">
        <f t="shared" si="31"/>
        <v>576</v>
      </c>
      <c r="Q215" s="113" t="s">
        <v>1</v>
      </c>
      <c r="R215" s="113">
        <v>26</v>
      </c>
      <c r="S215" s="56">
        <f t="shared" si="34"/>
        <v>1248</v>
      </c>
      <c r="T215" s="113" t="s">
        <v>1</v>
      </c>
      <c r="U215" s="56">
        <f t="shared" ref="U215:U221" si="36">0.1+(L215*(E215/1000))</f>
        <v>2.5</v>
      </c>
      <c r="Z215" s="2" t="str">
        <f t="array" ref="Z215">IFERROR(INDEX(Table14[DESIGNATION ARTICLE],SMALL(IF(ISNUMBER(SEARCH(CALCULATEUR!$D$5,Table14[DESIGNATION ARTICLE])),ROW(Table14[DESIGNATION ARTICLE])-4),ROWS($1:211))),"")</f>
        <v/>
      </c>
    </row>
    <row r="216" spans="1:26" ht="14.45" customHeight="1" x14ac:dyDescent="0.25">
      <c r="A216" s="193"/>
      <c r="B216" s="5" t="s">
        <v>244</v>
      </c>
      <c r="C216" s="31">
        <v>640060000000041</v>
      </c>
      <c r="D216" s="12">
        <v>5411545029602</v>
      </c>
      <c r="E216" s="206">
        <v>70</v>
      </c>
      <c r="F216" s="207">
        <v>1.2</v>
      </c>
      <c r="G216" s="207">
        <v>1</v>
      </c>
      <c r="H216" s="113">
        <v>6</v>
      </c>
      <c r="I216" s="122">
        <f>H216*(F216*G216)</f>
        <v>7.1999999999999993</v>
      </c>
      <c r="J216" s="113" t="s">
        <v>1</v>
      </c>
      <c r="K216" s="71">
        <v>5</v>
      </c>
      <c r="L216" s="55">
        <f t="shared" si="33"/>
        <v>30</v>
      </c>
      <c r="M216" s="56">
        <f t="shared" si="30"/>
        <v>36</v>
      </c>
      <c r="N216" s="113" t="s">
        <v>1</v>
      </c>
      <c r="O216" s="113">
        <v>12</v>
      </c>
      <c r="P216" s="56">
        <f t="shared" si="31"/>
        <v>432</v>
      </c>
      <c r="Q216" s="113" t="s">
        <v>1</v>
      </c>
      <c r="R216" s="113">
        <v>26</v>
      </c>
      <c r="S216" s="56">
        <f t="shared" si="34"/>
        <v>936</v>
      </c>
      <c r="T216" s="113" t="s">
        <v>1</v>
      </c>
      <c r="U216" s="56">
        <f t="shared" si="36"/>
        <v>2.2000000000000002</v>
      </c>
      <c r="Z216" s="2" t="str">
        <f t="array" ref="Z216">IFERROR(INDEX(Table14[DESIGNATION ARTICLE],SMALL(IF(ISNUMBER(SEARCH(CALCULATEUR!$D$5,Table14[DESIGNATION ARTICLE])),ROW(Table14[DESIGNATION ARTICLE])-4),ROWS($1:212))),"")</f>
        <v/>
      </c>
    </row>
    <row r="217" spans="1:26" ht="14.45" customHeight="1" x14ac:dyDescent="0.25">
      <c r="A217" s="193"/>
      <c r="B217" s="5" t="s">
        <v>245</v>
      </c>
      <c r="C217" s="31">
        <v>640060000000043</v>
      </c>
      <c r="D217" s="11">
        <v>5411545029626</v>
      </c>
      <c r="E217" s="208">
        <v>50</v>
      </c>
      <c r="F217" s="209">
        <v>1.2</v>
      </c>
      <c r="G217" s="209">
        <v>1</v>
      </c>
      <c r="H217" s="113">
        <v>9</v>
      </c>
      <c r="I217" s="122">
        <f>H217*(F217*G217)</f>
        <v>10.799999999999999</v>
      </c>
      <c r="J217" s="113" t="s">
        <v>1</v>
      </c>
      <c r="K217" s="71">
        <v>5</v>
      </c>
      <c r="L217" s="55">
        <f t="shared" si="33"/>
        <v>45</v>
      </c>
      <c r="M217" s="56">
        <f t="shared" si="30"/>
        <v>53.999999999999993</v>
      </c>
      <c r="N217" s="113" t="s">
        <v>1</v>
      </c>
      <c r="O217" s="113">
        <v>12</v>
      </c>
      <c r="P217" s="56">
        <f t="shared" si="31"/>
        <v>647.99999999999989</v>
      </c>
      <c r="Q217" s="113" t="s">
        <v>1</v>
      </c>
      <c r="R217" s="113">
        <v>26</v>
      </c>
      <c r="S217" s="56">
        <f t="shared" si="34"/>
        <v>1403.9999999999998</v>
      </c>
      <c r="T217" s="113" t="s">
        <v>1</v>
      </c>
      <c r="U217" s="56">
        <f t="shared" si="36"/>
        <v>2.35</v>
      </c>
      <c r="Z217" s="2" t="str">
        <f t="array" ref="Z217">IFERROR(INDEX(Table14[DESIGNATION ARTICLE],SMALL(IF(ISNUMBER(SEARCH(CALCULATEUR!$D$5,Table14[DESIGNATION ARTICLE])),ROW(Table14[DESIGNATION ARTICLE])-4),ROWS($1:213))),"")</f>
        <v/>
      </c>
    </row>
    <row r="218" spans="1:26" ht="15" customHeight="1" thickBot="1" x14ac:dyDescent="0.3">
      <c r="A218" s="194"/>
      <c r="B218" s="136" t="s">
        <v>246</v>
      </c>
      <c r="C218" s="32">
        <v>640060000000046</v>
      </c>
      <c r="D218" s="8">
        <v>5411545029640</v>
      </c>
      <c r="E218" s="212">
        <v>30</v>
      </c>
      <c r="F218" s="213">
        <v>2.5</v>
      </c>
      <c r="G218" s="213">
        <v>1.2</v>
      </c>
      <c r="H218" s="120">
        <v>15</v>
      </c>
      <c r="I218" s="117">
        <f>H218*(F218*G218)</f>
        <v>45</v>
      </c>
      <c r="J218" s="120" t="s">
        <v>1</v>
      </c>
      <c r="K218" s="74">
        <v>5</v>
      </c>
      <c r="L218" s="57">
        <f t="shared" si="33"/>
        <v>75</v>
      </c>
      <c r="M218" s="58">
        <f t="shared" si="30"/>
        <v>225</v>
      </c>
      <c r="N218" s="120" t="s">
        <v>1</v>
      </c>
      <c r="O218" s="120">
        <v>12</v>
      </c>
      <c r="P218" s="56">
        <f t="shared" si="31"/>
        <v>2700</v>
      </c>
      <c r="Q218" s="120" t="s">
        <v>1</v>
      </c>
      <c r="R218" s="120">
        <v>26</v>
      </c>
      <c r="S218" s="58">
        <f t="shared" si="34"/>
        <v>5850</v>
      </c>
      <c r="T218" s="120" t="s">
        <v>1</v>
      </c>
      <c r="U218" s="56">
        <f t="shared" si="36"/>
        <v>2.35</v>
      </c>
      <c r="Z218" s="2" t="str">
        <f t="array" ref="Z218">IFERROR(INDEX(Table14[DESIGNATION ARTICLE],SMALL(IF(ISNUMBER(SEARCH(CALCULATEUR!$D$5,Table14[DESIGNATION ARTICLE])),ROW(Table14[DESIGNATION ARTICLE])-4),ROWS($1:214))),"")</f>
        <v/>
      </c>
    </row>
    <row r="219" spans="1:26" ht="12.95" customHeight="1" x14ac:dyDescent="0.25">
      <c r="A219" s="180" t="s">
        <v>8</v>
      </c>
      <c r="B219" s="137" t="s">
        <v>247</v>
      </c>
      <c r="C219" s="39">
        <v>477010000000001</v>
      </c>
      <c r="D219" s="9">
        <v>5411545016879</v>
      </c>
      <c r="E219" s="214">
        <v>40</v>
      </c>
      <c r="F219" s="215">
        <v>1.2</v>
      </c>
      <c r="G219" s="215">
        <v>0.6</v>
      </c>
      <c r="H219" s="69">
        <v>60</v>
      </c>
      <c r="I219" s="69">
        <f>H219*F219*G219</f>
        <v>43.199999999999996</v>
      </c>
      <c r="J219" s="88" t="s">
        <v>1</v>
      </c>
      <c r="K219" s="69">
        <v>1</v>
      </c>
      <c r="L219" s="55">
        <f t="shared" si="33"/>
        <v>60</v>
      </c>
      <c r="M219" s="60">
        <f t="shared" si="30"/>
        <v>43.199999999999996</v>
      </c>
      <c r="N219" s="88" t="s">
        <v>1</v>
      </c>
      <c r="O219" s="88">
        <v>20</v>
      </c>
      <c r="P219" s="60">
        <f t="shared" si="31"/>
        <v>863.99999999999989</v>
      </c>
      <c r="Q219" s="88" t="s">
        <v>1</v>
      </c>
      <c r="R219" s="88">
        <v>44</v>
      </c>
      <c r="S219" s="56">
        <f t="shared" si="34"/>
        <v>1900.7999999999997</v>
      </c>
      <c r="T219" s="88" t="s">
        <v>1</v>
      </c>
      <c r="U219" s="56">
        <f t="shared" si="36"/>
        <v>2.5</v>
      </c>
      <c r="Z219" s="2" t="str">
        <f t="array" ref="Z219">IFERROR(INDEX(Table14[DESIGNATION ARTICLE],SMALL(IF(ISNUMBER(SEARCH(CALCULATEUR!$D$5,Table14[DESIGNATION ARTICLE])),ROW(Table14[DESIGNATION ARTICLE])-4),ROWS($1:215))),"")</f>
        <v/>
      </c>
    </row>
    <row r="220" spans="1:26" ht="14.45" customHeight="1" x14ac:dyDescent="0.25">
      <c r="A220" s="181"/>
      <c r="B220" s="5" t="s">
        <v>248</v>
      </c>
      <c r="C220" s="15">
        <v>477010000000002</v>
      </c>
      <c r="D220" s="12">
        <v>5411545016909</v>
      </c>
      <c r="E220" s="206">
        <v>40</v>
      </c>
      <c r="F220" s="207">
        <v>2.5</v>
      </c>
      <c r="G220" s="207">
        <v>0.6</v>
      </c>
      <c r="H220" s="63">
        <v>60</v>
      </c>
      <c r="I220" s="63">
        <f>H220*F220*G220</f>
        <v>90</v>
      </c>
      <c r="J220" s="90" t="s">
        <v>1</v>
      </c>
      <c r="K220" s="63">
        <v>1</v>
      </c>
      <c r="L220" s="55">
        <f t="shared" si="33"/>
        <v>60</v>
      </c>
      <c r="M220" s="56">
        <f t="shared" si="30"/>
        <v>90</v>
      </c>
      <c r="N220" s="90" t="s">
        <v>1</v>
      </c>
      <c r="O220" s="90">
        <v>8</v>
      </c>
      <c r="P220" s="56">
        <f t="shared" si="31"/>
        <v>720</v>
      </c>
      <c r="Q220" s="90" t="s">
        <v>1</v>
      </c>
      <c r="R220" s="90">
        <v>20</v>
      </c>
      <c r="S220" s="56">
        <f t="shared" si="34"/>
        <v>1800</v>
      </c>
      <c r="T220" s="90" t="s">
        <v>1</v>
      </c>
      <c r="U220" s="56">
        <f t="shared" si="36"/>
        <v>2.5</v>
      </c>
      <c r="Z220" s="2" t="str">
        <f t="array" ref="Z220">IFERROR(INDEX(Table14[DESIGNATION ARTICLE],SMALL(IF(ISNUMBER(SEARCH(CALCULATEUR!$D$5,Table14[DESIGNATION ARTICLE])),ROW(Table14[DESIGNATION ARTICLE])-4),ROWS($1:216))),"")</f>
        <v/>
      </c>
    </row>
    <row r="221" spans="1:26" ht="14.45" customHeight="1" thickBot="1" x14ac:dyDescent="0.3">
      <c r="A221" s="181"/>
      <c r="B221" s="5" t="s">
        <v>249</v>
      </c>
      <c r="C221" s="15">
        <v>477010000000003</v>
      </c>
      <c r="D221" s="11">
        <v>5411545016930</v>
      </c>
      <c r="E221" s="208">
        <v>40</v>
      </c>
      <c r="F221" s="209">
        <v>2.6</v>
      </c>
      <c r="G221" s="209">
        <v>1.2</v>
      </c>
      <c r="H221" s="63">
        <v>30</v>
      </c>
      <c r="I221" s="63">
        <f>H221*F221*G221</f>
        <v>93.6</v>
      </c>
      <c r="J221" s="63" t="s">
        <v>1</v>
      </c>
      <c r="K221" s="63">
        <v>1</v>
      </c>
      <c r="L221" s="55">
        <f t="shared" si="33"/>
        <v>30</v>
      </c>
      <c r="M221" s="56">
        <f t="shared" si="30"/>
        <v>93.6</v>
      </c>
      <c r="N221" s="63" t="s">
        <v>1</v>
      </c>
      <c r="O221" s="63">
        <v>8</v>
      </c>
      <c r="P221" s="56">
        <f t="shared" si="31"/>
        <v>748.8</v>
      </c>
      <c r="Q221" s="63" t="s">
        <v>1</v>
      </c>
      <c r="R221" s="63">
        <v>20</v>
      </c>
      <c r="S221" s="56">
        <f t="shared" si="34"/>
        <v>1872</v>
      </c>
      <c r="T221" s="63" t="s">
        <v>1</v>
      </c>
      <c r="U221" s="56">
        <f t="shared" si="36"/>
        <v>1.3</v>
      </c>
      <c r="Z221" s="2" t="str">
        <f t="array" ref="Z221">IFERROR(INDEX(Table14[DESIGNATION ARTICLE],SMALL(IF(ISNUMBER(SEARCH(CALCULATEUR!$D$5,Table14[DESIGNATION ARTICLE])),ROW(Table14[DESIGNATION ARTICLE])-4),ROWS($1:217))),"")</f>
        <v/>
      </c>
    </row>
    <row r="222" spans="1:26" ht="14.45" customHeight="1" x14ac:dyDescent="0.25">
      <c r="A222" s="190" t="s">
        <v>13</v>
      </c>
      <c r="B222" s="137" t="s">
        <v>250</v>
      </c>
      <c r="C222" s="33">
        <v>646070000000401</v>
      </c>
      <c r="D222" s="12">
        <v>5411545022795</v>
      </c>
      <c r="E222" s="210">
        <v>30</v>
      </c>
      <c r="F222" s="211">
        <v>13</v>
      </c>
      <c r="G222" s="211">
        <v>1.2270000000000001</v>
      </c>
      <c r="H222" s="59" t="s">
        <v>6</v>
      </c>
      <c r="I222" s="59"/>
      <c r="J222" s="88" t="s">
        <v>1</v>
      </c>
      <c r="K222" s="59"/>
      <c r="L222" s="59"/>
      <c r="M222" s="60"/>
      <c r="N222" s="88"/>
      <c r="O222" s="88"/>
      <c r="P222" s="130"/>
      <c r="Q222" s="88"/>
      <c r="R222" s="88"/>
      <c r="S222" s="130"/>
      <c r="T222" s="88"/>
      <c r="U222" s="56"/>
      <c r="Z222" s="2" t="str">
        <f t="array" ref="Z222">IFERROR(INDEX(Table14[DESIGNATION ARTICLE],SMALL(IF(ISNUMBER(SEARCH(CALCULATEUR!$D$5,Table14[DESIGNATION ARTICLE])),ROW(Table14[DESIGNATION ARTICLE])-4),ROWS($1:218))),"")</f>
        <v/>
      </c>
    </row>
    <row r="223" spans="1:26" ht="14.45" customHeight="1" x14ac:dyDescent="0.25">
      <c r="A223" s="191"/>
      <c r="B223" s="5" t="s">
        <v>251</v>
      </c>
      <c r="C223" s="31">
        <v>646070000000433</v>
      </c>
      <c r="D223" s="11">
        <v>5411545022818</v>
      </c>
      <c r="E223" s="208">
        <v>40</v>
      </c>
      <c r="F223" s="209">
        <v>13</v>
      </c>
      <c r="G223" s="209">
        <v>1.2270000000000001</v>
      </c>
      <c r="H223" s="55" t="s">
        <v>6</v>
      </c>
      <c r="I223" s="55"/>
      <c r="J223" s="90" t="s">
        <v>1</v>
      </c>
      <c r="K223" s="55"/>
      <c r="L223" s="55"/>
      <c r="M223" s="56"/>
      <c r="N223" s="90"/>
      <c r="O223" s="90"/>
      <c r="P223" s="78"/>
      <c r="Q223" s="90"/>
      <c r="R223" s="90"/>
      <c r="S223" s="78"/>
      <c r="T223" s="90"/>
      <c r="U223" s="56"/>
      <c r="Z223" s="2" t="str">
        <f t="array" ref="Z223">IFERROR(INDEX(Table14[DESIGNATION ARTICLE],SMALL(IF(ISNUMBER(SEARCH(CALCULATEUR!$D$5,Table14[DESIGNATION ARTICLE])),ROW(Table14[DESIGNATION ARTICLE])-4),ROWS($1:219))),"")</f>
        <v/>
      </c>
    </row>
    <row r="224" spans="1:26" ht="15" customHeight="1" thickBot="1" x14ac:dyDescent="0.3">
      <c r="A224" s="191"/>
      <c r="B224" s="136" t="s">
        <v>252</v>
      </c>
      <c r="C224" s="32">
        <v>646070000000465</v>
      </c>
      <c r="D224" s="12">
        <v>5411545022870</v>
      </c>
      <c r="E224" s="212">
        <v>50</v>
      </c>
      <c r="F224" s="213">
        <v>13</v>
      </c>
      <c r="G224" s="213">
        <v>1.2270000000000001</v>
      </c>
      <c r="H224" s="57" t="s">
        <v>6</v>
      </c>
      <c r="I224" s="57"/>
      <c r="J224" s="96" t="s">
        <v>1</v>
      </c>
      <c r="K224" s="57"/>
      <c r="L224" s="57"/>
      <c r="M224" s="58"/>
      <c r="N224" s="96"/>
      <c r="O224" s="96"/>
      <c r="P224" s="80"/>
      <c r="Q224" s="96"/>
      <c r="R224" s="96"/>
      <c r="S224" s="80"/>
      <c r="T224" s="96"/>
      <c r="U224" s="56"/>
      <c r="Z224" s="2" t="str">
        <f t="array" ref="Z224">IFERROR(INDEX(Table14[DESIGNATION ARTICLE],SMALL(IF(ISNUMBER(SEARCH(CALCULATEUR!$D$5,Table14[DESIGNATION ARTICLE])),ROW(Table14[DESIGNATION ARTICLE])-4),ROWS($1:220))),"")</f>
        <v/>
      </c>
    </row>
    <row r="225" spans="1:26" ht="14.45" customHeight="1" x14ac:dyDescent="0.25">
      <c r="A225" s="191"/>
      <c r="B225" s="137" t="s">
        <v>253</v>
      </c>
      <c r="C225" s="33">
        <v>646070000000421</v>
      </c>
      <c r="D225" s="9">
        <v>5411545022832</v>
      </c>
      <c r="E225" s="214">
        <v>40</v>
      </c>
      <c r="F225" s="215">
        <v>13</v>
      </c>
      <c r="G225" s="215">
        <v>1.2270000000000001</v>
      </c>
      <c r="H225" s="59" t="s">
        <v>6</v>
      </c>
      <c r="I225" s="59"/>
      <c r="J225" s="88" t="s">
        <v>1</v>
      </c>
      <c r="K225" s="59"/>
      <c r="L225" s="59"/>
      <c r="M225" s="60"/>
      <c r="N225" s="88"/>
      <c r="O225" s="88"/>
      <c r="P225" s="130"/>
      <c r="Q225" s="88"/>
      <c r="R225" s="88"/>
      <c r="S225" s="130"/>
      <c r="T225" s="88"/>
      <c r="U225" s="56"/>
      <c r="Z225" s="2" t="str">
        <f t="array" ref="Z225">IFERROR(INDEX(Table14[DESIGNATION ARTICLE],SMALL(IF(ISNUMBER(SEARCH(CALCULATEUR!$D$5,Table14[DESIGNATION ARTICLE])),ROW(Table14[DESIGNATION ARTICLE])-4),ROWS($1:221))),"")</f>
        <v/>
      </c>
    </row>
    <row r="226" spans="1:26" ht="14.45" customHeight="1" x14ac:dyDescent="0.25">
      <c r="A226" s="191"/>
      <c r="B226" s="5" t="s">
        <v>254</v>
      </c>
      <c r="C226" s="31">
        <v>646070000000453</v>
      </c>
      <c r="D226" s="12">
        <v>5411545022894</v>
      </c>
      <c r="E226" s="206">
        <v>50</v>
      </c>
      <c r="F226" s="207">
        <v>13</v>
      </c>
      <c r="G226" s="207">
        <v>1.2270000000000001</v>
      </c>
      <c r="H226" s="55" t="s">
        <v>6</v>
      </c>
      <c r="I226" s="55"/>
      <c r="J226" s="90" t="s">
        <v>1</v>
      </c>
      <c r="K226" s="55"/>
      <c r="L226" s="55"/>
      <c r="M226" s="56"/>
      <c r="N226" s="90"/>
      <c r="O226" s="90"/>
      <c r="P226" s="78"/>
      <c r="Q226" s="90"/>
      <c r="R226" s="90"/>
      <c r="S226" s="78"/>
      <c r="T226" s="90"/>
      <c r="U226" s="56"/>
      <c r="Z226" s="2" t="str">
        <f t="array" ref="Z226">IFERROR(INDEX(Table14[DESIGNATION ARTICLE],SMALL(IF(ISNUMBER(SEARCH(CALCULATEUR!$D$5,Table14[DESIGNATION ARTICLE])),ROW(Table14[DESIGNATION ARTICLE])-4),ROWS($1:222))),"")</f>
        <v/>
      </c>
    </row>
    <row r="227" spans="1:26" ht="15" customHeight="1" thickBot="1" x14ac:dyDescent="0.3">
      <c r="A227" s="191"/>
      <c r="B227" s="136" t="s">
        <v>255</v>
      </c>
      <c r="C227" s="32">
        <v>646170000001581</v>
      </c>
      <c r="D227" s="7">
        <v>5411545022955</v>
      </c>
      <c r="E227" s="216">
        <v>60</v>
      </c>
      <c r="F227" s="217">
        <v>13</v>
      </c>
      <c r="G227" s="217">
        <v>1.2270000000000001</v>
      </c>
      <c r="H227" s="57" t="s">
        <v>6</v>
      </c>
      <c r="I227" s="57"/>
      <c r="J227" s="96" t="s">
        <v>1</v>
      </c>
      <c r="K227" s="57"/>
      <c r="L227" s="57"/>
      <c r="M227" s="58"/>
      <c r="N227" s="96"/>
      <c r="O227" s="96"/>
      <c r="P227" s="80"/>
      <c r="Q227" s="96"/>
      <c r="R227" s="96"/>
      <c r="S227" s="80"/>
      <c r="T227" s="96"/>
      <c r="U227" s="56"/>
      <c r="Z227" s="2" t="str">
        <f t="array" ref="Z227">IFERROR(INDEX(Table14[DESIGNATION ARTICLE],SMALL(IF(ISNUMBER(SEARCH(CALCULATEUR!$D$5,Table14[DESIGNATION ARTICLE])),ROW(Table14[DESIGNATION ARTICLE])-4),ROWS($1:223))),"")</f>
        <v/>
      </c>
    </row>
    <row r="228" spans="1:26" ht="14.45" customHeight="1" x14ac:dyDescent="0.25">
      <c r="A228" s="191"/>
      <c r="B228" s="137" t="s">
        <v>256</v>
      </c>
      <c r="C228" s="33">
        <v>646070000000199</v>
      </c>
      <c r="D228" s="12">
        <v>5411545022856</v>
      </c>
      <c r="E228" s="210">
        <v>40</v>
      </c>
      <c r="F228" s="211">
        <v>13</v>
      </c>
      <c r="G228" s="211">
        <v>1.2</v>
      </c>
      <c r="H228" s="59" t="s">
        <v>6</v>
      </c>
      <c r="I228" s="59"/>
      <c r="J228" s="88" t="s">
        <v>1</v>
      </c>
      <c r="K228" s="59"/>
      <c r="L228" s="59"/>
      <c r="M228" s="60"/>
      <c r="N228" s="88"/>
      <c r="O228" s="88"/>
      <c r="P228" s="130"/>
      <c r="Q228" s="88"/>
      <c r="R228" s="88"/>
      <c r="S228" s="130"/>
      <c r="T228" s="88"/>
      <c r="U228" s="56"/>
      <c r="Z228" s="2" t="str">
        <f t="array" ref="Z228">IFERROR(INDEX(Table14[DESIGNATION ARTICLE],SMALL(IF(ISNUMBER(SEARCH(CALCULATEUR!$D$5,Table14[DESIGNATION ARTICLE])),ROW(Table14[DESIGNATION ARTICLE])-4),ROWS($1:224))),"")</f>
        <v/>
      </c>
    </row>
    <row r="229" spans="1:26" ht="14.45" customHeight="1" x14ac:dyDescent="0.25">
      <c r="A229" s="191"/>
      <c r="B229" s="5" t="s">
        <v>257</v>
      </c>
      <c r="C229" s="31">
        <v>646070000000283</v>
      </c>
      <c r="D229" s="11">
        <v>5411545022917</v>
      </c>
      <c r="E229" s="208">
        <v>50</v>
      </c>
      <c r="F229" s="209">
        <v>13</v>
      </c>
      <c r="G229" s="209">
        <v>1.2</v>
      </c>
      <c r="H229" s="55" t="s">
        <v>6</v>
      </c>
      <c r="I229" s="55"/>
      <c r="J229" s="90" t="s">
        <v>1</v>
      </c>
      <c r="K229" s="55"/>
      <c r="L229" s="55"/>
      <c r="M229" s="56"/>
      <c r="N229" s="90"/>
      <c r="O229" s="90"/>
      <c r="P229" s="78"/>
      <c r="Q229" s="90"/>
      <c r="R229" s="90"/>
      <c r="S229" s="78"/>
      <c r="T229" s="90"/>
      <c r="U229" s="56"/>
      <c r="Z229" s="2" t="str">
        <f t="array" ref="Z229">IFERROR(INDEX(Table14[DESIGNATION ARTICLE],SMALL(IF(ISNUMBER(SEARCH(CALCULATEUR!$D$5,Table14[DESIGNATION ARTICLE])),ROW(Table14[DESIGNATION ARTICLE])-4),ROWS($1:225))),"")</f>
        <v/>
      </c>
    </row>
    <row r="230" spans="1:26" ht="14.45" customHeight="1" x14ac:dyDescent="0.25">
      <c r="A230" s="191"/>
      <c r="B230" s="5" t="s">
        <v>258</v>
      </c>
      <c r="C230" s="31">
        <v>646170000001571</v>
      </c>
      <c r="D230" s="12">
        <v>5411545022979</v>
      </c>
      <c r="E230" s="206">
        <v>60</v>
      </c>
      <c r="F230" s="207">
        <v>13</v>
      </c>
      <c r="G230" s="207">
        <v>1.2</v>
      </c>
      <c r="H230" s="55" t="s">
        <v>6</v>
      </c>
      <c r="I230" s="55"/>
      <c r="J230" s="90" t="s">
        <v>1</v>
      </c>
      <c r="K230" s="55"/>
      <c r="L230" s="55"/>
      <c r="M230" s="56"/>
      <c r="N230" s="90"/>
      <c r="O230" s="90"/>
      <c r="P230" s="78"/>
      <c r="Q230" s="90"/>
      <c r="R230" s="90"/>
      <c r="S230" s="78"/>
      <c r="T230" s="90"/>
      <c r="U230" s="56"/>
      <c r="Z230" s="2" t="str">
        <f t="array" ref="Z230">IFERROR(INDEX(Table14[DESIGNATION ARTICLE],SMALL(IF(ISNUMBER(SEARCH(CALCULATEUR!$D$5,Table14[DESIGNATION ARTICLE])),ROW(Table14[DESIGNATION ARTICLE])-4),ROWS($1:226))),"")</f>
        <v/>
      </c>
    </row>
    <row r="231" spans="1:26" ht="14.45" customHeight="1" x14ac:dyDescent="0.25">
      <c r="A231" s="191"/>
      <c r="B231" s="143" t="s">
        <v>259</v>
      </c>
      <c r="C231" s="46">
        <v>646170000001576</v>
      </c>
      <c r="D231" s="44">
        <v>5411545022993</v>
      </c>
      <c r="E231" s="225">
        <v>70</v>
      </c>
      <c r="F231" s="221">
        <v>13</v>
      </c>
      <c r="G231" s="221">
        <v>1.2</v>
      </c>
      <c r="H231" s="106" t="s">
        <v>6</v>
      </c>
      <c r="I231" s="106"/>
      <c r="J231" s="104" t="s">
        <v>1</v>
      </c>
      <c r="K231" s="106"/>
      <c r="L231" s="106"/>
      <c r="M231" s="123"/>
      <c r="N231" s="104"/>
      <c r="O231" s="104"/>
      <c r="P231" s="132"/>
      <c r="Q231" s="104"/>
      <c r="R231" s="104"/>
      <c r="S231" s="132"/>
      <c r="T231" s="104"/>
      <c r="U231" s="56"/>
      <c r="Z231" s="2" t="str">
        <f t="array" ref="Z231">IFERROR(INDEX(Table14[DESIGNATION ARTICLE],SMALL(IF(ISNUMBER(SEARCH(CALCULATEUR!$D$5,Table14[DESIGNATION ARTICLE])),ROW(Table14[DESIGNATION ARTICLE])-4),ROWS($1:227))),"")</f>
        <v/>
      </c>
    </row>
    <row r="232" spans="1:26" ht="14.45" customHeight="1" x14ac:dyDescent="0.25">
      <c r="A232" s="191"/>
      <c r="B232" s="5" t="s">
        <v>260</v>
      </c>
      <c r="C232" s="31">
        <v>646170000000188</v>
      </c>
      <c r="D232" s="12">
        <v>5411545023037</v>
      </c>
      <c r="E232" s="206">
        <v>80</v>
      </c>
      <c r="F232" s="207">
        <v>13</v>
      </c>
      <c r="G232" s="207">
        <v>1.2</v>
      </c>
      <c r="H232" s="55" t="s">
        <v>6</v>
      </c>
      <c r="I232" s="55"/>
      <c r="J232" s="90" t="s">
        <v>1</v>
      </c>
      <c r="K232" s="55"/>
      <c r="L232" s="55"/>
      <c r="M232" s="56"/>
      <c r="N232" s="90"/>
      <c r="O232" s="90"/>
      <c r="P232" s="78"/>
      <c r="Q232" s="90"/>
      <c r="R232" s="90"/>
      <c r="S232" s="78"/>
      <c r="T232" s="90"/>
      <c r="U232" s="56"/>
      <c r="Z232" s="2" t="str">
        <f t="array" ref="Z232">IFERROR(INDEX(Table14[DESIGNATION ARTICLE],SMALL(IF(ISNUMBER(SEARCH(CALCULATEUR!$D$5,Table14[DESIGNATION ARTICLE])),ROW(Table14[DESIGNATION ARTICLE])-4),ROWS($1:228))),"")</f>
        <v/>
      </c>
    </row>
    <row r="233" spans="1:26" ht="14.45" customHeight="1" x14ac:dyDescent="0.25">
      <c r="A233" s="191"/>
      <c r="B233" s="5" t="s">
        <v>261</v>
      </c>
      <c r="C233" s="31">
        <v>646170000000302</v>
      </c>
      <c r="D233" s="11">
        <v>5411545023075</v>
      </c>
      <c r="E233" s="208">
        <v>100</v>
      </c>
      <c r="F233" s="209">
        <v>13</v>
      </c>
      <c r="G233" s="209">
        <v>1.2</v>
      </c>
      <c r="H233" s="55" t="s">
        <v>6</v>
      </c>
      <c r="I233" s="55"/>
      <c r="J233" s="90" t="s">
        <v>1</v>
      </c>
      <c r="K233" s="55"/>
      <c r="L233" s="55"/>
      <c r="M233" s="56"/>
      <c r="N233" s="90"/>
      <c r="O233" s="90"/>
      <c r="P233" s="78"/>
      <c r="Q233" s="90"/>
      <c r="R233" s="90"/>
      <c r="S233" s="78"/>
      <c r="T233" s="90"/>
      <c r="U233" s="56"/>
      <c r="Z233" s="2" t="str">
        <f t="array" ref="Z233">IFERROR(INDEX(Table14[DESIGNATION ARTICLE],SMALL(IF(ISNUMBER(SEARCH(CALCULATEUR!$D$5,Table14[DESIGNATION ARTICLE])),ROW(Table14[DESIGNATION ARTICLE])-4),ROWS($1:229))),"")</f>
        <v/>
      </c>
    </row>
    <row r="234" spans="1:26" ht="15" customHeight="1" thickBot="1" x14ac:dyDescent="0.3">
      <c r="A234" s="191"/>
      <c r="B234" s="136" t="s">
        <v>262</v>
      </c>
      <c r="C234" s="32">
        <v>646170000000416</v>
      </c>
      <c r="D234" s="12">
        <v>5411545023112</v>
      </c>
      <c r="E234" s="212">
        <v>120</v>
      </c>
      <c r="F234" s="213">
        <v>13</v>
      </c>
      <c r="G234" s="213">
        <v>1.2</v>
      </c>
      <c r="H234" s="57" t="s">
        <v>6</v>
      </c>
      <c r="I234" s="57"/>
      <c r="J234" s="96" t="s">
        <v>1</v>
      </c>
      <c r="K234" s="57"/>
      <c r="L234" s="57"/>
      <c r="M234" s="58"/>
      <c r="N234" s="96"/>
      <c r="O234" s="96"/>
      <c r="P234" s="80"/>
      <c r="Q234" s="96"/>
      <c r="R234" s="96"/>
      <c r="S234" s="80"/>
      <c r="T234" s="96"/>
      <c r="U234" s="56"/>
      <c r="Z234" s="2" t="str">
        <f t="array" ref="Z234">IFERROR(INDEX(Table14[DESIGNATION ARTICLE],SMALL(IF(ISNUMBER(SEARCH(CALCULATEUR!$D$5,Table14[DESIGNATION ARTICLE])),ROW(Table14[DESIGNATION ARTICLE])-4),ROWS($1:230))),"")</f>
        <v/>
      </c>
    </row>
    <row r="235" spans="1:26" ht="15" customHeight="1" x14ac:dyDescent="0.25">
      <c r="A235" s="191"/>
      <c r="B235" s="137" t="s">
        <v>263</v>
      </c>
      <c r="C235" s="37">
        <v>646070000000205</v>
      </c>
      <c r="D235" s="9">
        <v>5411545024478</v>
      </c>
      <c r="E235" s="214">
        <v>40</v>
      </c>
      <c r="F235" s="215">
        <v>13</v>
      </c>
      <c r="G235" s="215">
        <v>1.2</v>
      </c>
      <c r="H235" s="59" t="s">
        <v>6</v>
      </c>
      <c r="I235" s="69"/>
      <c r="J235" s="88" t="s">
        <v>1</v>
      </c>
      <c r="K235" s="69"/>
      <c r="L235" s="69"/>
      <c r="M235" s="89"/>
      <c r="N235" s="88"/>
      <c r="O235" s="88"/>
      <c r="P235" s="130"/>
      <c r="Q235" s="88"/>
      <c r="R235" s="88"/>
      <c r="S235" s="130"/>
      <c r="T235" s="88"/>
      <c r="U235" s="56"/>
      <c r="Z235" s="2" t="str">
        <f t="array" ref="Z235">IFERROR(INDEX(Table14[DESIGNATION ARTICLE],SMALL(IF(ISNUMBER(SEARCH(CALCULATEUR!$D$5,Table14[DESIGNATION ARTICLE])),ROW(Table14[DESIGNATION ARTICLE])-4),ROWS($1:231))),"")</f>
        <v/>
      </c>
    </row>
    <row r="236" spans="1:26" ht="15" customHeight="1" x14ac:dyDescent="0.25">
      <c r="A236" s="191"/>
      <c r="B236" s="5" t="s">
        <v>264</v>
      </c>
      <c r="C236" s="24">
        <v>646070000000289</v>
      </c>
      <c r="D236" s="12">
        <v>5411545012406</v>
      </c>
      <c r="E236" s="206">
        <v>50</v>
      </c>
      <c r="F236" s="207">
        <v>13</v>
      </c>
      <c r="G236" s="207">
        <v>1.2</v>
      </c>
      <c r="H236" s="55" t="s">
        <v>6</v>
      </c>
      <c r="I236" s="63"/>
      <c r="J236" s="90" t="s">
        <v>1</v>
      </c>
      <c r="K236" s="63"/>
      <c r="L236" s="63"/>
      <c r="M236" s="65"/>
      <c r="N236" s="90"/>
      <c r="O236" s="90"/>
      <c r="P236" s="78"/>
      <c r="Q236" s="90"/>
      <c r="R236" s="90"/>
      <c r="S236" s="78"/>
      <c r="T236" s="90"/>
      <c r="U236" s="56"/>
      <c r="Z236" s="2" t="str">
        <f t="array" ref="Z236">IFERROR(INDEX(Table14[DESIGNATION ARTICLE],SMALL(IF(ISNUMBER(SEARCH(CALCULATEUR!$D$5,Table14[DESIGNATION ARTICLE])),ROW(Table14[DESIGNATION ARTICLE])-4),ROWS($1:232))),"")</f>
        <v/>
      </c>
    </row>
    <row r="237" spans="1:26" ht="14.45" customHeight="1" x14ac:dyDescent="0.25">
      <c r="A237" s="191"/>
      <c r="B237" s="5" t="s">
        <v>265</v>
      </c>
      <c r="C237" s="31">
        <v>646170000001573</v>
      </c>
      <c r="D237" s="11">
        <v>5411545022931</v>
      </c>
      <c r="E237" s="208">
        <v>60</v>
      </c>
      <c r="F237" s="209">
        <v>13</v>
      </c>
      <c r="G237" s="209">
        <v>1.2</v>
      </c>
      <c r="H237" s="55" t="s">
        <v>6</v>
      </c>
      <c r="I237" s="55"/>
      <c r="J237" s="90" t="s">
        <v>1</v>
      </c>
      <c r="K237" s="55"/>
      <c r="L237" s="55"/>
      <c r="M237" s="56"/>
      <c r="N237" s="90"/>
      <c r="O237" s="90"/>
      <c r="P237" s="78"/>
      <c r="Q237" s="90"/>
      <c r="R237" s="90"/>
      <c r="S237" s="78"/>
      <c r="T237" s="90"/>
      <c r="U237" s="56"/>
      <c r="Z237" s="2" t="str">
        <f t="array" ref="Z237">IFERROR(INDEX(Table14[DESIGNATION ARTICLE],SMALL(IF(ISNUMBER(SEARCH(CALCULATEUR!$D$5,Table14[DESIGNATION ARTICLE])),ROW(Table14[DESIGNATION ARTICLE])-4),ROWS($1:233))),"")</f>
        <v/>
      </c>
    </row>
    <row r="238" spans="1:26" ht="14.45" customHeight="1" x14ac:dyDescent="0.25">
      <c r="A238" s="191"/>
      <c r="B238" s="5" t="s">
        <v>266</v>
      </c>
      <c r="C238" s="31">
        <v>646170000001545</v>
      </c>
      <c r="D238" s="11">
        <v>5411545023013</v>
      </c>
      <c r="E238" s="208">
        <v>80</v>
      </c>
      <c r="F238" s="209">
        <v>13</v>
      </c>
      <c r="G238" s="209">
        <v>1.2</v>
      </c>
      <c r="H238" s="55" t="s">
        <v>6</v>
      </c>
      <c r="I238" s="55"/>
      <c r="J238" s="90" t="s">
        <v>1</v>
      </c>
      <c r="K238" s="55"/>
      <c r="L238" s="55"/>
      <c r="M238" s="56"/>
      <c r="N238" s="90"/>
      <c r="O238" s="90"/>
      <c r="P238" s="78"/>
      <c r="Q238" s="90"/>
      <c r="R238" s="90"/>
      <c r="S238" s="78"/>
      <c r="T238" s="90"/>
      <c r="U238" s="56"/>
      <c r="Z238" s="2" t="str">
        <f t="array" ref="Z238">IFERROR(INDEX(Table14[DESIGNATION ARTICLE],SMALL(IF(ISNUMBER(SEARCH(CALCULATEUR!$D$5,Table14[DESIGNATION ARTICLE])),ROW(Table14[DESIGNATION ARTICLE])-4),ROWS($1:234))),"")</f>
        <v/>
      </c>
    </row>
    <row r="239" spans="1:26" ht="14.45" customHeight="1" x14ac:dyDescent="0.25">
      <c r="A239" s="191"/>
      <c r="B239" s="5" t="s">
        <v>267</v>
      </c>
      <c r="C239" s="31">
        <v>646170000001544</v>
      </c>
      <c r="D239" s="12">
        <v>5411545023051</v>
      </c>
      <c r="E239" s="206">
        <v>100</v>
      </c>
      <c r="F239" s="207">
        <v>13</v>
      </c>
      <c r="G239" s="207">
        <v>1.2</v>
      </c>
      <c r="H239" s="55" t="s">
        <v>6</v>
      </c>
      <c r="I239" s="55"/>
      <c r="J239" s="90" t="s">
        <v>1</v>
      </c>
      <c r="K239" s="55"/>
      <c r="L239" s="55"/>
      <c r="M239" s="56"/>
      <c r="N239" s="90"/>
      <c r="O239" s="90"/>
      <c r="P239" s="78"/>
      <c r="Q239" s="90"/>
      <c r="R239" s="90"/>
      <c r="S239" s="78"/>
      <c r="T239" s="90"/>
      <c r="U239" s="56"/>
      <c r="Z239" s="2" t="str">
        <f t="array" ref="Z239">IFERROR(INDEX(Table14[DESIGNATION ARTICLE],SMALL(IF(ISNUMBER(SEARCH(CALCULATEUR!$D$5,Table14[DESIGNATION ARTICLE])),ROW(Table14[DESIGNATION ARTICLE])-4),ROWS($1:235))),"")</f>
        <v/>
      </c>
    </row>
    <row r="240" spans="1:26" ht="15" customHeight="1" thickBot="1" x14ac:dyDescent="0.3">
      <c r="A240" s="191"/>
      <c r="B240" s="136" t="s">
        <v>268</v>
      </c>
      <c r="C240" s="32">
        <v>646170000001546</v>
      </c>
      <c r="D240" s="7">
        <v>5411545023099</v>
      </c>
      <c r="E240" s="216">
        <v>120</v>
      </c>
      <c r="F240" s="217">
        <v>13</v>
      </c>
      <c r="G240" s="217">
        <v>1.2</v>
      </c>
      <c r="H240" s="57" t="s">
        <v>6</v>
      </c>
      <c r="I240" s="57"/>
      <c r="J240" s="96" t="s">
        <v>1</v>
      </c>
      <c r="K240" s="57"/>
      <c r="L240" s="57"/>
      <c r="M240" s="58"/>
      <c r="N240" s="96"/>
      <c r="O240" s="96"/>
      <c r="P240" s="80"/>
      <c r="Q240" s="96"/>
      <c r="R240" s="96"/>
      <c r="S240" s="80"/>
      <c r="T240" s="96"/>
      <c r="U240" s="56"/>
      <c r="Z240" s="2" t="str">
        <f t="array" ref="Z240">IFERROR(INDEX(Table14[DESIGNATION ARTICLE],SMALL(IF(ISNUMBER(SEARCH(CALCULATEUR!$D$5,Table14[DESIGNATION ARTICLE])),ROW(Table14[DESIGNATION ARTICLE])-4),ROWS($1:236))),"")</f>
        <v/>
      </c>
    </row>
    <row r="241" spans="1:26" ht="14.45" customHeight="1" x14ac:dyDescent="0.25">
      <c r="A241" s="191"/>
      <c r="B241" s="137" t="s">
        <v>269</v>
      </c>
      <c r="C241" s="33">
        <v>646340000000220</v>
      </c>
      <c r="D241" s="12">
        <v>5411545023129</v>
      </c>
      <c r="E241" s="210">
        <v>30</v>
      </c>
      <c r="F241" s="211">
        <v>13</v>
      </c>
      <c r="G241" s="211">
        <v>1.2270000000000001</v>
      </c>
      <c r="H241" s="59" t="s">
        <v>6</v>
      </c>
      <c r="I241" s="59"/>
      <c r="J241" s="88" t="s">
        <v>1</v>
      </c>
      <c r="K241" s="59"/>
      <c r="L241" s="59"/>
      <c r="M241" s="60"/>
      <c r="N241" s="88"/>
      <c r="O241" s="88"/>
      <c r="P241" s="130"/>
      <c r="Q241" s="88"/>
      <c r="R241" s="88"/>
      <c r="S241" s="130"/>
      <c r="T241" s="88"/>
      <c r="U241" s="56"/>
      <c r="Z241" s="2" t="str">
        <f t="array" ref="Z241">IFERROR(INDEX(Table14[DESIGNATION ARTICLE],SMALL(IF(ISNUMBER(SEARCH(CALCULATEUR!$D$5,Table14[DESIGNATION ARTICLE])),ROW(Table14[DESIGNATION ARTICLE])-4),ROWS($1:237))),"")</f>
        <v/>
      </c>
    </row>
    <row r="242" spans="1:26" ht="14.45" customHeight="1" x14ac:dyDescent="0.25">
      <c r="A242" s="191"/>
      <c r="B242" s="5" t="s">
        <v>270</v>
      </c>
      <c r="C242" s="31">
        <v>646340000000222</v>
      </c>
      <c r="D242" s="11">
        <v>5411545023136</v>
      </c>
      <c r="E242" s="208">
        <v>40</v>
      </c>
      <c r="F242" s="209">
        <v>13</v>
      </c>
      <c r="G242" s="209">
        <v>1.2270000000000001</v>
      </c>
      <c r="H242" s="55" t="s">
        <v>6</v>
      </c>
      <c r="I242" s="55"/>
      <c r="J242" s="90" t="s">
        <v>1</v>
      </c>
      <c r="K242" s="55"/>
      <c r="L242" s="55"/>
      <c r="M242" s="56"/>
      <c r="N242" s="90"/>
      <c r="O242" s="90"/>
      <c r="P242" s="78"/>
      <c r="Q242" s="90"/>
      <c r="R242" s="90"/>
      <c r="S242" s="78"/>
      <c r="T242" s="90"/>
      <c r="U242" s="56"/>
      <c r="Z242" s="2" t="str">
        <f t="array" ref="Z242">IFERROR(INDEX(Table14[DESIGNATION ARTICLE],SMALL(IF(ISNUMBER(SEARCH(CALCULATEUR!$D$5,Table14[DESIGNATION ARTICLE])),ROW(Table14[DESIGNATION ARTICLE])-4),ROWS($1:238))),"")</f>
        <v/>
      </c>
    </row>
    <row r="243" spans="1:26" ht="15" customHeight="1" thickBot="1" x14ac:dyDescent="0.3">
      <c r="A243" s="191"/>
      <c r="B243" s="136" t="s">
        <v>271</v>
      </c>
      <c r="C243" s="32">
        <v>646340000000224</v>
      </c>
      <c r="D243" s="12">
        <v>5411545023167</v>
      </c>
      <c r="E243" s="212">
        <v>50</v>
      </c>
      <c r="F243" s="213">
        <v>13</v>
      </c>
      <c r="G243" s="213">
        <v>1.2270000000000001</v>
      </c>
      <c r="H243" s="57" t="s">
        <v>6</v>
      </c>
      <c r="I243" s="57"/>
      <c r="J243" s="96" t="s">
        <v>1</v>
      </c>
      <c r="K243" s="57"/>
      <c r="L243" s="57"/>
      <c r="M243" s="58"/>
      <c r="N243" s="96"/>
      <c r="O243" s="96"/>
      <c r="P243" s="80"/>
      <c r="Q243" s="96"/>
      <c r="R243" s="96"/>
      <c r="S243" s="80"/>
      <c r="T243" s="96"/>
      <c r="U243" s="56"/>
      <c r="Z243" s="2" t="str">
        <f t="array" ref="Z243">IFERROR(INDEX(Table14[DESIGNATION ARTICLE],SMALL(IF(ISNUMBER(SEARCH(CALCULATEUR!$D$5,Table14[DESIGNATION ARTICLE])),ROW(Table14[DESIGNATION ARTICLE])-4),ROWS($1:239))),"")</f>
        <v/>
      </c>
    </row>
    <row r="244" spans="1:26" ht="14.45" customHeight="1" x14ac:dyDescent="0.25">
      <c r="A244" s="191"/>
      <c r="B244" s="137" t="s">
        <v>272</v>
      </c>
      <c r="C244" s="33">
        <v>646340000000264</v>
      </c>
      <c r="D244" s="9">
        <v>5411545023143</v>
      </c>
      <c r="E244" s="214">
        <v>40</v>
      </c>
      <c r="F244" s="215">
        <v>13</v>
      </c>
      <c r="G244" s="215">
        <v>1.2270000000000001</v>
      </c>
      <c r="H244" s="59" t="s">
        <v>6</v>
      </c>
      <c r="I244" s="59"/>
      <c r="J244" s="88" t="s">
        <v>1</v>
      </c>
      <c r="K244" s="59"/>
      <c r="L244" s="59"/>
      <c r="M244" s="60"/>
      <c r="N244" s="88"/>
      <c r="O244" s="88"/>
      <c r="P244" s="130"/>
      <c r="Q244" s="88"/>
      <c r="R244" s="88"/>
      <c r="S244" s="130"/>
      <c r="T244" s="88"/>
      <c r="U244" s="56"/>
      <c r="Z244" s="2" t="str">
        <f t="array" ref="Z244">IFERROR(INDEX(Table14[DESIGNATION ARTICLE],SMALL(IF(ISNUMBER(SEARCH(CALCULATEUR!$D$5,Table14[DESIGNATION ARTICLE])),ROW(Table14[DESIGNATION ARTICLE])-4),ROWS($1:240))),"")</f>
        <v/>
      </c>
    </row>
    <row r="245" spans="1:26" ht="14.45" customHeight="1" x14ac:dyDescent="0.25">
      <c r="A245" s="191"/>
      <c r="B245" s="5" t="s">
        <v>273</v>
      </c>
      <c r="C245" s="31">
        <v>646340000000273</v>
      </c>
      <c r="D245" s="12">
        <v>5411545023174</v>
      </c>
      <c r="E245" s="206">
        <v>50</v>
      </c>
      <c r="F245" s="207">
        <v>13</v>
      </c>
      <c r="G245" s="207">
        <v>1.2270000000000001</v>
      </c>
      <c r="H245" s="55" t="s">
        <v>6</v>
      </c>
      <c r="I245" s="55"/>
      <c r="J245" s="90" t="s">
        <v>1</v>
      </c>
      <c r="K245" s="55"/>
      <c r="L245" s="55"/>
      <c r="M245" s="56"/>
      <c r="N245" s="90"/>
      <c r="O245" s="90"/>
      <c r="P245" s="78"/>
      <c r="Q245" s="90"/>
      <c r="R245" s="90"/>
      <c r="S245" s="78"/>
      <c r="T245" s="90"/>
      <c r="U245" s="56"/>
      <c r="Z245" s="2" t="str">
        <f t="array" ref="Z245">IFERROR(INDEX(Table14[DESIGNATION ARTICLE],SMALL(IF(ISNUMBER(SEARCH(CALCULATEUR!$D$5,Table14[DESIGNATION ARTICLE])),ROW(Table14[DESIGNATION ARTICLE])-4),ROWS($1:241))),"")</f>
        <v/>
      </c>
    </row>
    <row r="246" spans="1:26" ht="14.45" customHeight="1" thickBot="1" x14ac:dyDescent="0.3">
      <c r="A246" s="191"/>
      <c r="B246" s="136" t="s">
        <v>274</v>
      </c>
      <c r="C246" s="32">
        <v>646340000000282</v>
      </c>
      <c r="D246" s="7">
        <v>5411545023204</v>
      </c>
      <c r="E246" s="216">
        <v>60</v>
      </c>
      <c r="F246" s="217">
        <v>13</v>
      </c>
      <c r="G246" s="217">
        <v>1.2270000000000001</v>
      </c>
      <c r="H246" s="57" t="s">
        <v>6</v>
      </c>
      <c r="I246" s="57"/>
      <c r="J246" s="96" t="s">
        <v>1</v>
      </c>
      <c r="K246" s="57"/>
      <c r="L246" s="57"/>
      <c r="M246" s="58"/>
      <c r="N246" s="96"/>
      <c r="O246" s="96"/>
      <c r="P246" s="80"/>
      <c r="Q246" s="96"/>
      <c r="R246" s="96"/>
      <c r="S246" s="80"/>
      <c r="T246" s="96"/>
      <c r="U246" s="56"/>
      <c r="Z246" s="2" t="str">
        <f t="array" ref="Z246">IFERROR(INDEX(Table14[DESIGNATION ARTICLE],SMALL(IF(ISNUMBER(SEARCH(CALCULATEUR!$D$5,Table14[DESIGNATION ARTICLE])),ROW(Table14[DESIGNATION ARTICLE])-4),ROWS($1:242))),"")</f>
        <v/>
      </c>
    </row>
    <row r="247" spans="1:26" ht="15" customHeight="1" x14ac:dyDescent="0.25">
      <c r="A247" s="191"/>
      <c r="B247" s="137" t="s">
        <v>275</v>
      </c>
      <c r="C247" s="33">
        <v>646340000000366</v>
      </c>
      <c r="D247" s="12">
        <v>5411545023150</v>
      </c>
      <c r="E247" s="210">
        <v>40</v>
      </c>
      <c r="F247" s="211">
        <v>13</v>
      </c>
      <c r="G247" s="211">
        <v>1.2</v>
      </c>
      <c r="H247" s="59" t="s">
        <v>6</v>
      </c>
      <c r="I247" s="59"/>
      <c r="J247" s="88" t="s">
        <v>1</v>
      </c>
      <c r="K247" s="59"/>
      <c r="L247" s="59"/>
      <c r="M247" s="60"/>
      <c r="N247" s="88"/>
      <c r="O247" s="88"/>
      <c r="P247" s="130"/>
      <c r="Q247" s="88"/>
      <c r="R247" s="88"/>
      <c r="S247" s="130"/>
      <c r="T247" s="88"/>
      <c r="U247" s="56"/>
      <c r="Z247" s="2" t="str">
        <f t="array" ref="Z247">IFERROR(INDEX(Table14[DESIGNATION ARTICLE],SMALL(IF(ISNUMBER(SEARCH(CALCULATEUR!$D$5,Table14[DESIGNATION ARTICLE])),ROW(Table14[DESIGNATION ARTICLE])-4),ROWS($1:243))),"")</f>
        <v/>
      </c>
    </row>
    <row r="248" spans="1:26" ht="14.45" customHeight="1" x14ac:dyDescent="0.25">
      <c r="A248" s="191"/>
      <c r="B248" s="5" t="s">
        <v>276</v>
      </c>
      <c r="C248" s="31">
        <v>646340000000369</v>
      </c>
      <c r="D248" s="11">
        <v>5411545023181</v>
      </c>
      <c r="E248" s="208">
        <v>50</v>
      </c>
      <c r="F248" s="209">
        <v>13</v>
      </c>
      <c r="G248" s="209">
        <v>1.2</v>
      </c>
      <c r="H248" s="55" t="s">
        <v>6</v>
      </c>
      <c r="I248" s="55"/>
      <c r="J248" s="90" t="s">
        <v>1</v>
      </c>
      <c r="K248" s="55"/>
      <c r="L248" s="55"/>
      <c r="M248" s="56"/>
      <c r="N248" s="90"/>
      <c r="O248" s="90"/>
      <c r="P248" s="78"/>
      <c r="Q248" s="90"/>
      <c r="R248" s="90"/>
      <c r="S248" s="78"/>
      <c r="T248" s="90"/>
      <c r="U248" s="56"/>
      <c r="Z248" s="2" t="str">
        <f t="array" ref="Z248">IFERROR(INDEX(Table14[DESIGNATION ARTICLE],SMALL(IF(ISNUMBER(SEARCH(CALCULATEUR!$D$5,Table14[DESIGNATION ARTICLE])),ROW(Table14[DESIGNATION ARTICLE])-4),ROWS($1:244))),"")</f>
        <v/>
      </c>
    </row>
    <row r="249" spans="1:26" ht="14.45" customHeight="1" x14ac:dyDescent="0.25">
      <c r="A249" s="191"/>
      <c r="B249" s="5" t="s">
        <v>277</v>
      </c>
      <c r="C249" s="31">
        <v>646340000000365</v>
      </c>
      <c r="D249" s="12">
        <v>5411545023211</v>
      </c>
      <c r="E249" s="206">
        <v>60</v>
      </c>
      <c r="F249" s="207">
        <v>13</v>
      </c>
      <c r="G249" s="207">
        <v>1.2</v>
      </c>
      <c r="H249" s="55" t="s">
        <v>6</v>
      </c>
      <c r="I249" s="55"/>
      <c r="J249" s="90" t="s">
        <v>1</v>
      </c>
      <c r="K249" s="55"/>
      <c r="L249" s="55"/>
      <c r="M249" s="56"/>
      <c r="N249" s="90"/>
      <c r="O249" s="90"/>
      <c r="P249" s="78"/>
      <c r="Q249" s="90"/>
      <c r="R249" s="90"/>
      <c r="S249" s="78"/>
      <c r="T249" s="90"/>
      <c r="U249" s="56"/>
      <c r="Z249" s="2" t="str">
        <f t="array" ref="Z249">IFERROR(INDEX(Table14[DESIGNATION ARTICLE],SMALL(IF(ISNUMBER(SEARCH(CALCULATEUR!$D$5,Table14[DESIGNATION ARTICLE])),ROW(Table14[DESIGNATION ARTICLE])-4),ROWS($1:245))),"")</f>
        <v/>
      </c>
    </row>
    <row r="250" spans="1:26" ht="14.45" customHeight="1" x14ac:dyDescent="0.25">
      <c r="A250" s="191"/>
      <c r="B250" s="143" t="s">
        <v>278</v>
      </c>
      <c r="C250" s="46">
        <v>646340000000385</v>
      </c>
      <c r="D250" s="44">
        <v>5411545023228</v>
      </c>
      <c r="E250" s="225">
        <v>70</v>
      </c>
      <c r="F250" s="221">
        <v>13</v>
      </c>
      <c r="G250" s="221">
        <v>1.2</v>
      </c>
      <c r="H250" s="106" t="s">
        <v>6</v>
      </c>
      <c r="I250" s="106"/>
      <c r="J250" s="104" t="s">
        <v>1</v>
      </c>
      <c r="K250" s="106"/>
      <c r="L250" s="106"/>
      <c r="M250" s="123"/>
      <c r="N250" s="104"/>
      <c r="O250" s="104"/>
      <c r="P250" s="132"/>
      <c r="Q250" s="104"/>
      <c r="R250" s="104"/>
      <c r="S250" s="132"/>
      <c r="T250" s="104"/>
      <c r="U250" s="56"/>
      <c r="Z250" s="2" t="str">
        <f t="array" ref="Z250">IFERROR(INDEX(Table14[DESIGNATION ARTICLE],SMALL(IF(ISNUMBER(SEARCH(CALCULATEUR!$D$5,Table14[DESIGNATION ARTICLE])),ROW(Table14[DESIGNATION ARTICLE])-4),ROWS($1:246))),"")</f>
        <v/>
      </c>
    </row>
    <row r="251" spans="1:26" ht="14.45" customHeight="1" x14ac:dyDescent="0.25">
      <c r="A251" s="191"/>
      <c r="B251" s="5" t="s">
        <v>279</v>
      </c>
      <c r="C251" s="31">
        <v>646340000000374</v>
      </c>
      <c r="D251" s="12">
        <v>5411545023242</v>
      </c>
      <c r="E251" s="206">
        <v>80</v>
      </c>
      <c r="F251" s="207">
        <v>13</v>
      </c>
      <c r="G251" s="207">
        <v>1.2</v>
      </c>
      <c r="H251" s="55" t="s">
        <v>6</v>
      </c>
      <c r="I251" s="55"/>
      <c r="J251" s="90" t="s">
        <v>1</v>
      </c>
      <c r="K251" s="55"/>
      <c r="L251" s="55"/>
      <c r="M251" s="56"/>
      <c r="N251" s="90"/>
      <c r="O251" s="90"/>
      <c r="P251" s="78"/>
      <c r="Q251" s="90"/>
      <c r="R251" s="90"/>
      <c r="S251" s="78"/>
      <c r="T251" s="90"/>
      <c r="U251" s="56"/>
      <c r="Z251" s="2" t="str">
        <f t="array" ref="Z251">IFERROR(INDEX(Table14[DESIGNATION ARTICLE],SMALL(IF(ISNUMBER(SEARCH(CALCULATEUR!$D$5,Table14[DESIGNATION ARTICLE])),ROW(Table14[DESIGNATION ARTICLE])-4),ROWS($1:247))),"")</f>
        <v/>
      </c>
    </row>
    <row r="252" spans="1:26" ht="15" customHeight="1" thickBot="1" x14ac:dyDescent="0.3">
      <c r="A252" s="191"/>
      <c r="B252" s="136" t="s">
        <v>280</v>
      </c>
      <c r="C252" s="32">
        <v>646340000000381</v>
      </c>
      <c r="D252" s="7">
        <v>5411545023266</v>
      </c>
      <c r="E252" s="216">
        <v>100</v>
      </c>
      <c r="F252" s="217">
        <v>13</v>
      </c>
      <c r="G252" s="217">
        <v>1.2</v>
      </c>
      <c r="H252" s="57" t="s">
        <v>6</v>
      </c>
      <c r="I252" s="57"/>
      <c r="J252" s="96" t="s">
        <v>1</v>
      </c>
      <c r="K252" s="57"/>
      <c r="L252" s="57"/>
      <c r="M252" s="58"/>
      <c r="N252" s="96"/>
      <c r="O252" s="96"/>
      <c r="P252" s="80"/>
      <c r="Q252" s="96"/>
      <c r="R252" s="96"/>
      <c r="S252" s="80"/>
      <c r="T252" s="96"/>
      <c r="U252" s="56"/>
      <c r="Z252" s="2" t="str">
        <f t="array" ref="Z252">IFERROR(INDEX(Table14[DESIGNATION ARTICLE],SMALL(IF(ISNUMBER(SEARCH(CALCULATEUR!$D$5,Table14[DESIGNATION ARTICLE])),ROW(Table14[DESIGNATION ARTICLE])-4),ROWS($1:248))),"")</f>
        <v/>
      </c>
    </row>
    <row r="253" spans="1:26" s="6" customFormat="1" ht="15" customHeight="1" x14ac:dyDescent="0.2">
      <c r="A253" s="191"/>
      <c r="B253" s="5" t="s">
        <v>281</v>
      </c>
      <c r="C253" s="24">
        <v>646340000000034</v>
      </c>
      <c r="D253" s="146" t="s">
        <v>12</v>
      </c>
      <c r="E253" s="210">
        <v>30</v>
      </c>
      <c r="F253" s="209">
        <v>13</v>
      </c>
      <c r="G253" s="209">
        <v>1.2</v>
      </c>
      <c r="H253" s="55" t="s">
        <v>6</v>
      </c>
      <c r="I253" s="55"/>
      <c r="J253" s="90" t="s">
        <v>1</v>
      </c>
      <c r="K253" s="55"/>
      <c r="L253" s="55"/>
      <c r="M253" s="56"/>
      <c r="N253" s="90"/>
      <c r="O253" s="90"/>
      <c r="P253" s="78"/>
      <c r="Q253" s="90"/>
      <c r="R253" s="90"/>
      <c r="S253" s="78"/>
      <c r="T253" s="90"/>
      <c r="U253" s="56"/>
      <c r="Z253" s="2" t="str">
        <f t="array" ref="Z253">IFERROR(INDEX(Table14[DESIGNATION ARTICLE],SMALL(IF(ISNUMBER(SEARCH(CALCULATEUR!$D$5,Table14[DESIGNATION ARTICLE])),ROW(Table14[DESIGNATION ARTICLE])-4),ROWS($1:249))),"")</f>
        <v/>
      </c>
    </row>
    <row r="254" spans="1:26" s="6" customFormat="1" ht="15" customHeight="1" x14ac:dyDescent="0.2">
      <c r="A254" s="191"/>
      <c r="B254" s="5" t="s">
        <v>282</v>
      </c>
      <c r="C254" s="24">
        <v>646340000000060</v>
      </c>
      <c r="D254" s="147" t="s">
        <v>12</v>
      </c>
      <c r="E254" s="208">
        <v>40</v>
      </c>
      <c r="F254" s="209">
        <v>13</v>
      </c>
      <c r="G254" s="209">
        <v>1.2</v>
      </c>
      <c r="H254" s="55" t="s">
        <v>6</v>
      </c>
      <c r="I254" s="55"/>
      <c r="J254" s="90" t="s">
        <v>1</v>
      </c>
      <c r="K254" s="55"/>
      <c r="L254" s="55"/>
      <c r="M254" s="56"/>
      <c r="N254" s="90"/>
      <c r="O254" s="90"/>
      <c r="P254" s="78"/>
      <c r="Q254" s="90"/>
      <c r="R254" s="90"/>
      <c r="S254" s="78"/>
      <c r="T254" s="90"/>
      <c r="U254" s="56"/>
      <c r="Z254" s="2" t="str">
        <f t="array" ref="Z254">IFERROR(INDEX(Table14[DESIGNATION ARTICLE],SMALL(IF(ISNUMBER(SEARCH(CALCULATEUR!$D$5,Table14[DESIGNATION ARTICLE])),ROW(Table14[DESIGNATION ARTICLE])-4),ROWS($1:250))),"")</f>
        <v/>
      </c>
    </row>
    <row r="255" spans="1:26" s="6" customFormat="1" ht="15" customHeight="1" x14ac:dyDescent="0.2">
      <c r="A255" s="191"/>
      <c r="B255" s="5" t="s">
        <v>283</v>
      </c>
      <c r="C255" s="24">
        <v>646340000000086</v>
      </c>
      <c r="D255" s="147" t="s">
        <v>12</v>
      </c>
      <c r="E255" s="206">
        <v>50</v>
      </c>
      <c r="F255" s="209">
        <v>13</v>
      </c>
      <c r="G255" s="209">
        <v>1.2</v>
      </c>
      <c r="H255" s="55" t="s">
        <v>6</v>
      </c>
      <c r="I255" s="55"/>
      <c r="J255" s="90" t="s">
        <v>1</v>
      </c>
      <c r="K255" s="55"/>
      <c r="L255" s="55"/>
      <c r="M255" s="56"/>
      <c r="N255" s="90"/>
      <c r="O255" s="90"/>
      <c r="P255" s="78"/>
      <c r="Q255" s="90"/>
      <c r="R255" s="90"/>
      <c r="S255" s="78"/>
      <c r="T255" s="90"/>
      <c r="U255" s="56"/>
      <c r="Z255" s="2" t="str">
        <f t="array" ref="Z255">IFERROR(INDEX(Table14[DESIGNATION ARTICLE],SMALL(IF(ISNUMBER(SEARCH(CALCULATEUR!$D$5,Table14[DESIGNATION ARTICLE])),ROW(Table14[DESIGNATION ARTICLE])-4),ROWS($1:251))),"")</f>
        <v/>
      </c>
    </row>
    <row r="256" spans="1:26" ht="14.45" customHeight="1" x14ac:dyDescent="0.25">
      <c r="A256" s="191"/>
      <c r="B256" s="5" t="s">
        <v>284</v>
      </c>
      <c r="C256" s="31">
        <v>646340000000112</v>
      </c>
      <c r="D256" s="12">
        <v>5411545023198</v>
      </c>
      <c r="E256" s="208">
        <v>60</v>
      </c>
      <c r="F256" s="207">
        <v>13</v>
      </c>
      <c r="G256" s="207">
        <v>1.2</v>
      </c>
      <c r="H256" s="55" t="s">
        <v>6</v>
      </c>
      <c r="I256" s="55"/>
      <c r="J256" s="90" t="s">
        <v>1</v>
      </c>
      <c r="K256" s="55"/>
      <c r="L256" s="55"/>
      <c r="M256" s="56"/>
      <c r="N256" s="90"/>
      <c r="O256" s="90"/>
      <c r="P256" s="78"/>
      <c r="Q256" s="90"/>
      <c r="R256" s="90"/>
      <c r="S256" s="78"/>
      <c r="T256" s="90"/>
      <c r="U256" s="56"/>
      <c r="Z256" s="2" t="str">
        <f t="array" ref="Z256">IFERROR(INDEX(Table14[DESIGNATION ARTICLE],SMALL(IF(ISNUMBER(SEARCH(CALCULATEUR!$D$5,Table14[DESIGNATION ARTICLE])),ROW(Table14[DESIGNATION ARTICLE])-4),ROWS($1:252))),"")</f>
        <v/>
      </c>
    </row>
    <row r="257" spans="1:26" ht="14.45" customHeight="1" x14ac:dyDescent="0.25">
      <c r="A257" s="191"/>
      <c r="B257" s="5" t="s">
        <v>285</v>
      </c>
      <c r="C257" s="31">
        <v>646340000000380</v>
      </c>
      <c r="D257" s="11">
        <v>5411545023235</v>
      </c>
      <c r="E257" s="206">
        <v>80</v>
      </c>
      <c r="F257" s="209">
        <v>13</v>
      </c>
      <c r="G257" s="209">
        <v>1.2</v>
      </c>
      <c r="H257" s="55" t="s">
        <v>6</v>
      </c>
      <c r="I257" s="55"/>
      <c r="J257" s="90" t="s">
        <v>1</v>
      </c>
      <c r="K257" s="55"/>
      <c r="L257" s="55"/>
      <c r="M257" s="56"/>
      <c r="N257" s="90"/>
      <c r="O257" s="90"/>
      <c r="P257" s="78"/>
      <c r="Q257" s="90"/>
      <c r="R257" s="90"/>
      <c r="S257" s="78"/>
      <c r="T257" s="90"/>
      <c r="U257" s="56"/>
      <c r="Z257" s="2" t="str">
        <f t="array" ref="Z257">IFERROR(INDEX(Table14[DESIGNATION ARTICLE],SMALL(IF(ISNUMBER(SEARCH(CALCULATEUR!$D$5,Table14[DESIGNATION ARTICLE])),ROW(Table14[DESIGNATION ARTICLE])-4),ROWS($1:253))),"")</f>
        <v/>
      </c>
    </row>
    <row r="258" spans="1:26" ht="15" customHeight="1" thickBot="1" x14ac:dyDescent="0.3">
      <c r="A258" s="191"/>
      <c r="B258" s="136" t="s">
        <v>286</v>
      </c>
      <c r="C258" s="32">
        <v>646340000000399</v>
      </c>
      <c r="D258" s="8">
        <v>5411545023259</v>
      </c>
      <c r="E258" s="216">
        <v>100</v>
      </c>
      <c r="F258" s="213">
        <v>13</v>
      </c>
      <c r="G258" s="213">
        <v>1.2</v>
      </c>
      <c r="H258" s="57" t="s">
        <v>6</v>
      </c>
      <c r="I258" s="57"/>
      <c r="J258" s="96" t="s">
        <v>1</v>
      </c>
      <c r="K258" s="57"/>
      <c r="L258" s="57"/>
      <c r="M258" s="58"/>
      <c r="N258" s="96"/>
      <c r="O258" s="96"/>
      <c r="P258" s="80"/>
      <c r="Q258" s="96"/>
      <c r="R258" s="96"/>
      <c r="S258" s="80"/>
      <c r="T258" s="96"/>
      <c r="U258" s="56"/>
      <c r="Z258" s="2" t="str">
        <f t="array" ref="Z258">IFERROR(INDEX(Table14[DESIGNATION ARTICLE],SMALL(IF(ISNUMBER(SEARCH(CALCULATEUR!$D$5,Table14[DESIGNATION ARTICLE])),ROW(Table14[DESIGNATION ARTICLE])-4),ROWS($1:254))),"")</f>
        <v/>
      </c>
    </row>
    <row r="259" spans="1:26" ht="15" customHeight="1" x14ac:dyDescent="0.25">
      <c r="A259" s="191"/>
      <c r="B259" s="137" t="s">
        <v>287</v>
      </c>
      <c r="C259" s="37" t="s">
        <v>12</v>
      </c>
      <c r="D259" s="11" t="s">
        <v>15</v>
      </c>
      <c r="E259" s="214">
        <v>30</v>
      </c>
      <c r="F259" s="215">
        <v>8</v>
      </c>
      <c r="G259" s="215">
        <v>1.2270000000000001</v>
      </c>
      <c r="H259" s="59" t="s">
        <v>6</v>
      </c>
      <c r="I259" s="69"/>
      <c r="J259" s="88" t="s">
        <v>1</v>
      </c>
      <c r="K259" s="69"/>
      <c r="L259" s="69"/>
      <c r="M259" s="89"/>
      <c r="N259" s="88"/>
      <c r="O259" s="88"/>
      <c r="P259" s="130"/>
      <c r="Q259" s="88"/>
      <c r="R259" s="88"/>
      <c r="S259" s="130"/>
      <c r="T259" s="88"/>
      <c r="U259" s="56"/>
      <c r="Z259" s="2" t="str">
        <f t="array" ref="Z259">IFERROR(INDEX(Table14[DESIGNATION ARTICLE],SMALL(IF(ISNUMBER(SEARCH(CALCULATEUR!$D$5,Table14[DESIGNATION ARTICLE])),ROW(Table14[DESIGNATION ARTICLE])-4),ROWS($1:255))),"")</f>
        <v/>
      </c>
    </row>
    <row r="260" spans="1:26" ht="15" customHeight="1" x14ac:dyDescent="0.25">
      <c r="A260" s="191"/>
      <c r="B260" s="5" t="s">
        <v>288</v>
      </c>
      <c r="C260" s="24">
        <v>646330000000002</v>
      </c>
      <c r="D260" s="12">
        <v>5411545034705</v>
      </c>
      <c r="E260" s="206">
        <v>40</v>
      </c>
      <c r="F260" s="207">
        <v>8</v>
      </c>
      <c r="G260" s="207">
        <v>1.2270000000000001</v>
      </c>
      <c r="H260" s="55" t="s">
        <v>6</v>
      </c>
      <c r="I260" s="63"/>
      <c r="J260" s="90" t="s">
        <v>1</v>
      </c>
      <c r="K260" s="63"/>
      <c r="L260" s="63"/>
      <c r="M260" s="65"/>
      <c r="N260" s="90"/>
      <c r="O260" s="90"/>
      <c r="P260" s="78"/>
      <c r="Q260" s="90"/>
      <c r="R260" s="90"/>
      <c r="S260" s="78"/>
      <c r="T260" s="90"/>
      <c r="U260" s="56"/>
      <c r="Z260" s="2" t="str">
        <f t="array" ref="Z260">IFERROR(INDEX(Table14[DESIGNATION ARTICLE],SMALL(IF(ISNUMBER(SEARCH(CALCULATEUR!$D$5,Table14[DESIGNATION ARTICLE])),ROW(Table14[DESIGNATION ARTICLE])-4),ROWS($1:256))),"")</f>
        <v/>
      </c>
    </row>
    <row r="261" spans="1:26" ht="15" customHeight="1" x14ac:dyDescent="0.25">
      <c r="A261" s="191"/>
      <c r="B261" s="5" t="s">
        <v>289</v>
      </c>
      <c r="C261" s="24">
        <v>646330000000018</v>
      </c>
      <c r="D261" s="11">
        <v>5411545034712</v>
      </c>
      <c r="E261" s="208">
        <v>50</v>
      </c>
      <c r="F261" s="209">
        <v>8</v>
      </c>
      <c r="G261" s="209">
        <v>1.2270000000000001</v>
      </c>
      <c r="H261" s="55" t="s">
        <v>6</v>
      </c>
      <c r="I261" s="63"/>
      <c r="J261" s="90" t="s">
        <v>1</v>
      </c>
      <c r="K261" s="63"/>
      <c r="L261" s="63"/>
      <c r="M261" s="65"/>
      <c r="N261" s="90"/>
      <c r="O261" s="90"/>
      <c r="P261" s="78"/>
      <c r="Q261" s="90"/>
      <c r="R261" s="90"/>
      <c r="S261" s="78"/>
      <c r="T261" s="90"/>
      <c r="U261" s="56"/>
      <c r="Z261" s="2" t="str">
        <f t="array" ref="Z261">IFERROR(INDEX(Table14[DESIGNATION ARTICLE],SMALL(IF(ISNUMBER(SEARCH(CALCULATEUR!$D$5,Table14[DESIGNATION ARTICLE])),ROW(Table14[DESIGNATION ARTICLE])-4),ROWS($1:257))),"")</f>
        <v/>
      </c>
    </row>
    <row r="262" spans="1:26" ht="15" customHeight="1" thickBot="1" x14ac:dyDescent="0.3">
      <c r="A262" s="191"/>
      <c r="B262" s="136" t="s">
        <v>290</v>
      </c>
      <c r="C262" s="38">
        <v>646330000000020</v>
      </c>
      <c r="D262" s="12">
        <v>5411545034729</v>
      </c>
      <c r="E262" s="212">
        <v>60</v>
      </c>
      <c r="F262" s="213">
        <v>8</v>
      </c>
      <c r="G262" s="213">
        <v>1.2270000000000001</v>
      </c>
      <c r="H262" s="57" t="s">
        <v>6</v>
      </c>
      <c r="I262" s="76"/>
      <c r="J262" s="96" t="s">
        <v>1</v>
      </c>
      <c r="K262" s="76"/>
      <c r="L262" s="76"/>
      <c r="M262" s="79"/>
      <c r="N262" s="96"/>
      <c r="O262" s="96"/>
      <c r="P262" s="80"/>
      <c r="Q262" s="96"/>
      <c r="R262" s="96"/>
      <c r="S262" s="80"/>
      <c r="T262" s="96"/>
      <c r="U262" s="56"/>
      <c r="Z262" s="2" t="str">
        <f t="array" ref="Z262">IFERROR(INDEX(Table14[DESIGNATION ARTICLE],SMALL(IF(ISNUMBER(SEARCH(CALCULATEUR!$D$5,Table14[DESIGNATION ARTICLE])),ROW(Table14[DESIGNATION ARTICLE])-4),ROWS($1:258))),"")</f>
        <v/>
      </c>
    </row>
    <row r="263" spans="1:26" ht="15" customHeight="1" x14ac:dyDescent="0.25">
      <c r="A263" s="191"/>
      <c r="B263" s="137" t="s">
        <v>291</v>
      </c>
      <c r="C263" s="37">
        <v>646330000000052</v>
      </c>
      <c r="D263" s="9" t="s">
        <v>15</v>
      </c>
      <c r="E263" s="214">
        <v>40</v>
      </c>
      <c r="F263" s="215">
        <v>8</v>
      </c>
      <c r="G263" s="215">
        <v>1.2270000000000001</v>
      </c>
      <c r="H263" s="59" t="s">
        <v>6</v>
      </c>
      <c r="I263" s="69"/>
      <c r="J263" s="88" t="s">
        <v>1</v>
      </c>
      <c r="K263" s="69"/>
      <c r="L263" s="69"/>
      <c r="M263" s="89"/>
      <c r="N263" s="88"/>
      <c r="O263" s="88"/>
      <c r="P263" s="130"/>
      <c r="Q263" s="88"/>
      <c r="R263" s="88"/>
      <c r="S263" s="130"/>
      <c r="T263" s="88"/>
      <c r="U263" s="56"/>
      <c r="Z263" s="2" t="str">
        <f t="array" ref="Z263">IFERROR(INDEX(Table14[DESIGNATION ARTICLE],SMALL(IF(ISNUMBER(SEARCH(CALCULATEUR!$D$5,Table14[DESIGNATION ARTICLE])),ROW(Table14[DESIGNATION ARTICLE])-4),ROWS($1:259))),"")</f>
        <v/>
      </c>
    </row>
    <row r="264" spans="1:26" ht="15" customHeight="1" x14ac:dyDescent="0.25">
      <c r="A264" s="191"/>
      <c r="B264" s="5" t="s">
        <v>292</v>
      </c>
      <c r="C264" s="24">
        <v>646330000000054</v>
      </c>
      <c r="D264" s="12" t="s">
        <v>15</v>
      </c>
      <c r="E264" s="206">
        <v>50</v>
      </c>
      <c r="F264" s="207">
        <v>8</v>
      </c>
      <c r="G264" s="207">
        <v>1.2270000000000001</v>
      </c>
      <c r="H264" s="55" t="s">
        <v>6</v>
      </c>
      <c r="I264" s="63"/>
      <c r="J264" s="90" t="s">
        <v>1</v>
      </c>
      <c r="K264" s="63"/>
      <c r="L264" s="63"/>
      <c r="M264" s="65"/>
      <c r="N264" s="90"/>
      <c r="O264" s="90"/>
      <c r="P264" s="78"/>
      <c r="Q264" s="90"/>
      <c r="R264" s="90"/>
      <c r="S264" s="78"/>
      <c r="T264" s="90"/>
      <c r="U264" s="56"/>
      <c r="Z264" s="2" t="str">
        <f t="array" ref="Z264">IFERROR(INDEX(Table14[DESIGNATION ARTICLE],SMALL(IF(ISNUMBER(SEARCH(CALCULATEUR!$D$5,Table14[DESIGNATION ARTICLE])),ROW(Table14[DESIGNATION ARTICLE])-4),ROWS($1:260))),"")</f>
        <v/>
      </c>
    </row>
    <row r="265" spans="1:26" ht="15" customHeight="1" thickBot="1" x14ac:dyDescent="0.3">
      <c r="A265" s="191"/>
      <c r="B265" s="136" t="s">
        <v>293</v>
      </c>
      <c r="C265" s="38" t="s">
        <v>12</v>
      </c>
      <c r="D265" s="7" t="s">
        <v>15</v>
      </c>
      <c r="E265" s="216">
        <v>60</v>
      </c>
      <c r="F265" s="217">
        <v>8</v>
      </c>
      <c r="G265" s="217">
        <v>1.2270000000000001</v>
      </c>
      <c r="H265" s="57" t="s">
        <v>6</v>
      </c>
      <c r="I265" s="76"/>
      <c r="J265" s="96" t="s">
        <v>1</v>
      </c>
      <c r="K265" s="76"/>
      <c r="L265" s="76"/>
      <c r="M265" s="79"/>
      <c r="N265" s="96"/>
      <c r="O265" s="96"/>
      <c r="P265" s="80"/>
      <c r="Q265" s="96"/>
      <c r="R265" s="96"/>
      <c r="S265" s="80"/>
      <c r="T265" s="96"/>
      <c r="U265" s="56"/>
      <c r="Z265" s="2" t="str">
        <f t="array" ref="Z265">IFERROR(INDEX(Table14[DESIGNATION ARTICLE],SMALL(IF(ISNUMBER(SEARCH(CALCULATEUR!$D$5,Table14[DESIGNATION ARTICLE])),ROW(Table14[DESIGNATION ARTICLE])-4),ROWS($1:261))),"")</f>
        <v/>
      </c>
    </row>
    <row r="266" spans="1:26" ht="15" customHeight="1" x14ac:dyDescent="0.25">
      <c r="A266" s="191"/>
      <c r="B266" s="137" t="s">
        <v>294</v>
      </c>
      <c r="C266" s="37">
        <v>646330000000008</v>
      </c>
      <c r="D266" s="12" t="s">
        <v>15</v>
      </c>
      <c r="E266" s="210">
        <v>40</v>
      </c>
      <c r="F266" s="211">
        <v>8</v>
      </c>
      <c r="G266" s="211">
        <v>1.2</v>
      </c>
      <c r="H266" s="59" t="s">
        <v>6</v>
      </c>
      <c r="I266" s="69"/>
      <c r="J266" s="88" t="s">
        <v>1</v>
      </c>
      <c r="K266" s="69"/>
      <c r="L266" s="69"/>
      <c r="M266" s="89"/>
      <c r="N266" s="88"/>
      <c r="O266" s="88"/>
      <c r="P266" s="130"/>
      <c r="Q266" s="88"/>
      <c r="R266" s="88"/>
      <c r="S266" s="130"/>
      <c r="T266" s="88"/>
      <c r="U266" s="56"/>
      <c r="Z266" s="2" t="str">
        <f t="array" ref="Z266">IFERROR(INDEX(Table14[DESIGNATION ARTICLE],SMALL(IF(ISNUMBER(SEARCH(CALCULATEUR!$D$5,Table14[DESIGNATION ARTICLE])),ROW(Table14[DESIGNATION ARTICLE])-4),ROWS($1:262))),"")</f>
        <v/>
      </c>
    </row>
    <row r="267" spans="1:26" ht="15" customHeight="1" x14ac:dyDescent="0.25">
      <c r="A267" s="191"/>
      <c r="B267" s="5" t="s">
        <v>295</v>
      </c>
      <c r="C267" s="24">
        <v>646330000000019</v>
      </c>
      <c r="D267" s="11">
        <v>5411545024362</v>
      </c>
      <c r="E267" s="208">
        <v>50</v>
      </c>
      <c r="F267" s="209">
        <v>8</v>
      </c>
      <c r="G267" s="209">
        <v>1.2</v>
      </c>
      <c r="H267" s="55" t="s">
        <v>6</v>
      </c>
      <c r="I267" s="63"/>
      <c r="J267" s="90" t="s">
        <v>1</v>
      </c>
      <c r="K267" s="63"/>
      <c r="L267" s="63"/>
      <c r="M267" s="65"/>
      <c r="N267" s="90"/>
      <c r="O267" s="90"/>
      <c r="P267" s="78"/>
      <c r="Q267" s="90"/>
      <c r="R267" s="90"/>
      <c r="S267" s="78"/>
      <c r="T267" s="90"/>
      <c r="U267" s="56"/>
      <c r="Z267" s="2" t="str">
        <f t="array" ref="Z267">IFERROR(INDEX(Table14[DESIGNATION ARTICLE],SMALL(IF(ISNUMBER(SEARCH(CALCULATEUR!$D$5,Table14[DESIGNATION ARTICLE])),ROW(Table14[DESIGNATION ARTICLE])-4),ROWS($1:263))),"")</f>
        <v/>
      </c>
    </row>
    <row r="268" spans="1:26" ht="15" customHeight="1" x14ac:dyDescent="0.25">
      <c r="A268" s="191"/>
      <c r="B268" s="5" t="s">
        <v>296</v>
      </c>
      <c r="C268" s="24">
        <v>646330000000026</v>
      </c>
      <c r="D268" s="12">
        <v>5411545029039</v>
      </c>
      <c r="E268" s="206">
        <v>60</v>
      </c>
      <c r="F268" s="207">
        <v>8</v>
      </c>
      <c r="G268" s="207">
        <v>1.2</v>
      </c>
      <c r="H268" s="55" t="s">
        <v>6</v>
      </c>
      <c r="I268" s="63"/>
      <c r="J268" s="90" t="s">
        <v>1</v>
      </c>
      <c r="K268" s="63"/>
      <c r="L268" s="63"/>
      <c r="M268" s="65"/>
      <c r="N268" s="90"/>
      <c r="O268" s="90"/>
      <c r="P268" s="78"/>
      <c r="Q268" s="90"/>
      <c r="R268" s="90"/>
      <c r="S268" s="78"/>
      <c r="T268" s="90"/>
      <c r="U268" s="56"/>
      <c r="Z268" s="2" t="str">
        <f t="array" ref="Z268">IFERROR(INDEX(Table14[DESIGNATION ARTICLE],SMALL(IF(ISNUMBER(SEARCH(CALCULATEUR!$D$5,Table14[DESIGNATION ARTICLE])),ROW(Table14[DESIGNATION ARTICLE])-4),ROWS($1:264))),"")</f>
        <v/>
      </c>
    </row>
    <row r="269" spans="1:26" ht="15" customHeight="1" x14ac:dyDescent="0.25">
      <c r="A269" s="191"/>
      <c r="B269" s="5" t="s">
        <v>297</v>
      </c>
      <c r="C269" s="24">
        <v>646330000000004</v>
      </c>
      <c r="D269" s="11">
        <v>5411545034736</v>
      </c>
      <c r="E269" s="208">
        <v>80</v>
      </c>
      <c r="F269" s="209">
        <v>8</v>
      </c>
      <c r="G269" s="209">
        <v>1.2</v>
      </c>
      <c r="H269" s="55" t="s">
        <v>6</v>
      </c>
      <c r="I269" s="63"/>
      <c r="J269" s="90" t="s">
        <v>1</v>
      </c>
      <c r="K269" s="63"/>
      <c r="L269" s="63"/>
      <c r="M269" s="65"/>
      <c r="N269" s="90"/>
      <c r="O269" s="90"/>
      <c r="P269" s="78"/>
      <c r="Q269" s="90"/>
      <c r="R269" s="90"/>
      <c r="S269" s="78"/>
      <c r="T269" s="90"/>
      <c r="U269" s="56"/>
      <c r="Z269" s="2" t="str">
        <f t="array" ref="Z269">IFERROR(INDEX(Table14[DESIGNATION ARTICLE],SMALL(IF(ISNUMBER(SEARCH(CALCULATEUR!$D$5,Table14[DESIGNATION ARTICLE])),ROW(Table14[DESIGNATION ARTICLE])-4),ROWS($1:265))),"")</f>
        <v/>
      </c>
    </row>
    <row r="270" spans="1:26" ht="15" customHeight="1" thickBot="1" x14ac:dyDescent="0.3">
      <c r="A270" s="191"/>
      <c r="B270" s="136" t="s">
        <v>298</v>
      </c>
      <c r="C270" s="38" t="s">
        <v>12</v>
      </c>
      <c r="D270" s="12" t="s">
        <v>15</v>
      </c>
      <c r="E270" s="212">
        <v>100</v>
      </c>
      <c r="F270" s="213">
        <v>8</v>
      </c>
      <c r="G270" s="213">
        <v>1.2</v>
      </c>
      <c r="H270" s="57" t="s">
        <v>6</v>
      </c>
      <c r="I270" s="76"/>
      <c r="J270" s="96" t="s">
        <v>1</v>
      </c>
      <c r="K270" s="76"/>
      <c r="L270" s="76"/>
      <c r="M270" s="79"/>
      <c r="N270" s="96"/>
      <c r="O270" s="96"/>
      <c r="P270" s="80"/>
      <c r="Q270" s="96"/>
      <c r="R270" s="96"/>
      <c r="S270" s="80"/>
      <c r="T270" s="96"/>
      <c r="U270" s="56"/>
      <c r="Z270" s="2" t="str">
        <f t="array" ref="Z270">IFERROR(INDEX(Table14[DESIGNATION ARTICLE],SMALL(IF(ISNUMBER(SEARCH(CALCULATEUR!$D$5,Table14[DESIGNATION ARTICLE])),ROW(Table14[DESIGNATION ARTICLE])-4),ROWS($1:266))),"")</f>
        <v/>
      </c>
    </row>
    <row r="271" spans="1:26" ht="15" customHeight="1" x14ac:dyDescent="0.25">
      <c r="A271" s="191"/>
      <c r="B271" s="137" t="s">
        <v>299</v>
      </c>
      <c r="C271" s="37" t="s">
        <v>12</v>
      </c>
      <c r="D271" s="9" t="s">
        <v>15</v>
      </c>
      <c r="E271" s="214">
        <v>30</v>
      </c>
      <c r="F271" s="215">
        <v>8</v>
      </c>
      <c r="G271" s="215">
        <v>1.2</v>
      </c>
      <c r="H271" s="59" t="s">
        <v>6</v>
      </c>
      <c r="I271" s="69"/>
      <c r="J271" s="88" t="s">
        <v>1</v>
      </c>
      <c r="K271" s="69"/>
      <c r="L271" s="69"/>
      <c r="M271" s="89"/>
      <c r="N271" s="88"/>
      <c r="O271" s="88"/>
      <c r="P271" s="130"/>
      <c r="Q271" s="88"/>
      <c r="R271" s="88"/>
      <c r="S271" s="130"/>
      <c r="T271" s="88"/>
      <c r="U271" s="56"/>
      <c r="Z271" s="2" t="str">
        <f t="array" ref="Z271">IFERROR(INDEX(Table14[DESIGNATION ARTICLE],SMALL(IF(ISNUMBER(SEARCH(CALCULATEUR!$D$5,Table14[DESIGNATION ARTICLE])),ROW(Table14[DESIGNATION ARTICLE])-4),ROWS($1:267))),"")</f>
        <v/>
      </c>
    </row>
    <row r="272" spans="1:26" ht="15" customHeight="1" x14ac:dyDescent="0.25">
      <c r="A272" s="191"/>
      <c r="B272" s="5" t="s">
        <v>300</v>
      </c>
      <c r="C272" s="24">
        <v>646330000000010</v>
      </c>
      <c r="D272" s="12">
        <v>5411545034743</v>
      </c>
      <c r="E272" s="206">
        <v>40</v>
      </c>
      <c r="F272" s="207">
        <v>8</v>
      </c>
      <c r="G272" s="207">
        <v>1.2</v>
      </c>
      <c r="H272" s="55" t="s">
        <v>6</v>
      </c>
      <c r="I272" s="63"/>
      <c r="J272" s="90" t="s">
        <v>1</v>
      </c>
      <c r="K272" s="63"/>
      <c r="L272" s="63"/>
      <c r="M272" s="65"/>
      <c r="N272" s="90"/>
      <c r="O272" s="90"/>
      <c r="P272" s="78"/>
      <c r="Q272" s="90"/>
      <c r="R272" s="90"/>
      <c r="S272" s="78"/>
      <c r="T272" s="90"/>
      <c r="U272" s="56"/>
      <c r="Z272" s="2" t="str">
        <f t="array" ref="Z272">IFERROR(INDEX(Table14[DESIGNATION ARTICLE],SMALL(IF(ISNUMBER(SEARCH(CALCULATEUR!$D$5,Table14[DESIGNATION ARTICLE])),ROW(Table14[DESIGNATION ARTICLE])-4),ROWS($1:268))),"")</f>
        <v/>
      </c>
    </row>
    <row r="273" spans="1:26" ht="15" customHeight="1" x14ac:dyDescent="0.25">
      <c r="A273" s="191"/>
      <c r="B273" s="5" t="s">
        <v>301</v>
      </c>
      <c r="C273" s="24">
        <v>646330000000012</v>
      </c>
      <c r="D273" s="11">
        <v>5411545034750</v>
      </c>
      <c r="E273" s="208">
        <v>50</v>
      </c>
      <c r="F273" s="209">
        <v>8</v>
      </c>
      <c r="G273" s="209">
        <v>1.2</v>
      </c>
      <c r="H273" s="55" t="s">
        <v>6</v>
      </c>
      <c r="I273" s="63"/>
      <c r="J273" s="90" t="s">
        <v>1</v>
      </c>
      <c r="K273" s="63"/>
      <c r="L273" s="63"/>
      <c r="M273" s="65"/>
      <c r="N273" s="90"/>
      <c r="O273" s="90"/>
      <c r="P273" s="78"/>
      <c r="Q273" s="90"/>
      <c r="R273" s="90"/>
      <c r="S273" s="78"/>
      <c r="T273" s="90"/>
      <c r="U273" s="56"/>
      <c r="Z273" s="2" t="str">
        <f t="array" ref="Z273">IFERROR(INDEX(Table14[DESIGNATION ARTICLE],SMALL(IF(ISNUMBER(SEARCH(CALCULATEUR!$D$5,Table14[DESIGNATION ARTICLE])),ROW(Table14[DESIGNATION ARTICLE])-4),ROWS($1:269))),"")</f>
        <v/>
      </c>
    </row>
    <row r="274" spans="1:26" ht="15" customHeight="1" x14ac:dyDescent="0.25">
      <c r="A274" s="191"/>
      <c r="B274" s="5" t="s">
        <v>302</v>
      </c>
      <c r="C274" s="24">
        <v>646330000000021</v>
      </c>
      <c r="D274" s="12">
        <v>5411545026045</v>
      </c>
      <c r="E274" s="206">
        <v>60</v>
      </c>
      <c r="F274" s="207">
        <v>8</v>
      </c>
      <c r="G274" s="207">
        <v>1.2</v>
      </c>
      <c r="H274" s="55" t="s">
        <v>6</v>
      </c>
      <c r="I274" s="63"/>
      <c r="J274" s="90" t="s">
        <v>1</v>
      </c>
      <c r="K274" s="63"/>
      <c r="L274" s="63"/>
      <c r="M274" s="65"/>
      <c r="N274" s="90"/>
      <c r="O274" s="90"/>
      <c r="P274" s="78"/>
      <c r="Q274" s="90"/>
      <c r="R274" s="90"/>
      <c r="S274" s="78"/>
      <c r="T274" s="90"/>
      <c r="U274" s="56"/>
      <c r="Z274" s="2" t="str">
        <f t="array" ref="Z274">IFERROR(INDEX(Table14[DESIGNATION ARTICLE],SMALL(IF(ISNUMBER(SEARCH(CALCULATEUR!$D$5,Table14[DESIGNATION ARTICLE])),ROW(Table14[DESIGNATION ARTICLE])-4),ROWS($1:270))),"")</f>
        <v/>
      </c>
    </row>
    <row r="275" spans="1:26" ht="15" customHeight="1" x14ac:dyDescent="0.25">
      <c r="A275" s="191"/>
      <c r="B275" s="5" t="s">
        <v>303</v>
      </c>
      <c r="C275" s="24" t="s">
        <v>12</v>
      </c>
      <c r="D275" s="11" t="s">
        <v>12</v>
      </c>
      <c r="E275" s="208">
        <v>80</v>
      </c>
      <c r="F275" s="209">
        <v>8</v>
      </c>
      <c r="G275" s="209">
        <v>1.2</v>
      </c>
      <c r="H275" s="55" t="s">
        <v>6</v>
      </c>
      <c r="I275" s="63"/>
      <c r="J275" s="90" t="s">
        <v>1</v>
      </c>
      <c r="K275" s="63"/>
      <c r="L275" s="63"/>
      <c r="M275" s="65"/>
      <c r="N275" s="90"/>
      <c r="O275" s="90"/>
      <c r="P275" s="78"/>
      <c r="Q275" s="90"/>
      <c r="R275" s="90"/>
      <c r="S275" s="78"/>
      <c r="T275" s="90"/>
      <c r="U275" s="56"/>
      <c r="Z275" s="2" t="str">
        <f t="array" ref="Z275">IFERROR(INDEX(Table14[DESIGNATION ARTICLE],SMALL(IF(ISNUMBER(SEARCH(CALCULATEUR!$D$5,Table14[DESIGNATION ARTICLE])),ROW(Table14[DESIGNATION ARTICLE])-4),ROWS($1:271))),"")</f>
        <v/>
      </c>
    </row>
    <row r="276" spans="1:26" ht="15" customHeight="1" thickBot="1" x14ac:dyDescent="0.3">
      <c r="A276" s="191"/>
      <c r="B276" s="136" t="s">
        <v>304</v>
      </c>
      <c r="C276" s="38" t="s">
        <v>12</v>
      </c>
      <c r="D276" s="8" t="s">
        <v>12</v>
      </c>
      <c r="E276" s="212">
        <v>100</v>
      </c>
      <c r="F276" s="213">
        <v>8</v>
      </c>
      <c r="G276" s="213">
        <v>1.2</v>
      </c>
      <c r="H276" s="57" t="s">
        <v>6</v>
      </c>
      <c r="I276" s="76"/>
      <c r="J276" s="96" t="s">
        <v>1</v>
      </c>
      <c r="K276" s="76"/>
      <c r="L276" s="76"/>
      <c r="M276" s="79"/>
      <c r="N276" s="96"/>
      <c r="O276" s="96"/>
      <c r="P276" s="80"/>
      <c r="Q276" s="96"/>
      <c r="R276" s="96"/>
      <c r="S276" s="80"/>
      <c r="T276" s="96"/>
      <c r="U276" s="56"/>
      <c r="Z276" s="2" t="str">
        <f t="array" ref="Z276">IFERROR(INDEX(Table14[DESIGNATION ARTICLE],SMALL(IF(ISNUMBER(SEARCH(CALCULATEUR!$D$5,Table14[DESIGNATION ARTICLE])),ROW(Table14[DESIGNATION ARTICLE])-4),ROWS($1:272))),"")</f>
        <v/>
      </c>
    </row>
    <row r="277" spans="1:26" ht="14.45" customHeight="1" x14ac:dyDescent="0.25">
      <c r="A277" s="191"/>
      <c r="B277" s="142" t="s">
        <v>305</v>
      </c>
      <c r="C277" s="47">
        <v>646060000000059</v>
      </c>
      <c r="D277" s="44">
        <v>5411545023273</v>
      </c>
      <c r="E277" s="223">
        <v>30</v>
      </c>
      <c r="F277" s="220">
        <v>8</v>
      </c>
      <c r="G277" s="220">
        <v>1.2250000000000001</v>
      </c>
      <c r="H277" s="99" t="s">
        <v>6</v>
      </c>
      <c r="I277" s="99"/>
      <c r="J277" s="101" t="s">
        <v>1</v>
      </c>
      <c r="K277" s="99"/>
      <c r="L277" s="99"/>
      <c r="M277" s="124"/>
      <c r="N277" s="101"/>
      <c r="O277" s="101"/>
      <c r="P277" s="131"/>
      <c r="Q277" s="101"/>
      <c r="R277" s="101"/>
      <c r="S277" s="131"/>
      <c r="T277" s="101"/>
      <c r="U277" s="56"/>
      <c r="Z277" s="2" t="str">
        <f t="array" ref="Z277">IFERROR(INDEX(Table14[DESIGNATION ARTICLE],SMALL(IF(ISNUMBER(SEARCH(CALCULATEUR!$D$5,Table14[DESIGNATION ARTICLE])),ROW(Table14[DESIGNATION ARTICLE])-4),ROWS($1:273))),"")</f>
        <v/>
      </c>
    </row>
    <row r="278" spans="1:26" ht="14.45" customHeight="1" x14ac:dyDescent="0.25">
      <c r="A278" s="191"/>
      <c r="B278" s="143" t="s">
        <v>306</v>
      </c>
      <c r="C278" s="48">
        <v>646060000000061</v>
      </c>
      <c r="D278" s="45">
        <v>5411545023280</v>
      </c>
      <c r="E278" s="224">
        <v>40</v>
      </c>
      <c r="F278" s="222">
        <v>8</v>
      </c>
      <c r="G278" s="222">
        <v>1.2250000000000001</v>
      </c>
      <c r="H278" s="106" t="s">
        <v>6</v>
      </c>
      <c r="I278" s="106"/>
      <c r="J278" s="104" t="s">
        <v>1</v>
      </c>
      <c r="K278" s="106"/>
      <c r="L278" s="106"/>
      <c r="M278" s="123"/>
      <c r="N278" s="104"/>
      <c r="O278" s="104"/>
      <c r="P278" s="132"/>
      <c r="Q278" s="104"/>
      <c r="R278" s="104"/>
      <c r="S278" s="132"/>
      <c r="T278" s="104"/>
      <c r="U278" s="56"/>
      <c r="Z278" s="2" t="str">
        <f t="array" ref="Z278">IFERROR(INDEX(Table14[DESIGNATION ARTICLE],SMALL(IF(ISNUMBER(SEARCH(CALCULATEUR!$D$5,Table14[DESIGNATION ARTICLE])),ROW(Table14[DESIGNATION ARTICLE])-4),ROWS($1:274))),"")</f>
        <v/>
      </c>
    </row>
    <row r="279" spans="1:26" ht="14.45" customHeight="1" x14ac:dyDescent="0.25">
      <c r="A279" s="191"/>
      <c r="B279" s="143" t="s">
        <v>307</v>
      </c>
      <c r="C279" s="48">
        <v>646060000000055</v>
      </c>
      <c r="D279" s="44">
        <v>5411545023297</v>
      </c>
      <c r="E279" s="225">
        <v>50</v>
      </c>
      <c r="F279" s="221">
        <v>8</v>
      </c>
      <c r="G279" s="221">
        <v>1.2250000000000001</v>
      </c>
      <c r="H279" s="106" t="s">
        <v>6</v>
      </c>
      <c r="I279" s="106"/>
      <c r="J279" s="104" t="s">
        <v>1</v>
      </c>
      <c r="K279" s="106"/>
      <c r="L279" s="106"/>
      <c r="M279" s="123"/>
      <c r="N279" s="104"/>
      <c r="O279" s="104"/>
      <c r="P279" s="132"/>
      <c r="Q279" s="104"/>
      <c r="R279" s="104"/>
      <c r="S279" s="132"/>
      <c r="T279" s="104"/>
      <c r="U279" s="56"/>
      <c r="Z279" s="2" t="str">
        <f t="array" ref="Z279">IFERROR(INDEX(Table14[DESIGNATION ARTICLE],SMALL(IF(ISNUMBER(SEARCH(CALCULATEUR!$D$5,Table14[DESIGNATION ARTICLE])),ROW(Table14[DESIGNATION ARTICLE])-4),ROWS($1:275))),"")</f>
        <v/>
      </c>
    </row>
    <row r="280" spans="1:26" ht="14.45" customHeight="1" x14ac:dyDescent="0.25">
      <c r="A280" s="191"/>
      <c r="B280" s="143" t="s">
        <v>308</v>
      </c>
      <c r="C280" s="48">
        <v>646060000000057</v>
      </c>
      <c r="D280" s="45">
        <v>5411545023303</v>
      </c>
      <c r="E280" s="224">
        <v>60</v>
      </c>
      <c r="F280" s="222">
        <v>8</v>
      </c>
      <c r="G280" s="222">
        <v>1.2250000000000001</v>
      </c>
      <c r="H280" s="106" t="s">
        <v>6</v>
      </c>
      <c r="I280" s="106"/>
      <c r="J280" s="104" t="s">
        <v>1</v>
      </c>
      <c r="K280" s="106"/>
      <c r="L280" s="106"/>
      <c r="M280" s="123"/>
      <c r="N280" s="104"/>
      <c r="O280" s="104"/>
      <c r="P280" s="132"/>
      <c r="Q280" s="104"/>
      <c r="R280" s="104"/>
      <c r="S280" s="132"/>
      <c r="T280" s="104"/>
      <c r="U280" s="56"/>
      <c r="Z280" s="2" t="str">
        <f t="array" ref="Z280">IFERROR(INDEX(Table14[DESIGNATION ARTICLE],SMALL(IF(ISNUMBER(SEARCH(CALCULATEUR!$D$5,Table14[DESIGNATION ARTICLE])),ROW(Table14[DESIGNATION ARTICLE])-4),ROWS($1:276))),"")</f>
        <v/>
      </c>
    </row>
    <row r="281" spans="1:26" ht="15" customHeight="1" thickBot="1" x14ac:dyDescent="0.3">
      <c r="A281" s="191"/>
      <c r="B281" s="144" t="s">
        <v>309</v>
      </c>
      <c r="C281" s="49">
        <v>646060000000063</v>
      </c>
      <c r="D281" s="44">
        <v>5411545023310</v>
      </c>
      <c r="E281" s="226">
        <v>80</v>
      </c>
      <c r="F281" s="227">
        <v>8</v>
      </c>
      <c r="G281" s="227">
        <v>1.2250000000000001</v>
      </c>
      <c r="H281" s="125" t="s">
        <v>6</v>
      </c>
      <c r="I281" s="125"/>
      <c r="J281" s="126" t="s">
        <v>1</v>
      </c>
      <c r="K281" s="125"/>
      <c r="L281" s="125"/>
      <c r="M281" s="127"/>
      <c r="N281" s="126"/>
      <c r="O281" s="126"/>
      <c r="P281" s="133"/>
      <c r="Q281" s="126"/>
      <c r="R281" s="126"/>
      <c r="S281" s="133"/>
      <c r="T281" s="126"/>
      <c r="U281" s="56"/>
      <c r="Z281" s="2" t="str">
        <f t="array" ref="Z281">IFERROR(INDEX(Table14[DESIGNATION ARTICLE],SMALL(IF(ISNUMBER(SEARCH(CALCULATEUR!$D$5,Table14[DESIGNATION ARTICLE])),ROW(Table14[DESIGNATION ARTICLE])-4),ROWS($1:277))),"")</f>
        <v/>
      </c>
    </row>
    <row r="282" spans="1:26" ht="15" customHeight="1" x14ac:dyDescent="0.25">
      <c r="A282" s="191"/>
      <c r="B282" s="137" t="s">
        <v>310</v>
      </c>
      <c r="C282" s="39">
        <v>646320000000002</v>
      </c>
      <c r="D282" s="10">
        <v>5411545026076</v>
      </c>
      <c r="E282" s="210">
        <v>30</v>
      </c>
      <c r="F282" s="211">
        <v>8</v>
      </c>
      <c r="G282" s="211">
        <v>1.2270000000000001</v>
      </c>
      <c r="H282" s="59" t="s">
        <v>6</v>
      </c>
      <c r="I282" s="59"/>
      <c r="J282" s="88" t="s">
        <v>1</v>
      </c>
      <c r="K282" s="69"/>
      <c r="L282" s="69"/>
      <c r="M282" s="89"/>
      <c r="N282" s="88"/>
      <c r="O282" s="88"/>
      <c r="P282" s="130"/>
      <c r="Q282" s="88"/>
      <c r="R282" s="88"/>
      <c r="S282" s="130"/>
      <c r="T282" s="88"/>
      <c r="U282" s="56"/>
      <c r="Z282" s="2" t="str">
        <f t="array" ref="Z282">IFERROR(INDEX(Table14[DESIGNATION ARTICLE],SMALL(IF(ISNUMBER(SEARCH(CALCULATEUR!$D$5,Table14[DESIGNATION ARTICLE])),ROW(Table14[DESIGNATION ARTICLE])-4),ROWS($1:278))),"")</f>
        <v/>
      </c>
    </row>
    <row r="283" spans="1:26" ht="15" customHeight="1" x14ac:dyDescent="0.25">
      <c r="A283" s="191"/>
      <c r="B283" s="5" t="s">
        <v>311</v>
      </c>
      <c r="C283" s="15" t="s">
        <v>12</v>
      </c>
      <c r="D283" s="11" t="s">
        <v>15</v>
      </c>
      <c r="E283" s="208">
        <v>40</v>
      </c>
      <c r="F283" s="209">
        <v>8</v>
      </c>
      <c r="G283" s="209">
        <v>1.2270000000000001</v>
      </c>
      <c r="H283" s="55" t="s">
        <v>6</v>
      </c>
      <c r="I283" s="55"/>
      <c r="J283" s="90" t="s">
        <v>1</v>
      </c>
      <c r="K283" s="63"/>
      <c r="L283" s="63"/>
      <c r="M283" s="65"/>
      <c r="N283" s="90"/>
      <c r="O283" s="90"/>
      <c r="P283" s="78"/>
      <c r="Q283" s="90"/>
      <c r="R283" s="90"/>
      <c r="S283" s="78"/>
      <c r="T283" s="90"/>
      <c r="U283" s="56"/>
      <c r="Z283" s="2" t="str">
        <f t="array" ref="Z283">IFERROR(INDEX(Table14[DESIGNATION ARTICLE],SMALL(IF(ISNUMBER(SEARCH(CALCULATEUR!$D$5,Table14[DESIGNATION ARTICLE])),ROW(Table14[DESIGNATION ARTICLE])-4),ROWS($1:279))),"")</f>
        <v/>
      </c>
    </row>
    <row r="284" spans="1:26" ht="15" customHeight="1" thickBot="1" x14ac:dyDescent="0.3">
      <c r="A284" s="191"/>
      <c r="B284" s="136" t="s">
        <v>312</v>
      </c>
      <c r="C284" s="30" t="s">
        <v>12</v>
      </c>
      <c r="D284" s="8" t="s">
        <v>15</v>
      </c>
      <c r="E284" s="212">
        <v>50</v>
      </c>
      <c r="F284" s="213">
        <v>8</v>
      </c>
      <c r="G284" s="213">
        <v>1.2270000000000001</v>
      </c>
      <c r="H284" s="57" t="s">
        <v>6</v>
      </c>
      <c r="I284" s="57"/>
      <c r="J284" s="96" t="s">
        <v>1</v>
      </c>
      <c r="K284" s="76"/>
      <c r="L284" s="76"/>
      <c r="M284" s="79"/>
      <c r="N284" s="96"/>
      <c r="O284" s="96"/>
      <c r="P284" s="80"/>
      <c r="Q284" s="96"/>
      <c r="R284" s="96"/>
      <c r="S284" s="80"/>
      <c r="T284" s="96"/>
      <c r="U284" s="56"/>
      <c r="Z284" s="2" t="str">
        <f t="array" ref="Z284">IFERROR(INDEX(Table14[DESIGNATION ARTICLE],SMALL(IF(ISNUMBER(SEARCH(CALCULATEUR!$D$5,Table14[DESIGNATION ARTICLE])),ROW(Table14[DESIGNATION ARTICLE])-4),ROWS($1:280))),"")</f>
        <v/>
      </c>
    </row>
    <row r="285" spans="1:26" ht="15" customHeight="1" x14ac:dyDescent="0.25">
      <c r="A285" s="191"/>
      <c r="B285" s="137" t="s">
        <v>313</v>
      </c>
      <c r="C285" s="39">
        <v>646320000000009</v>
      </c>
      <c r="D285" s="11" t="s">
        <v>15</v>
      </c>
      <c r="E285" s="214">
        <v>30</v>
      </c>
      <c r="F285" s="215">
        <v>8</v>
      </c>
      <c r="G285" s="215">
        <v>1.2270000000000001</v>
      </c>
      <c r="H285" s="59" t="s">
        <v>6</v>
      </c>
      <c r="I285" s="59"/>
      <c r="J285" s="88" t="s">
        <v>1</v>
      </c>
      <c r="K285" s="69"/>
      <c r="L285" s="69"/>
      <c r="M285" s="89"/>
      <c r="N285" s="88"/>
      <c r="O285" s="88"/>
      <c r="P285" s="130"/>
      <c r="Q285" s="88"/>
      <c r="R285" s="88"/>
      <c r="S285" s="130"/>
      <c r="T285" s="88"/>
      <c r="U285" s="56"/>
      <c r="Z285" s="2" t="str">
        <f t="array" ref="Z285">IFERROR(INDEX(Table14[DESIGNATION ARTICLE],SMALL(IF(ISNUMBER(SEARCH(CALCULATEUR!$D$5,Table14[DESIGNATION ARTICLE])),ROW(Table14[DESIGNATION ARTICLE])-4),ROWS($1:281))),"")</f>
        <v/>
      </c>
    </row>
    <row r="286" spans="1:26" ht="15" customHeight="1" x14ac:dyDescent="0.25">
      <c r="A286" s="191"/>
      <c r="B286" s="5" t="s">
        <v>314</v>
      </c>
      <c r="C286" s="15">
        <v>646320000000004</v>
      </c>
      <c r="D286" s="12">
        <v>5411545026083</v>
      </c>
      <c r="E286" s="206">
        <v>40</v>
      </c>
      <c r="F286" s="207">
        <v>8</v>
      </c>
      <c r="G286" s="207">
        <v>1.2270000000000001</v>
      </c>
      <c r="H286" s="55" t="s">
        <v>6</v>
      </c>
      <c r="I286" s="55"/>
      <c r="J286" s="90" t="s">
        <v>1</v>
      </c>
      <c r="K286" s="63"/>
      <c r="L286" s="63"/>
      <c r="M286" s="65"/>
      <c r="N286" s="90"/>
      <c r="O286" s="90"/>
      <c r="P286" s="78"/>
      <c r="Q286" s="90"/>
      <c r="R286" s="90"/>
      <c r="S286" s="78"/>
      <c r="T286" s="90"/>
      <c r="U286" s="56"/>
      <c r="Z286" s="2" t="str">
        <f t="array" ref="Z286">IFERROR(INDEX(Table14[DESIGNATION ARTICLE],SMALL(IF(ISNUMBER(SEARCH(CALCULATEUR!$D$5,Table14[DESIGNATION ARTICLE])),ROW(Table14[DESIGNATION ARTICLE])-4),ROWS($1:282))),"")</f>
        <v/>
      </c>
    </row>
    <row r="287" spans="1:26" ht="15" customHeight="1" x14ac:dyDescent="0.25">
      <c r="A287" s="191"/>
      <c r="B287" s="5" t="s">
        <v>315</v>
      </c>
      <c r="C287" s="15" t="s">
        <v>12</v>
      </c>
      <c r="D287" s="11" t="s">
        <v>15</v>
      </c>
      <c r="E287" s="208">
        <v>50</v>
      </c>
      <c r="F287" s="209">
        <v>8</v>
      </c>
      <c r="G287" s="209">
        <v>1.2270000000000001</v>
      </c>
      <c r="H287" s="55" t="s">
        <v>6</v>
      </c>
      <c r="I287" s="55"/>
      <c r="J287" s="90" t="s">
        <v>1</v>
      </c>
      <c r="K287" s="63"/>
      <c r="L287" s="63"/>
      <c r="M287" s="65"/>
      <c r="N287" s="90"/>
      <c r="O287" s="90"/>
      <c r="P287" s="78"/>
      <c r="Q287" s="90"/>
      <c r="R287" s="90"/>
      <c r="S287" s="78"/>
      <c r="T287" s="90"/>
      <c r="U287" s="56"/>
      <c r="Z287" s="2" t="str">
        <f t="array" ref="Z287">IFERROR(INDEX(Table14[DESIGNATION ARTICLE],SMALL(IF(ISNUMBER(SEARCH(CALCULATEUR!$D$5,Table14[DESIGNATION ARTICLE])),ROW(Table14[DESIGNATION ARTICLE])-4),ROWS($1:283))),"")</f>
        <v/>
      </c>
    </row>
    <row r="288" spans="1:26" ht="15" customHeight="1" thickBot="1" x14ac:dyDescent="0.3">
      <c r="A288" s="191"/>
      <c r="B288" s="136" t="s">
        <v>316</v>
      </c>
      <c r="C288" s="30" t="s">
        <v>12</v>
      </c>
      <c r="D288" s="12" t="s">
        <v>15</v>
      </c>
      <c r="E288" s="212">
        <v>60</v>
      </c>
      <c r="F288" s="213">
        <v>8</v>
      </c>
      <c r="G288" s="213">
        <v>1.2270000000000001</v>
      </c>
      <c r="H288" s="57" t="s">
        <v>6</v>
      </c>
      <c r="I288" s="57"/>
      <c r="J288" s="96" t="s">
        <v>1</v>
      </c>
      <c r="K288" s="76"/>
      <c r="L288" s="76"/>
      <c r="M288" s="79"/>
      <c r="N288" s="96"/>
      <c r="O288" s="96"/>
      <c r="P288" s="80"/>
      <c r="Q288" s="96"/>
      <c r="R288" s="96"/>
      <c r="S288" s="80"/>
      <c r="T288" s="96"/>
      <c r="U288" s="56"/>
      <c r="Z288" s="2" t="str">
        <f t="array" ref="Z288">IFERROR(INDEX(Table14[DESIGNATION ARTICLE],SMALL(IF(ISNUMBER(SEARCH(CALCULATEUR!$D$5,Table14[DESIGNATION ARTICLE])),ROW(Table14[DESIGNATION ARTICLE])-4),ROWS($1:284))),"")</f>
        <v/>
      </c>
    </row>
    <row r="289" spans="1:26" ht="15" customHeight="1" x14ac:dyDescent="0.25">
      <c r="A289" s="191"/>
      <c r="B289" s="137" t="s">
        <v>317</v>
      </c>
      <c r="C289" s="39" t="s">
        <v>12</v>
      </c>
      <c r="D289" s="9" t="s">
        <v>15</v>
      </c>
      <c r="E289" s="214">
        <v>40</v>
      </c>
      <c r="F289" s="215">
        <v>8</v>
      </c>
      <c r="G289" s="215">
        <v>1.2</v>
      </c>
      <c r="H289" s="59" t="s">
        <v>6</v>
      </c>
      <c r="I289" s="59"/>
      <c r="J289" s="88" t="s">
        <v>1</v>
      </c>
      <c r="K289" s="69"/>
      <c r="L289" s="69"/>
      <c r="M289" s="89"/>
      <c r="N289" s="88"/>
      <c r="O289" s="88"/>
      <c r="P289" s="130"/>
      <c r="Q289" s="88"/>
      <c r="R289" s="88"/>
      <c r="S289" s="130"/>
      <c r="T289" s="88"/>
      <c r="U289" s="56"/>
      <c r="Z289" s="2" t="str">
        <f t="array" ref="Z289">IFERROR(INDEX(Table14[DESIGNATION ARTICLE],SMALL(IF(ISNUMBER(SEARCH(CALCULATEUR!$D$5,Table14[DESIGNATION ARTICLE])),ROW(Table14[DESIGNATION ARTICLE])-4),ROWS($1:285))),"")</f>
        <v/>
      </c>
    </row>
    <row r="290" spans="1:26" ht="15" customHeight="1" x14ac:dyDescent="0.25">
      <c r="A290" s="191"/>
      <c r="B290" s="5" t="s">
        <v>318</v>
      </c>
      <c r="C290" s="15" t="s">
        <v>12</v>
      </c>
      <c r="D290" s="12" t="s">
        <v>15</v>
      </c>
      <c r="E290" s="206">
        <v>50</v>
      </c>
      <c r="F290" s="207">
        <v>8</v>
      </c>
      <c r="G290" s="207">
        <v>1.2</v>
      </c>
      <c r="H290" s="55" t="s">
        <v>6</v>
      </c>
      <c r="I290" s="55"/>
      <c r="J290" s="90" t="s">
        <v>1</v>
      </c>
      <c r="K290" s="63"/>
      <c r="L290" s="63"/>
      <c r="M290" s="65"/>
      <c r="N290" s="90"/>
      <c r="O290" s="90"/>
      <c r="P290" s="78"/>
      <c r="Q290" s="90"/>
      <c r="R290" s="90"/>
      <c r="S290" s="78"/>
      <c r="T290" s="90"/>
      <c r="U290" s="56"/>
      <c r="Z290" s="2" t="str">
        <f t="array" ref="Z290">IFERROR(INDEX(Table14[DESIGNATION ARTICLE],SMALL(IF(ISNUMBER(SEARCH(CALCULATEUR!$D$5,Table14[DESIGNATION ARTICLE])),ROW(Table14[DESIGNATION ARTICLE])-4),ROWS($1:286))),"")</f>
        <v/>
      </c>
    </row>
    <row r="291" spans="1:26" ht="15" customHeight="1" x14ac:dyDescent="0.25">
      <c r="A291" s="191"/>
      <c r="B291" s="5" t="s">
        <v>319</v>
      </c>
      <c r="C291" s="15" t="s">
        <v>12</v>
      </c>
      <c r="D291" s="11" t="s">
        <v>15</v>
      </c>
      <c r="E291" s="208">
        <v>60</v>
      </c>
      <c r="F291" s="209">
        <v>8</v>
      </c>
      <c r="G291" s="209">
        <v>1.2</v>
      </c>
      <c r="H291" s="55" t="s">
        <v>6</v>
      </c>
      <c r="I291" s="55"/>
      <c r="J291" s="90" t="s">
        <v>1</v>
      </c>
      <c r="K291" s="63"/>
      <c r="L291" s="63"/>
      <c r="M291" s="65"/>
      <c r="N291" s="90"/>
      <c r="O291" s="90"/>
      <c r="P291" s="78"/>
      <c r="Q291" s="90"/>
      <c r="R291" s="90"/>
      <c r="S291" s="78"/>
      <c r="T291" s="90"/>
      <c r="U291" s="56"/>
      <c r="Z291" s="2" t="str">
        <f t="array" ref="Z291">IFERROR(INDEX(Table14[DESIGNATION ARTICLE],SMALL(IF(ISNUMBER(SEARCH(CALCULATEUR!$D$5,Table14[DESIGNATION ARTICLE])),ROW(Table14[DESIGNATION ARTICLE])-4),ROWS($1:287))),"")</f>
        <v/>
      </c>
    </row>
    <row r="292" spans="1:26" ht="15" customHeight="1" x14ac:dyDescent="0.25">
      <c r="A292" s="191"/>
      <c r="B292" s="5" t="s">
        <v>320</v>
      </c>
      <c r="C292" s="15">
        <v>646320000000007</v>
      </c>
      <c r="D292" s="12" t="s">
        <v>15</v>
      </c>
      <c r="E292" s="206">
        <v>80</v>
      </c>
      <c r="F292" s="207">
        <v>8</v>
      </c>
      <c r="G292" s="207">
        <v>1.2</v>
      </c>
      <c r="H292" s="55" t="s">
        <v>6</v>
      </c>
      <c r="I292" s="55"/>
      <c r="J292" s="90" t="s">
        <v>1</v>
      </c>
      <c r="K292" s="63"/>
      <c r="L292" s="63"/>
      <c r="M292" s="65"/>
      <c r="N292" s="90"/>
      <c r="O292" s="90"/>
      <c r="P292" s="78"/>
      <c r="Q292" s="90"/>
      <c r="R292" s="90"/>
      <c r="S292" s="78"/>
      <c r="T292" s="90"/>
      <c r="U292" s="56"/>
      <c r="Z292" s="2" t="str">
        <f t="array" ref="Z292">IFERROR(INDEX(Table14[DESIGNATION ARTICLE],SMALL(IF(ISNUMBER(SEARCH(CALCULATEUR!$D$5,Table14[DESIGNATION ARTICLE])),ROW(Table14[DESIGNATION ARTICLE])-4),ROWS($1:288))),"")</f>
        <v/>
      </c>
    </row>
    <row r="293" spans="1:26" ht="15" customHeight="1" thickBot="1" x14ac:dyDescent="0.3">
      <c r="A293" s="191"/>
      <c r="B293" s="136" t="s">
        <v>321</v>
      </c>
      <c r="C293" s="30" t="s">
        <v>12</v>
      </c>
      <c r="D293" s="7" t="s">
        <v>15</v>
      </c>
      <c r="E293" s="216">
        <v>100</v>
      </c>
      <c r="F293" s="217">
        <v>8</v>
      </c>
      <c r="G293" s="217">
        <v>1.2</v>
      </c>
      <c r="H293" s="57" t="s">
        <v>6</v>
      </c>
      <c r="I293" s="57"/>
      <c r="J293" s="96" t="s">
        <v>1</v>
      </c>
      <c r="K293" s="76"/>
      <c r="L293" s="76"/>
      <c r="M293" s="79"/>
      <c r="N293" s="96"/>
      <c r="O293" s="96"/>
      <c r="P293" s="80"/>
      <c r="Q293" s="96"/>
      <c r="R293" s="96"/>
      <c r="S293" s="80"/>
      <c r="T293" s="96"/>
      <c r="U293" s="56"/>
      <c r="Z293" s="2" t="str">
        <f t="array" ref="Z293">IFERROR(INDEX(Table14[DESIGNATION ARTICLE],SMALL(IF(ISNUMBER(SEARCH(CALCULATEUR!$D$5,Table14[DESIGNATION ARTICLE])),ROW(Table14[DESIGNATION ARTICLE])-4),ROWS($1:289))),"")</f>
        <v/>
      </c>
    </row>
    <row r="294" spans="1:26" ht="15" customHeight="1" x14ac:dyDescent="0.25">
      <c r="A294" s="191"/>
      <c r="B294" s="137" t="s">
        <v>322</v>
      </c>
      <c r="C294" s="39" t="s">
        <v>12</v>
      </c>
      <c r="D294" s="12" t="s">
        <v>15</v>
      </c>
      <c r="E294" s="210">
        <v>30</v>
      </c>
      <c r="F294" s="211">
        <v>8</v>
      </c>
      <c r="G294" s="211">
        <v>1.2</v>
      </c>
      <c r="H294" s="59" t="s">
        <v>6</v>
      </c>
      <c r="I294" s="59"/>
      <c r="J294" s="88" t="s">
        <v>1</v>
      </c>
      <c r="K294" s="69"/>
      <c r="L294" s="69"/>
      <c r="M294" s="89"/>
      <c r="N294" s="88"/>
      <c r="O294" s="88"/>
      <c r="P294" s="130"/>
      <c r="Q294" s="88"/>
      <c r="R294" s="88"/>
      <c r="S294" s="130"/>
      <c r="T294" s="88"/>
      <c r="U294" s="56"/>
      <c r="Z294" s="2" t="str">
        <f t="array" ref="Z294">IFERROR(INDEX(Table14[DESIGNATION ARTICLE],SMALL(IF(ISNUMBER(SEARCH(CALCULATEUR!$D$5,Table14[DESIGNATION ARTICLE])),ROW(Table14[DESIGNATION ARTICLE])-4),ROWS($1:290))),"")</f>
        <v/>
      </c>
    </row>
    <row r="295" spans="1:26" ht="15" customHeight="1" x14ac:dyDescent="0.25">
      <c r="A295" s="191"/>
      <c r="B295" s="5" t="s">
        <v>323</v>
      </c>
      <c r="C295" s="15" t="s">
        <v>12</v>
      </c>
      <c r="D295" s="11" t="s">
        <v>15</v>
      </c>
      <c r="E295" s="208">
        <v>40</v>
      </c>
      <c r="F295" s="209">
        <v>8</v>
      </c>
      <c r="G295" s="209">
        <v>1.2</v>
      </c>
      <c r="H295" s="55" t="s">
        <v>6</v>
      </c>
      <c r="I295" s="55"/>
      <c r="J295" s="90" t="s">
        <v>1</v>
      </c>
      <c r="K295" s="63"/>
      <c r="L295" s="63"/>
      <c r="M295" s="65"/>
      <c r="N295" s="90"/>
      <c r="O295" s="90"/>
      <c r="P295" s="78"/>
      <c r="Q295" s="90"/>
      <c r="R295" s="90"/>
      <c r="S295" s="78"/>
      <c r="T295" s="90"/>
      <c r="U295" s="56"/>
      <c r="Z295" s="2" t="str">
        <f t="array" ref="Z295">IFERROR(INDEX(Table14[DESIGNATION ARTICLE],SMALL(IF(ISNUMBER(SEARCH(CALCULATEUR!$D$5,Table14[DESIGNATION ARTICLE])),ROW(Table14[DESIGNATION ARTICLE])-4),ROWS($1:291))),"")</f>
        <v/>
      </c>
    </row>
    <row r="296" spans="1:26" ht="15" customHeight="1" x14ac:dyDescent="0.25">
      <c r="A296" s="191"/>
      <c r="B296" s="5" t="s">
        <v>324</v>
      </c>
      <c r="C296" s="15" t="s">
        <v>12</v>
      </c>
      <c r="D296" s="12" t="s">
        <v>15</v>
      </c>
      <c r="E296" s="206">
        <v>50</v>
      </c>
      <c r="F296" s="207">
        <v>8</v>
      </c>
      <c r="G296" s="207">
        <v>1.2</v>
      </c>
      <c r="H296" s="55" t="s">
        <v>6</v>
      </c>
      <c r="I296" s="55"/>
      <c r="J296" s="90" t="s">
        <v>1</v>
      </c>
      <c r="K296" s="63"/>
      <c r="L296" s="63"/>
      <c r="M296" s="65"/>
      <c r="N296" s="90"/>
      <c r="O296" s="90"/>
      <c r="P296" s="78"/>
      <c r="Q296" s="90"/>
      <c r="R296" s="90"/>
      <c r="S296" s="78"/>
      <c r="T296" s="90"/>
      <c r="U296" s="56"/>
      <c r="Z296" s="2" t="str">
        <f t="array" ref="Z296">IFERROR(INDEX(Table14[DESIGNATION ARTICLE],SMALL(IF(ISNUMBER(SEARCH(CALCULATEUR!$D$5,Table14[DESIGNATION ARTICLE])),ROW(Table14[DESIGNATION ARTICLE])-4),ROWS($1:292))),"")</f>
        <v/>
      </c>
    </row>
    <row r="297" spans="1:26" ht="15" customHeight="1" x14ac:dyDescent="0.25">
      <c r="A297" s="191"/>
      <c r="B297" s="5" t="s">
        <v>325</v>
      </c>
      <c r="C297" s="15" t="s">
        <v>12</v>
      </c>
      <c r="D297" s="11" t="s">
        <v>15</v>
      </c>
      <c r="E297" s="208">
        <v>60</v>
      </c>
      <c r="F297" s="209">
        <v>8</v>
      </c>
      <c r="G297" s="209">
        <v>1.2</v>
      </c>
      <c r="H297" s="55" t="s">
        <v>6</v>
      </c>
      <c r="I297" s="55"/>
      <c r="J297" s="90" t="s">
        <v>1</v>
      </c>
      <c r="K297" s="63"/>
      <c r="L297" s="63"/>
      <c r="M297" s="65"/>
      <c r="N297" s="90"/>
      <c r="O297" s="90"/>
      <c r="P297" s="78"/>
      <c r="Q297" s="90"/>
      <c r="R297" s="90"/>
      <c r="S297" s="78"/>
      <c r="T297" s="90"/>
      <c r="U297" s="56"/>
      <c r="Z297" s="2" t="str">
        <f t="array" ref="Z297">IFERROR(INDEX(Table14[DESIGNATION ARTICLE],SMALL(IF(ISNUMBER(SEARCH(CALCULATEUR!$D$5,Table14[DESIGNATION ARTICLE])),ROW(Table14[DESIGNATION ARTICLE])-4),ROWS($1:293))),"")</f>
        <v/>
      </c>
    </row>
    <row r="298" spans="1:26" ht="15" customHeight="1" x14ac:dyDescent="0.25">
      <c r="A298" s="191"/>
      <c r="B298" s="5" t="s">
        <v>326</v>
      </c>
      <c r="C298" s="15" t="s">
        <v>12</v>
      </c>
      <c r="D298" s="12" t="s">
        <v>15</v>
      </c>
      <c r="E298" s="206">
        <v>80</v>
      </c>
      <c r="F298" s="207">
        <v>8</v>
      </c>
      <c r="G298" s="207">
        <v>1.2</v>
      </c>
      <c r="H298" s="55" t="s">
        <v>6</v>
      </c>
      <c r="I298" s="55"/>
      <c r="J298" s="90" t="s">
        <v>1</v>
      </c>
      <c r="K298" s="63"/>
      <c r="L298" s="63"/>
      <c r="M298" s="65"/>
      <c r="N298" s="90"/>
      <c r="O298" s="90"/>
      <c r="P298" s="78"/>
      <c r="Q298" s="90"/>
      <c r="R298" s="90"/>
      <c r="S298" s="78"/>
      <c r="T298" s="90"/>
      <c r="U298" s="56"/>
      <c r="Z298" s="2" t="str">
        <f t="array" ref="Z298">IFERROR(INDEX(Table14[DESIGNATION ARTICLE],SMALL(IF(ISNUMBER(SEARCH(CALCULATEUR!$D$5,Table14[DESIGNATION ARTICLE])),ROW(Table14[DESIGNATION ARTICLE])-4),ROWS($1:294))),"")</f>
        <v/>
      </c>
    </row>
    <row r="299" spans="1:26" ht="15" customHeight="1" thickBot="1" x14ac:dyDescent="0.3">
      <c r="A299" s="191"/>
      <c r="B299" s="136" t="s">
        <v>327</v>
      </c>
      <c r="C299" s="30" t="s">
        <v>12</v>
      </c>
      <c r="D299" s="11" t="s">
        <v>15</v>
      </c>
      <c r="E299" s="216">
        <v>100</v>
      </c>
      <c r="F299" s="217">
        <v>8</v>
      </c>
      <c r="G299" s="217">
        <v>1.2</v>
      </c>
      <c r="H299" s="57" t="s">
        <v>6</v>
      </c>
      <c r="I299" s="57"/>
      <c r="J299" s="96" t="s">
        <v>1</v>
      </c>
      <c r="K299" s="76"/>
      <c r="L299" s="76"/>
      <c r="M299" s="79"/>
      <c r="N299" s="96"/>
      <c r="O299" s="96"/>
      <c r="P299" s="80"/>
      <c r="Q299" s="96"/>
      <c r="R299" s="96"/>
      <c r="S299" s="80"/>
      <c r="T299" s="96"/>
      <c r="U299" s="56"/>
      <c r="Z299" s="2" t="str">
        <f t="array" ref="Z299">IFERROR(INDEX(Table14[DESIGNATION ARTICLE],SMALL(IF(ISNUMBER(SEARCH(CALCULATEUR!$D$5,Table14[DESIGNATION ARTICLE])),ROW(Table14[DESIGNATION ARTICLE])-4),ROWS($1:295))),"")</f>
        <v/>
      </c>
    </row>
  </sheetData>
  <sheetProtection sort="0" autoFilter="0" pivotTables="0"/>
  <autoFilter ref="A4:A299" xr:uid="{1415B8A2-5E53-400D-9734-A15665674B6F}"/>
  <dataConsolidate/>
  <mergeCells count="4">
    <mergeCell ref="H3:J3"/>
    <mergeCell ref="K3:N3"/>
    <mergeCell ref="O3:P3"/>
    <mergeCell ref="R3:T3"/>
  </mergeCells>
  <conditionalFormatting sqref="C97:D184 D86:D184 C5:D91 C187:D299">
    <cfRule type="containsBlanks" dxfId="32" priority="50">
      <formula>LEN(TRIM(C5))=0</formula>
    </cfRule>
  </conditionalFormatting>
  <conditionalFormatting sqref="C3:D3 C97:D184 C5:D91 C187:D1048576">
    <cfRule type="cellIs" dxfId="31" priority="47" operator="equal">
      <formula>"Nous consulter"</formula>
    </cfRule>
  </conditionalFormatting>
  <conditionalFormatting sqref="D7:D19">
    <cfRule type="containsBlanks" dxfId="30" priority="43">
      <formula>LEN(TRIM(D7))=0</formula>
    </cfRule>
  </conditionalFormatting>
  <conditionalFormatting sqref="D85">
    <cfRule type="containsBlanks" dxfId="29" priority="31">
      <formula>LEN(TRIM(D85))=0</formula>
    </cfRule>
  </conditionalFormatting>
  <conditionalFormatting sqref="C185:D185">
    <cfRule type="containsBlanks" dxfId="28" priority="13">
      <formula>LEN(TRIM(C185))=0</formula>
    </cfRule>
  </conditionalFormatting>
  <conditionalFormatting sqref="C185:D185">
    <cfRule type="cellIs" dxfId="27" priority="12" operator="equal">
      <formula>"Nous consulter"</formula>
    </cfRule>
  </conditionalFormatting>
  <conditionalFormatting sqref="U5:U299">
    <cfRule type="cellIs" dxfId="26" priority="6" operator="greaterThan">
      <formula>2.69</formula>
    </cfRule>
  </conditionalFormatting>
  <conditionalFormatting sqref="D92:D96">
    <cfRule type="cellIs" dxfId="25" priority="3" operator="equal">
      <formula>"Nous consulter"</formula>
    </cfRule>
  </conditionalFormatting>
  <conditionalFormatting sqref="D186">
    <cfRule type="containsBlanks" dxfId="24" priority="2">
      <formula>LEN(TRIM(D186))=0</formula>
    </cfRule>
  </conditionalFormatting>
  <conditionalFormatting sqref="D186">
    <cfRule type="cellIs" dxfId="23" priority="1" operator="equal">
      <formula>"Nous consulter"</formula>
    </cfRule>
  </conditionalFormatting>
  <pageMargins left="0.7" right="0.7" top="0.75" bottom="0.75" header="0.3" footer="0.3"/>
  <pageSetup paperSize="8" orientation="portrait" r:id="rId1"/>
  <customProperties>
    <customPr name="EpmWorksheetKeyString_GUID" r:id="rId2"/>
    <customPr name="FPMExcelClientCellBasedFunctionStatus" r:id="rId3"/>
  </customProperties>
  <ignoredErrors>
    <ignoredError sqref="S5 S6:S19 S20:S28 P5:P19 P20:P28 P73:P156 P177 P178:P203 L5:L19 L20:L72 P206:P221 S73:S156 S206:S221 S177:S203 U5 U206:U213 U97:U109 U110:U142 U143:U151 U73:U86 L73:L221 L222:L281" calculatedColumn="1"/>
  </ignoredErrors>
  <legacy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FC1E-A772-41FB-B42F-F6C6BB964330}">
  <sheetPr>
    <tabColor rgb="FF92D050"/>
  </sheetPr>
  <dimension ref="A2:A3"/>
  <sheetViews>
    <sheetView workbookViewId="0">
      <selection activeCell="A12" sqref="A12"/>
    </sheetView>
  </sheetViews>
  <sheetFormatPr baseColWidth="10" defaultRowHeight="15" x14ac:dyDescent="0.25"/>
  <cols>
    <col min="1" max="1" width="88.85546875" customWidth="1"/>
  </cols>
  <sheetData>
    <row r="2" spans="1:1" x14ac:dyDescent="0.25">
      <c r="A2" s="295" t="s">
        <v>385</v>
      </c>
    </row>
    <row r="3" spans="1:1" ht="105" x14ac:dyDescent="0.25">
      <c r="A3" s="296" t="s">
        <v>386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CALCULATEUR</vt:lpstr>
      <vt:lpstr>NOMENCLATURE</vt:lpstr>
      <vt:lpstr>Memo</vt:lpstr>
      <vt:lpstr>ListeProduits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LIBERGE</dc:creator>
  <cp:lastModifiedBy>DjiDji</cp:lastModifiedBy>
  <cp:lastPrinted>2019-11-25T09:20:32Z</cp:lastPrinted>
  <dcterms:created xsi:type="dcterms:W3CDTF">2019-01-15T07:43:39Z</dcterms:created>
  <dcterms:modified xsi:type="dcterms:W3CDTF">2020-07-11T08:49:56Z</dcterms:modified>
</cp:coreProperties>
</file>