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730"/>
  <workbookPr filterPrivacy="1"/>
  <xr:revisionPtr revIDLastSave="0" documentId="13_ncr:1_{349829C1-6586-4895-8422-C8AC9640A547}" xr6:coauthVersionLast="45" xr6:coauthVersionMax="45" xr10:uidLastSave="{00000000-0000-0000-0000-000000000000}"/>
  <bookViews>
    <workbookView xWindow="315" yWindow="5115" windowWidth="21240" windowHeight="8205" xr2:uid="{00000000-000D-0000-FFFF-FFFF00000000}"/>
  </bookViews>
  <sheets>
    <sheet name="Bruit aérien int " sheetId="10" r:id="rId1"/>
    <sheet name="Bruit aérien ext" sheetId="12" r:id="rId2"/>
    <sheet name="bruit de chocs " sheetId="13" r:id="rId3"/>
    <sheet name="indice d'affaiblissement Paroi" sheetId="5" r:id="rId4"/>
    <sheet name="Bruit aérien int" sheetId="2" r:id="rId5"/>
    <sheet name="Bruit aérien ext AMH" sheetId="6" r:id="rId6"/>
    <sheet name="Circulations Communes " sheetId="3" r:id="rId7"/>
    <sheet name="Feuille poubelle" sheetId="4" r:id="rId8"/>
  </sheets>
  <definedNames>
    <definedName name="ad">'indice d''affaiblissement Paroi'!$H$5:$H$46</definedName>
    <definedName name="base">'indice d''affaiblissement Paroi'!$C$31:$I$36</definedName>
    <definedName name="base_base_dallealvéolé">'indice d''affaiblissement Paroi'!$C$19:$I$22</definedName>
    <definedName name="base_béton">'indice d''affaiblissement Paroi'!$C$5:$I$18</definedName>
    <definedName name="base_blocs_de_béton_cellulaire">'indice d''affaiblissement Paroi'!$C$23:$I$25</definedName>
    <definedName name="base_blocs_de_béton_creux">'indice d''affaiblissement Paroi'!$C$26:$I$30</definedName>
    <definedName name="base_donnée">'indice d''affaiblissement Paroi'!$C$3:$I$54</definedName>
    <definedName name="béton">'indice d''affaiblissement Paroi'!$C$5:$C$18</definedName>
    <definedName name="blocsbétoncreux">'indice d''affaiblissement Paroi'!$C$26:$C$30</definedName>
    <definedName name="blocsdebétoncellulaire">'indice d''affaiblissement Paroi'!$C$23:$C$25</definedName>
    <definedName name="Blocsdebétonpleins">'indice d''affaiblissement Paroi'!$C$31:$C$36</definedName>
    <definedName name="Caté">OFFSET('indice d''affaiblissement Paroi'!$A$2,,,COUNTA('indice d''affaiblissement Paroi'!$A$1:$A$65536)-1)</definedName>
    <definedName name="dalle_alvéolée">'indice d''affaiblissement Paroi'!$C$19:$C$22</definedName>
    <definedName name="épaisseur">OFFSET('indice d''affaiblissement Paroi'!$E$5,,,COUNTA('indice d''affaiblissement Paroi'!$E1048576:$E51)-1)</definedName>
    <definedName name="liste">'indice d''affaiblissement Paroi'!$C$5:$C$46</definedName>
    <definedName name="ListeMat">OFFSET('indice d''affaiblissement Paroi'!$Q$4,,,COUNTIF('indice d''affaiblissement Paroi'!$Q$4:$Q$30,"&lt;&gt;0"))</definedName>
    <definedName name="Listépai">OFFSET('indice d''affaiblissement Paroi'!$R$4,,,COUNTIF('indice d''affaiblissement Paroi'!$R$4:'indice d''affaiblissement Paroi'!$R$30,"&lt;&gt;0"))</definedName>
    <definedName name="Mat">OFFSET('indice d''affaiblissement Paroi'!$D$5,,,COUNTA('indice d''affaiblissement Paroi'!$D$3:$D$54)-1)</definedName>
    <definedName name="matériaux">'indice d''affaiblissement Paroi'!$D$5:$D$54</definedName>
    <definedName name="Réf">OFFSET('indice d''affaiblissement Paroi'!$B$2,,,COUNTA('indice d''affaiblissement Paroi'!$B$1:$B$65536)-1)</definedName>
    <definedName name="rr">'indice d''affaiblissement Paroi'!$B$5:$B$54</definedName>
    <definedName name="Suite">OFFSET('indice d''affaiblissement Paroi'!$A$2,,,COUNTA('indice d''affaiblissement Paroi'!$A$1:$A$65536)-1)</definedName>
    <definedName name="tableau_recherche">'indice d''affaiblissement Paroi'!$D$5:$I$46</definedName>
    <definedName name="tout">'indice d''affaiblissement Paroi'!$C$5:$I$46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R18" i="5" l="1" a="1"/>
  <c r="R18" i="5" s="1"/>
  <c r="R19" i="5" a="1"/>
  <c r="R19" i="5" s="1"/>
  <c r="R20" i="5" a="1"/>
  <c r="R20" i="5" s="1"/>
  <c r="R21" i="5" a="1"/>
  <c r="R21" i="5" s="1"/>
  <c r="R22" i="5" a="1"/>
  <c r="R22" i="5" s="1"/>
  <c r="R23" i="5" a="1"/>
  <c r="R23" i="5" s="1"/>
  <c r="R24" i="5" a="1"/>
  <c r="R24" i="5" s="1"/>
  <c r="R25" i="5" a="1"/>
  <c r="R25" i="5" s="1"/>
  <c r="R26" i="5" a="1"/>
  <c r="R26" i="5" s="1"/>
  <c r="R27" i="5" a="1"/>
  <c r="R27" i="5" s="1"/>
  <c r="R28" i="5" a="1"/>
  <c r="R28" i="5" s="1"/>
  <c r="R29" i="5" a="1"/>
  <c r="R29" i="5" s="1"/>
  <c r="R30" i="5" a="1"/>
  <c r="R30" i="5" s="1"/>
  <c r="R5" i="5" a="1"/>
  <c r="R9" i="5" a="1"/>
  <c r="R13" i="5" a="1"/>
  <c r="R10" i="5" a="1"/>
  <c r="R14" i="5" a="1"/>
  <c r="R6" i="5" a="1"/>
  <c r="R11" i="5" a="1"/>
  <c r="R7" i="5" a="1"/>
  <c r="R15" i="5" a="1"/>
  <c r="R12" i="5" a="1"/>
  <c r="R8" i="5" a="1"/>
  <c r="R16" i="5" a="1"/>
  <c r="R17" i="5" a="1"/>
  <c r="R4" i="5" a="1"/>
  <c r="R17" i="5" l="1"/>
  <c r="R16" i="5"/>
  <c r="R8" i="5"/>
  <c r="R12" i="5"/>
  <c r="R15" i="5"/>
  <c r="R7" i="5"/>
  <c r="R11" i="5"/>
  <c r="R6" i="5"/>
  <c r="R14" i="5"/>
  <c r="R10" i="5"/>
  <c r="R13" i="5"/>
  <c r="R9" i="5"/>
  <c r="R5" i="5"/>
  <c r="R4" i="5"/>
  <c r="E13" i="10" a="1"/>
  <c r="E13" i="10" s="1"/>
  <c r="B6" i="5"/>
  <c r="B7" i="5"/>
  <c r="B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 i="5"/>
  <c r="Q4" i="5" a="1"/>
  <c r="Q4" i="5" l="1"/>
  <c r="B90" i="13"/>
  <c r="B26" i="12"/>
  <c r="B28" i="12"/>
  <c r="B27" i="12"/>
  <c r="B29" i="12"/>
  <c r="C31" i="5"/>
  <c r="C24" i="5"/>
  <c r="C6" i="5"/>
  <c r="C7" i="5"/>
  <c r="C8" i="5"/>
  <c r="C9" i="5"/>
  <c r="C10" i="5"/>
  <c r="C11" i="5"/>
  <c r="C12" i="5"/>
  <c r="C13" i="5"/>
  <c r="C14" i="5"/>
  <c r="C15" i="5"/>
  <c r="C16" i="5"/>
  <c r="C17" i="5"/>
  <c r="C18" i="5"/>
  <c r="C19" i="5"/>
  <c r="C20" i="5"/>
  <c r="C21" i="5"/>
  <c r="C22" i="5"/>
  <c r="C23" i="5"/>
  <c r="C25" i="5"/>
  <c r="C26" i="5"/>
  <c r="C27" i="5"/>
  <c r="C28" i="5"/>
  <c r="C29" i="5"/>
  <c r="C30" i="5"/>
  <c r="C32" i="5"/>
  <c r="C33" i="5"/>
  <c r="C34" i="5"/>
  <c r="C35" i="5"/>
  <c r="C36" i="5"/>
  <c r="C37" i="5"/>
  <c r="C38" i="5"/>
  <c r="C39" i="5"/>
  <c r="C40" i="5"/>
  <c r="C41" i="5"/>
  <c r="C42" i="5"/>
  <c r="C43" i="5"/>
  <c r="C44" i="5"/>
  <c r="C45" i="5"/>
  <c r="C46" i="5"/>
  <c r="C47" i="5"/>
  <c r="C48" i="5"/>
  <c r="C49" i="5"/>
  <c r="C50" i="5"/>
  <c r="C51" i="5"/>
  <c r="C52" i="5"/>
  <c r="C53" i="5"/>
  <c r="C54" i="5"/>
  <c r="C5" i="5"/>
  <c r="Q5" i="5" a="1"/>
  <c r="Q5" i="5" l="1"/>
  <c r="H11" i="10"/>
  <c r="B10" i="13"/>
  <c r="B13" i="13" s="1"/>
  <c r="B159" i="10" l="1"/>
  <c r="B19" i="10"/>
  <c r="B32" i="6"/>
  <c r="B38" i="12"/>
  <c r="B35" i="12"/>
  <c r="B34" i="12"/>
  <c r="B33" i="12"/>
  <c r="B32" i="12"/>
  <c r="B21" i="12"/>
  <c r="B39" i="12" s="1"/>
  <c r="C56" i="10"/>
  <c r="B22" i="10"/>
  <c r="B12" i="10"/>
  <c r="B15" i="10" s="1"/>
  <c r="B39" i="6"/>
  <c r="B35" i="6"/>
  <c r="B34" i="6"/>
  <c r="B33" i="6"/>
  <c r="B38" i="6"/>
  <c r="B29" i="6"/>
  <c r="B28" i="6"/>
  <c r="B7" i="6"/>
  <c r="Q6" i="5" a="1"/>
  <c r="Q6" i="5" l="1"/>
  <c r="B25" i="10"/>
  <c r="B41" i="12"/>
  <c r="B43" i="12" s="1"/>
  <c r="B21" i="6"/>
  <c r="B11" i="6"/>
  <c r="B27" i="6" s="1"/>
  <c r="B10" i="6" l="1"/>
  <c r="O10" i="3"/>
  <c r="G5" i="2"/>
  <c r="G6" i="2"/>
  <c r="Q7" i="5" a="1"/>
  <c r="Q7" i="5" l="1"/>
  <c r="G3" i="2"/>
  <c r="B26" i="6"/>
  <c r="B41" i="6" s="1"/>
  <c r="B43" i="6" s="1"/>
  <c r="M5" i="2"/>
  <c r="O9" i="3"/>
  <c r="M31" i="2"/>
  <c r="K9" i="3" l="1"/>
  <c r="M9" i="3" s="1"/>
  <c r="Q8" i="5" a="1"/>
  <c r="Q8" i="5" l="1"/>
  <c r="M10" i="3"/>
  <c r="Q10" i="3" s="1"/>
  <c r="Q9" i="3" l="1"/>
  <c r="N31" i="2"/>
  <c r="M33" i="2"/>
  <c r="N32" i="2"/>
  <c r="O32" i="2"/>
  <c r="P32" i="2"/>
  <c r="M32" i="2"/>
  <c r="Q9" i="5" a="1"/>
  <c r="Q9" i="5" l="1"/>
  <c r="M34" i="2"/>
  <c r="N35" i="2" s="1"/>
  <c r="Q10" i="5" a="1"/>
  <c r="Q10" i="5" l="1"/>
  <c r="G28" i="2"/>
  <c r="Q11" i="5" a="1"/>
  <c r="Q11" i="5" l="1"/>
  <c r="Q12" i="5" a="1"/>
  <c r="Q12" i="5" l="1"/>
  <c r="Q13" i="5" a="1"/>
  <c r="Q13" i="5" l="1"/>
  <c r="Q14" i="5" a="1"/>
  <c r="Q14" i="5" l="1"/>
  <c r="Q15" i="5" a="1"/>
  <c r="Q15" i="5" l="1"/>
  <c r="Q16" i="5" a="1"/>
  <c r="Q16" i="5" l="1"/>
  <c r="Q17" i="5" a="1"/>
  <c r="Q17" i="5" l="1"/>
  <c r="Q18" i="5" a="1"/>
  <c r="Q18" i="5" l="1"/>
  <c r="Q19" i="5" a="1"/>
  <c r="Q19" i="5" l="1"/>
  <c r="Q20" i="5" a="1"/>
  <c r="Q20" i="5" l="1"/>
  <c r="Q21" i="5" a="1"/>
  <c r="Q21" i="5" l="1"/>
  <c r="Q22" i="5" a="1"/>
  <c r="Q22" i="5" l="1"/>
  <c r="Q23" i="5" a="1"/>
  <c r="Q23" i="5" l="1"/>
  <c r="Q24" i="5" a="1"/>
  <c r="Q24" i="5" l="1"/>
  <c r="Q25" i="5" a="1"/>
  <c r="Q25" i="5" l="1"/>
  <c r="Q26" i="5" a="1"/>
  <c r="Q26" i="5" l="1"/>
  <c r="Q27" i="5" a="1"/>
  <c r="Q27" i="5" l="1"/>
  <c r="Q28" i="5" a="1"/>
  <c r="Q28" i="5" l="1"/>
  <c r="Q29" i="5" a="1"/>
  <c r="Q29" i="5" l="1"/>
  <c r="Q30" i="5" a="1"/>
  <c r="Q30" i="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Auteur</author>
  </authors>
  <commentList>
    <comment ref="A9" authorId="0" shapeId="0" xr:uid="{45061169-7613-4DC9-AD3C-DAD0AB4E9CC0}">
      <text>
        <r>
          <rPr>
            <b/>
            <sz val="12"/>
            <color indexed="81"/>
            <rFont val="Tahoma"/>
            <family val="2"/>
          </rPr>
          <t>indice d’affaiblissement du séparatif</t>
        </r>
        <r>
          <rPr>
            <sz val="9"/>
            <color indexed="81"/>
            <rFont val="Tahoma"/>
            <charset val="1"/>
          </rPr>
          <t xml:space="preserve">
</t>
        </r>
      </text>
    </comment>
    <comment ref="A10" authorId="0" shapeId="0" xr:uid="{D8BB172F-75E1-429E-867A-BE772D2068D2}">
      <text>
        <r>
          <rPr>
            <b/>
            <sz val="12"/>
            <color indexed="81"/>
            <rFont val="Tahoma"/>
            <family val="2"/>
          </rPr>
          <t>volume du local de réception</t>
        </r>
        <r>
          <rPr>
            <sz val="9"/>
            <color indexed="81"/>
            <rFont val="Tahoma"/>
            <family val="2"/>
          </rPr>
          <t xml:space="preserve">
</t>
        </r>
      </text>
    </comment>
    <comment ref="A11" authorId="0" shapeId="0" xr:uid="{7FBB5D36-3EA5-44DC-B30E-DC31EB46D44F}">
      <text>
        <r>
          <rPr>
            <b/>
            <sz val="11"/>
            <color indexed="81"/>
            <rFont val="Tahoma"/>
            <family val="2"/>
          </rPr>
          <t>surface du séparatif</t>
        </r>
        <r>
          <rPr>
            <b/>
            <sz val="9"/>
            <color indexed="81"/>
            <rFont val="Tahoma"/>
            <family val="2"/>
          </rPr>
          <t xml:space="preserve">
</t>
        </r>
        <r>
          <rPr>
            <sz val="9"/>
            <color indexed="81"/>
            <rFont val="Tahoma"/>
            <family val="2"/>
          </rPr>
          <t xml:space="preserve">
</t>
        </r>
      </text>
    </comment>
    <comment ref="A12" authorId="0" shapeId="0" xr:uid="{B9A94860-1173-44A3-A1A1-0D03FFA956C5}">
      <text>
        <r>
          <rPr>
            <b/>
            <sz val="12"/>
            <color indexed="81"/>
            <rFont val="Tahoma"/>
            <family val="2"/>
          </rPr>
          <t xml:space="preserve"> terme correctif prenant en compte l’influence des transmissions latérales et des différences observées entre les performances en laboratoire et celles rencontrées.</t>
        </r>
        <r>
          <rPr>
            <sz val="9"/>
            <color indexed="81"/>
            <rFont val="Tahoma"/>
            <family val="2"/>
          </rPr>
          <t xml:space="preserve">
</t>
        </r>
      </text>
    </comment>
    <comment ref="A13" authorId="0" shapeId="0" xr:uid="{01CE9451-B2DD-49C4-A864-FA1F67BBC038}">
      <text>
        <r>
          <rPr>
            <b/>
            <sz val="12"/>
            <color indexed="81"/>
            <rFont val="Tahoma"/>
            <family val="2"/>
          </rPr>
          <t xml:space="preserve"> nombre de parois liées au séparatif et entièrement doublées par un doublage acoustique en laine minérale ou mousse plastique élastifiée, de type Th-A sur la face intérieure au local de réception</t>
        </r>
      </text>
    </comment>
    <comment ref="A14" authorId="0" shapeId="0" xr:uid="{D6539012-67C0-47CD-94A6-5B41E9A5630C}">
      <text>
        <r>
          <rPr>
            <b/>
            <sz val="12"/>
            <color indexed="81"/>
            <rFont val="Tahoma"/>
            <family val="2"/>
          </rPr>
          <t xml:space="preserve"> somme des surfaces rayonnantes :
- des parois liées au séparatif dans le local de réception et doublées de mousse rigide ou d’une contre-cloison en maçonnerie légère,
- des cloisons de distribution en maçonnerie légère liées également au séparatif dans le local de réception.</t>
        </r>
        <r>
          <rPr>
            <sz val="9"/>
            <color indexed="81"/>
            <rFont val="Tahoma"/>
            <family val="2"/>
          </rPr>
          <t xml:space="preserve">
</t>
        </r>
      </text>
    </comment>
    <comment ref="A15" authorId="0" shapeId="0" xr:uid="{05C8D42F-1C3D-4628-B144-0838A3B3E3BB}">
      <text>
        <r>
          <rPr>
            <b/>
            <sz val="12"/>
            <color indexed="81"/>
            <rFont val="Tahoma"/>
            <family val="2"/>
          </rPr>
          <t xml:space="preserve"> isolement acoustique entre deux locaux
</t>
        </r>
      </text>
    </comment>
    <comment ref="A19" authorId="0" shapeId="0" xr:uid="{076974BF-5DF4-47C5-9554-7740F995CC75}">
      <text>
        <r>
          <rPr>
            <b/>
            <sz val="12"/>
            <color indexed="81"/>
            <rFont val="Tahoma"/>
            <family val="2"/>
          </rPr>
          <t>indice d’affaiblissement du séparatif</t>
        </r>
      </text>
    </comment>
    <comment ref="E22" authorId="0" shapeId="0" xr:uid="{85F1D6CA-AF07-4963-88D4-5D072E27F865}">
      <text>
        <r>
          <rPr>
            <b/>
            <sz val="12"/>
            <color indexed="81"/>
            <rFont val="Tahoma"/>
            <family val="2"/>
          </rPr>
          <t>Corrections dues aux transmissions directes et latérales complémentaires</t>
        </r>
      </text>
    </comment>
    <comment ref="E23" authorId="0" shapeId="0" xr:uid="{E3CA2C82-F557-44B7-9B25-D721F7A0557B}">
      <text>
        <r>
          <rPr>
            <b/>
            <sz val="12"/>
            <color indexed="81"/>
            <rFont val="Tahoma"/>
            <family val="2"/>
          </rPr>
          <t>Indice d'affaiblissement du doublage / revetement du sol</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Auteur</author>
  </authors>
  <commentList>
    <comment ref="A6" authorId="0" shapeId="0" xr:uid="{14707584-ADCA-4B51-BAFD-0AC23B4582FC}">
      <text>
        <r>
          <rPr>
            <b/>
            <sz val="11"/>
            <color indexed="81"/>
            <rFont val="Tahoma"/>
            <family val="2"/>
          </rPr>
          <t xml:space="preserve">
niveau de bruit de choc du plancher nu </t>
        </r>
      </text>
    </comment>
    <comment ref="A7" authorId="0" shapeId="0" xr:uid="{8A8D0106-5E75-4D88-8E9F-730D2B2523A5}">
      <text>
        <r>
          <rPr>
            <sz val="9"/>
            <color indexed="81"/>
            <rFont val="Tahoma"/>
            <family val="2"/>
          </rPr>
          <t xml:space="preserve">
</t>
        </r>
        <r>
          <rPr>
            <b/>
            <sz val="11"/>
            <color indexed="81"/>
            <rFont val="Tahoma"/>
            <family val="2"/>
          </rPr>
          <t>Réduction du niveau de bruit de chocs du revêtement de sol ou de la chape flottante</t>
        </r>
      </text>
    </comment>
    <comment ref="A8" authorId="0" shapeId="0" xr:uid="{75442B9A-29F3-4B01-98E3-4E5CD0E5768B}">
      <text>
        <r>
          <rPr>
            <b/>
            <sz val="14"/>
            <color indexed="81"/>
            <rFont val="Tahoma"/>
            <family val="2"/>
          </rPr>
          <t xml:space="preserve"> volume du local de réception</t>
        </r>
        <r>
          <rPr>
            <sz val="9"/>
            <color indexed="81"/>
            <rFont val="Tahoma"/>
            <family val="2"/>
          </rPr>
          <t xml:space="preserve">
</t>
        </r>
      </text>
    </comment>
    <comment ref="A9" authorId="0" shapeId="0" xr:uid="{7A0D7759-B3E6-4F6E-8000-E24624B2C11A}">
      <text>
        <r>
          <rPr>
            <b/>
            <sz val="12"/>
            <color indexed="81"/>
            <rFont val="Tahoma"/>
            <family val="2"/>
          </rPr>
          <t>terme correctif prenant en compte la juxtaposition des locaux (transmission verticale, horizontale, diagonale)</t>
        </r>
        <r>
          <rPr>
            <sz val="9"/>
            <color indexed="81"/>
            <rFont val="Tahoma"/>
            <family val="2"/>
          </rPr>
          <t xml:space="preserve">
</t>
        </r>
      </text>
    </comment>
    <comment ref="A10" authorId="0" shapeId="0" xr:uid="{6DDA4AA8-E42C-464F-AA8B-81AC92F4E881}">
      <text>
        <r>
          <rPr>
            <b/>
            <sz val="10"/>
            <color indexed="81"/>
            <rFont val="Tahoma"/>
            <family val="2"/>
          </rPr>
          <t xml:space="preserve"> terme correctif prenant en compte l’influence des transmissions latérales et des différences observées entre les performances en laboratoire et celles rencontrées in-situ</t>
        </r>
      </text>
    </comment>
    <comment ref="A11" authorId="0" shapeId="0" xr:uid="{EA426042-E3AB-4621-96CF-C7292BC4A329}">
      <text>
        <r>
          <rPr>
            <b/>
            <sz val="11"/>
            <color indexed="81"/>
            <rFont val="Tahoma"/>
            <family val="2"/>
          </rPr>
          <t xml:space="preserve"> nombre de parois liées au séparatif et entièrement doublées par un doublage acoustique en laine minérale ou mousse plastique élastifiée, de type Th-A sur la face intérieure au local de réception</t>
        </r>
        <r>
          <rPr>
            <sz val="9"/>
            <color indexed="81"/>
            <rFont val="Tahoma"/>
            <family val="2"/>
          </rPr>
          <t xml:space="preserve">
</t>
        </r>
      </text>
    </comment>
    <comment ref="A12" authorId="0" shapeId="0" xr:uid="{98753849-C920-4B75-A66B-D533CC8C23F3}">
      <text>
        <r>
          <rPr>
            <b/>
            <sz val="9"/>
            <color indexed="81"/>
            <rFont val="Tahoma"/>
            <family val="2"/>
          </rPr>
          <t>Sr (en m²) : somme des surfaces rayonnantes :
- des parois liées au séparatif dans le local de réception et doublées de mousse rigide ou d’une contre-cloison en maçonnerie légère,
- des cloisons de distribution en maçonnerie légère liées également au séparatif dans le local de réception.</t>
        </r>
      </text>
    </comment>
    <comment ref="A85" authorId="0" shapeId="0" xr:uid="{8A38D7BD-7F1F-4FFF-B426-1A844498279E}">
      <text>
        <r>
          <rPr>
            <b/>
            <sz val="9"/>
            <color indexed="81"/>
            <rFont val="Tahoma"/>
            <family val="2"/>
          </rPr>
          <t xml:space="preserve">
 niveau de bruit de choc du plancher avec son revêtement de sol déterminé selon les valeurs forfaitaires en fin de document ou selon des mesures en laboratoire</t>
        </r>
        <r>
          <rPr>
            <sz val="9"/>
            <color indexed="81"/>
            <rFont val="Tahoma"/>
            <family val="2"/>
          </rPr>
          <t xml:space="preserve">
</t>
        </r>
      </text>
    </comment>
    <comment ref="A90" authorId="0" shapeId="0" xr:uid="{3CA86C72-F152-4D6F-8BFA-BCB3C1D58387}">
      <text>
        <r>
          <rPr>
            <b/>
            <sz val="9"/>
            <color indexed="81"/>
            <rFont val="Tahoma"/>
            <family val="2"/>
          </rPr>
          <t xml:space="preserve"> nombre de parois liées au séparatif et entièrement doublées par un doublage acoustique en laine minérale ou mousse plastique élastifiée, de type Th-A sur la face intérieure au local de réception</t>
        </r>
        <r>
          <rPr>
            <sz val="9"/>
            <color indexed="81"/>
            <rFont val="Tahoma"/>
            <family val="2"/>
          </rPr>
          <t xml:space="preserve">
</t>
        </r>
      </text>
    </comment>
  </commentList>
</comments>
</file>

<file path=xl/sharedStrings.xml><?xml version="1.0" encoding="utf-8"?>
<sst xmlns="http://schemas.openxmlformats.org/spreadsheetml/2006/main" count="544" uniqueCount="311">
  <si>
    <t>dB</t>
  </si>
  <si>
    <t xml:space="preserve">Méthode simplifiée pour les bâtiments à struture lourde </t>
  </si>
  <si>
    <t xml:space="preserve">isolement acoustique entre 2 locaux </t>
  </si>
  <si>
    <t xml:space="preserve">DnT,A (dB) = </t>
  </si>
  <si>
    <t>indice d'affaiblissement du séparatif</t>
  </si>
  <si>
    <t xml:space="preserve">Rw+C (dB) = </t>
  </si>
  <si>
    <t xml:space="preserve">Volume du local de réception </t>
  </si>
  <si>
    <t xml:space="preserve">V (m3) = </t>
  </si>
  <si>
    <t xml:space="preserve">Surface du sépartif </t>
  </si>
  <si>
    <t>S (m²) =</t>
  </si>
  <si>
    <t>Terme correctif</t>
  </si>
  <si>
    <t>A =</t>
  </si>
  <si>
    <t>Nbr de paroi doublées Th-A liées au séparatif</t>
  </si>
  <si>
    <t>N =</t>
  </si>
  <si>
    <t>Sr =</t>
  </si>
  <si>
    <r>
      <t xml:space="preserve">Lorsque le séparatif est doublée (doublage ou revêtement de sol), l'amélioration </t>
    </r>
    <r>
      <rPr>
        <sz val="11"/>
        <color theme="1"/>
        <rFont val="Calibri"/>
        <family val="2"/>
      </rPr>
      <t>Δ[Rw+C] sera minoré par un terme Tc déterminé dans le paragraphe 8.9.5. Le [Rw+C] de la paroi doublée sera ensuite calculé avec la formule suivante :</t>
    </r>
  </si>
  <si>
    <t>Cas particulier : joint de dilatation :</t>
  </si>
  <si>
    <t>Dans le cas d'un séparatif vertical constitué d'un double mu en béton avec joint de dilatation, on se place dans la colonne "néant" pour la lecture du tableau forfaitisé et on minore ensuite ola valeur minimale exigée de [Rw + C] de 5 dB. Dans cette situation , même en présence d'un doublage sur la paroi verticale étudiée, la valeur de Tc est toujours égale à 0.</t>
  </si>
  <si>
    <t>Voir tableau forfaitisé ou à insérer</t>
  </si>
  <si>
    <t xml:space="preserve">Méthode simplifiée pour les bâtiments à ossature bois </t>
  </si>
  <si>
    <r>
      <t xml:space="preserve">Si on connait l'isolement acoustique (DnT,A) à atteindre entre 2 locaux, on peut en déduire l'indice d'affaiblissement (Rw+C) du séparatif, ainsi </t>
    </r>
    <r>
      <rPr>
        <b/>
        <sz val="9"/>
        <color theme="1"/>
        <rFont val="Calibri"/>
        <family val="2"/>
        <scheme val="minor"/>
      </rPr>
      <t xml:space="preserve">Rw+C </t>
    </r>
    <r>
      <rPr>
        <sz val="9"/>
        <color theme="1"/>
        <rFont val="Calibri"/>
        <family val="2"/>
        <scheme val="minor"/>
      </rPr>
      <t>=</t>
    </r>
  </si>
  <si>
    <t>Tc =</t>
  </si>
  <si>
    <t xml:space="preserve">DnT, A(dB) </t>
  </si>
  <si>
    <t>Paroi composite</t>
  </si>
  <si>
    <t>élément 1</t>
  </si>
  <si>
    <t>élément 2</t>
  </si>
  <si>
    <t>élément 3</t>
  </si>
  <si>
    <t>élément N</t>
  </si>
  <si>
    <t>Identification</t>
  </si>
  <si>
    <r>
      <t>S</t>
    </r>
    <r>
      <rPr>
        <vertAlign val="subscript"/>
        <sz val="11"/>
        <color theme="1"/>
        <rFont val="Calibri"/>
        <family val="2"/>
        <scheme val="minor"/>
      </rPr>
      <t>paroi composite</t>
    </r>
    <r>
      <rPr>
        <sz val="11"/>
        <color theme="1"/>
        <rFont val="Calibri"/>
        <family val="2"/>
        <scheme val="minor"/>
      </rPr>
      <t xml:space="preserve"> =</t>
    </r>
  </si>
  <si>
    <r>
      <t>X</t>
    </r>
    <r>
      <rPr>
        <vertAlign val="subscript"/>
        <sz val="11"/>
        <color theme="1"/>
        <rFont val="Calibri"/>
        <family val="2"/>
        <scheme val="minor"/>
      </rPr>
      <t xml:space="preserve">paroi composite </t>
    </r>
    <r>
      <rPr>
        <sz val="11"/>
        <color theme="1"/>
        <rFont val="Calibri"/>
        <family val="2"/>
        <scheme val="minor"/>
      </rPr>
      <t>=</t>
    </r>
  </si>
  <si>
    <r>
      <t>Rw + C</t>
    </r>
    <r>
      <rPr>
        <b/>
        <vertAlign val="subscript"/>
        <sz val="12"/>
        <color theme="1"/>
        <rFont val="Calibri"/>
        <family val="2"/>
        <scheme val="minor"/>
      </rPr>
      <t xml:space="preserve">paroi composite </t>
    </r>
    <r>
      <rPr>
        <b/>
        <sz val="12"/>
        <color theme="1"/>
        <rFont val="Calibri"/>
        <family val="2"/>
        <scheme val="minor"/>
      </rPr>
      <t>(dB)</t>
    </r>
  </si>
  <si>
    <t>voile séparatif</t>
  </si>
  <si>
    <t>Porte Palière</t>
  </si>
  <si>
    <t>CORRECTION ACOUSTIQUE DES CIRCULATIONS COMMUNES</t>
  </si>
  <si>
    <t>Le tableau suivant présente le résultat des mesures de correction acoustique des circulations communes :</t>
  </si>
  <si>
    <t>Circulation</t>
  </si>
  <si>
    <t>Bât. / Cage</t>
  </si>
  <si>
    <t>Matériau absorbant in situ</t>
  </si>
  <si>
    <t>Alpha w</t>
  </si>
  <si>
    <t>Surface matériau absorbant (m²)</t>
  </si>
  <si>
    <r>
      <t>AAE</t>
    </r>
    <r>
      <rPr>
        <b/>
        <vertAlign val="superscript"/>
        <sz val="11"/>
        <color indexed="8"/>
        <rFont val="Calibri"/>
        <family val="2"/>
      </rPr>
      <t xml:space="preserve">1 </t>
    </r>
    <r>
      <rPr>
        <b/>
        <sz val="11"/>
        <color indexed="8"/>
        <rFont val="Calibri"/>
        <family val="2"/>
      </rPr>
      <t>(m²)</t>
    </r>
  </si>
  <si>
    <t>Surface circulation (m²)</t>
  </si>
  <si>
    <r>
      <t>Objectif AAE</t>
    </r>
    <r>
      <rPr>
        <b/>
        <vertAlign val="superscript"/>
        <sz val="11"/>
        <color indexed="8"/>
        <rFont val="Calibri"/>
        <family val="2"/>
      </rPr>
      <t>2</t>
    </r>
    <r>
      <rPr>
        <b/>
        <sz val="11"/>
        <color indexed="8"/>
        <rFont val="Calibri"/>
        <family val="2"/>
      </rPr>
      <t xml:space="preserve"> (m²)</t>
    </r>
  </si>
  <si>
    <t>Constat / Objectif</t>
  </si>
  <si>
    <t>Circulation RDC</t>
  </si>
  <si>
    <t>Circulation R+1</t>
  </si>
  <si>
    <r>
      <rPr>
        <i/>
        <vertAlign val="superscript"/>
        <sz val="11"/>
        <color indexed="8"/>
        <rFont val="Calibri"/>
        <family val="2"/>
      </rPr>
      <t>1</t>
    </r>
    <r>
      <rPr>
        <i/>
        <sz val="11"/>
        <color indexed="8"/>
        <rFont val="Calibri"/>
        <family val="2"/>
      </rPr>
      <t xml:space="preserve">AAE : Aire d'absorption Equivalent mesurée = </t>
    </r>
    <r>
      <rPr>
        <i/>
        <sz val="11"/>
        <color indexed="8"/>
        <rFont val="Calibri"/>
        <family val="2"/>
      </rPr>
      <t>∑ S ×</t>
    </r>
    <r>
      <rPr>
        <i/>
        <sz val="11"/>
        <color indexed="8"/>
        <rFont val="Calibri"/>
        <family val="2"/>
      </rPr>
      <t xml:space="preserve"> </t>
    </r>
    <r>
      <rPr>
        <i/>
        <sz val="11"/>
        <color indexed="8"/>
        <rFont val="Calibri"/>
        <family val="2"/>
      </rPr>
      <t>α</t>
    </r>
    <r>
      <rPr>
        <i/>
        <vertAlign val="subscript"/>
        <sz val="11"/>
        <color indexed="8"/>
        <rFont val="Calibri"/>
        <family val="2"/>
      </rPr>
      <t>w</t>
    </r>
  </si>
  <si>
    <r>
      <rPr>
        <i/>
        <vertAlign val="superscript"/>
        <sz val="11"/>
        <color indexed="8"/>
        <rFont val="Calibri"/>
        <family val="2"/>
      </rPr>
      <t>2</t>
    </r>
    <r>
      <rPr>
        <i/>
        <sz val="11"/>
        <color indexed="8"/>
        <rFont val="Calibri"/>
        <family val="2"/>
      </rPr>
      <t xml:space="preserve">AAE : Aire d'absorption Equivalente objectif minimum = 1/4 </t>
    </r>
    <r>
      <rPr>
        <sz val="11"/>
        <color indexed="8"/>
        <rFont val="Calibri"/>
        <family val="2"/>
      </rPr>
      <t>×</t>
    </r>
    <r>
      <rPr>
        <i/>
        <sz val="11"/>
        <color indexed="8"/>
        <rFont val="Calibri"/>
        <family val="2"/>
      </rPr>
      <t xml:space="preserve"> S</t>
    </r>
    <r>
      <rPr>
        <i/>
        <vertAlign val="subscript"/>
        <sz val="11"/>
        <color indexed="8"/>
        <rFont val="Calibri"/>
        <family val="2"/>
      </rPr>
      <t>sol</t>
    </r>
  </si>
  <si>
    <t>A</t>
  </si>
  <si>
    <t>Rigitone Activ'Air 8-15-20</t>
  </si>
  <si>
    <t xml:space="preserve">Somme des surfaces rayonnantes </t>
  </si>
  <si>
    <t xml:space="preserve">Niveau NF </t>
  </si>
  <si>
    <t>NF Habitat/Règlementations</t>
  </si>
  <si>
    <t>NF HABITAT HQE (1point)</t>
  </si>
  <si>
    <t>NF HABITAT HQE (2point)</t>
  </si>
  <si>
    <t>TT</t>
  </si>
  <si>
    <t>Matériaux</t>
  </si>
  <si>
    <t xml:space="preserve">Béton </t>
  </si>
  <si>
    <t>LOCAL ÉTUDIÉ</t>
  </si>
  <si>
    <t>Chambre RDC 11 m² 38 dB</t>
  </si>
  <si>
    <t>ISOLEMENT DEMANDÉ EN FAÇADE</t>
  </si>
  <si>
    <t>CARACTÉRISTIQUES DU LOCAL</t>
  </si>
  <si>
    <t>VOLUME</t>
  </si>
  <si>
    <r>
      <t>m</t>
    </r>
    <r>
      <rPr>
        <vertAlign val="superscript"/>
        <sz val="10"/>
        <color theme="1"/>
        <rFont val="Liberation Sans"/>
        <family val="2"/>
      </rPr>
      <t>3</t>
    </r>
  </si>
  <si>
    <t>PAROIS</t>
  </si>
  <si>
    <t>Surface (m²)</t>
  </si>
  <si>
    <r>
      <t>R</t>
    </r>
    <r>
      <rPr>
        <vertAlign val="subscript"/>
        <sz val="11"/>
        <color theme="1"/>
        <rFont val="Liberation Sans"/>
        <family val="2"/>
      </rPr>
      <t>w</t>
    </r>
    <r>
      <rPr>
        <b/>
        <sz val="11"/>
        <color rgb="FF4C4C4C"/>
        <rFont val="Century Gothic"/>
        <family val="2"/>
      </rPr>
      <t>+C</t>
    </r>
    <r>
      <rPr>
        <vertAlign val="subscript"/>
        <sz val="11"/>
        <color theme="1"/>
        <rFont val="Liberation Sans"/>
        <family val="2"/>
      </rPr>
      <t>tr</t>
    </r>
  </si>
  <si>
    <t>Mur</t>
  </si>
  <si>
    <t>Menuiserie battante</t>
  </si>
  <si>
    <t>Menuiserie coulissante</t>
  </si>
  <si>
    <t>Autre paroi : porte d'entrée</t>
  </si>
  <si>
    <t>Latéral 1 (refend)</t>
  </si>
  <si>
    <t>Latéral 2 (plancher)SEAC BOIS</t>
  </si>
  <si>
    <t>Latéral 3 (plafond) BA 20 cm</t>
  </si>
  <si>
    <t>Latéral 4</t>
  </si>
  <si>
    <t>ÉQUIPEMENTS</t>
  </si>
  <si>
    <t>Entée d'air (nombre d'unités)</t>
  </si>
  <si>
    <t>Volet roulant (quantité équivalente)</t>
  </si>
  <si>
    <t>CALCUL DE L'ISOLEMENT NORMALISÉ DnT,A,tr de la façade</t>
  </si>
  <si>
    <t>TRANSMISSIONS DIRECTES</t>
  </si>
  <si>
    <t>Mur extérieur</t>
  </si>
  <si>
    <t>µW</t>
  </si>
  <si>
    <t>Autre paroi</t>
  </si>
  <si>
    <t>TRANSMISSIONS INDIRECTES (&gt; 35 dB)</t>
  </si>
  <si>
    <t>Latéral 2 (plancher)</t>
  </si>
  <si>
    <t>Latéral 3 (plafond)</t>
  </si>
  <si>
    <t>TRANSMISSIONS PAR LES ÉQUIPEMENTS</t>
  </si>
  <si>
    <t>Entée d'air</t>
  </si>
  <si>
    <t>Total des transmissions*</t>
  </si>
  <si>
    <t>DnT,A,tr obtenu :</t>
  </si>
  <si>
    <t>* les valeurs des différentes transmissions correspondent à la puissance acoustique rayonnée lorsque la paroi est frappée sur une de ses faces par un bruit d'intensité acoustique de 1 W/m².</t>
  </si>
  <si>
    <t>Rw + Célément =</t>
  </si>
  <si>
    <t>Sélément (m²) =</t>
  </si>
  <si>
    <t>Xélément =</t>
  </si>
  <si>
    <t>épaisseur (m)</t>
  </si>
  <si>
    <t>Rw en dB</t>
  </si>
  <si>
    <t xml:space="preserve">RA en dB </t>
  </si>
  <si>
    <t>RA,tr en dB</t>
  </si>
  <si>
    <t>Rw + C</t>
  </si>
  <si>
    <t>Rw + Ctr</t>
  </si>
  <si>
    <t>0.1</t>
  </si>
  <si>
    <t>0.12</t>
  </si>
  <si>
    <t>0.14</t>
  </si>
  <si>
    <t>0.16</t>
  </si>
  <si>
    <t>0.17</t>
  </si>
  <si>
    <t>0.15</t>
  </si>
  <si>
    <t>0.18</t>
  </si>
  <si>
    <t>0.19</t>
  </si>
  <si>
    <t>0.20</t>
  </si>
  <si>
    <t>0.21</t>
  </si>
  <si>
    <t>0.22</t>
  </si>
  <si>
    <t>0.23</t>
  </si>
  <si>
    <t>0.24</t>
  </si>
  <si>
    <t>0.25</t>
  </si>
  <si>
    <t>Dalle alvéolée 160 U nue</t>
  </si>
  <si>
    <t>Dalle alvéolée 265W nue</t>
  </si>
  <si>
    <t>Dalle alvéolée 200W+0.08</t>
  </si>
  <si>
    <t>Dalle alvéolée 265W+0.06</t>
  </si>
  <si>
    <t>Blocs de béton cellulaire</t>
  </si>
  <si>
    <t>Blocs de béton creux</t>
  </si>
  <si>
    <t>Blocs de béton pleins</t>
  </si>
  <si>
    <t>Blocs de béton plein ou pleins perforés</t>
  </si>
  <si>
    <t>Blocs pleins de béton léger</t>
  </si>
  <si>
    <t>Briques creuses</t>
  </si>
  <si>
    <t>Briques perforées</t>
  </si>
  <si>
    <t>Briques pleines</t>
  </si>
  <si>
    <t xml:space="preserve">Briques plâtrières </t>
  </si>
  <si>
    <t>Carreaux de plâtre</t>
  </si>
  <si>
    <t>0.265</t>
  </si>
  <si>
    <t>0.28</t>
  </si>
  <si>
    <t>0.325</t>
  </si>
  <si>
    <t>0.2</t>
  </si>
  <si>
    <t>0.125</t>
  </si>
  <si>
    <t>0.175</t>
  </si>
  <si>
    <t>0.11</t>
  </si>
  <si>
    <t>0.05</t>
  </si>
  <si>
    <t>0.07</t>
  </si>
  <si>
    <t>masse surfacique kg/m²</t>
  </si>
  <si>
    <t>0.001</t>
  </si>
  <si>
    <t>0.0035</t>
  </si>
  <si>
    <t>0.007</t>
  </si>
  <si>
    <t>0.0005</t>
  </si>
  <si>
    <t>0.002</t>
  </si>
  <si>
    <t>0.0095</t>
  </si>
  <si>
    <t>0.0125</t>
  </si>
  <si>
    <t>0.018</t>
  </si>
  <si>
    <t>Tôle d'acier</t>
  </si>
  <si>
    <t>Tôle d'aluminium</t>
  </si>
  <si>
    <t>Plaques de plâtre</t>
  </si>
  <si>
    <t>Indices d’affaiblissement acoustique de parois simples</t>
  </si>
  <si>
    <t>Indices d’affaiblissement acoustique de parois doubles à base de plaques de plâtre sur ossature(s)</t>
  </si>
  <si>
    <t>Dénomination</t>
  </si>
  <si>
    <t>Nombre d'ossature</t>
  </si>
  <si>
    <t>Parement 1</t>
  </si>
  <si>
    <t>Parement 2</t>
  </si>
  <si>
    <t>Epaisseur totale en m</t>
  </si>
  <si>
    <t>Masse surfacique en kg/m²</t>
  </si>
  <si>
    <t>Rw + C (RA)
en dB</t>
  </si>
  <si>
    <t>72/36 (vide)</t>
  </si>
  <si>
    <t>72/36 (avec laine minérale)</t>
  </si>
  <si>
    <t xml:space="preserve">72/48 (vide) </t>
  </si>
  <si>
    <t>72/48 (avec laine minérale)</t>
  </si>
  <si>
    <t xml:space="preserve">84/48 (vide) </t>
  </si>
  <si>
    <t>84/48 (avec laine minérale)</t>
  </si>
  <si>
    <t>96/60 (vide)</t>
  </si>
  <si>
    <t xml:space="preserve">96/60 (avec laine minérale) </t>
  </si>
  <si>
    <t>98/48 (vide)</t>
  </si>
  <si>
    <t>98/48 (avec laine minérale)</t>
  </si>
  <si>
    <t>100/70 (vide)</t>
  </si>
  <si>
    <t>100/70 (avec laine minérale)</t>
  </si>
  <si>
    <t>120/70 (vide)</t>
  </si>
  <si>
    <t xml:space="preserve">120/70 (avec laine minérale) </t>
  </si>
  <si>
    <t xml:space="preserve">140/90 (vide) </t>
  </si>
  <si>
    <t xml:space="preserve">140/90 (avec laine minérale) </t>
  </si>
  <si>
    <t>140/90 (avec laine minérale)</t>
  </si>
  <si>
    <t>160/110 (avec laine minérale)</t>
  </si>
  <si>
    <t>180/130 (avec laine minérale)</t>
  </si>
  <si>
    <t xml:space="preserve">200/150 (avec laine minérale) </t>
  </si>
  <si>
    <t xml:space="preserve">220/170 (avec laine minérale) </t>
  </si>
  <si>
    <t>240/190 (avec laine minérale)</t>
  </si>
  <si>
    <t>180/120 (avec laine minérale)</t>
  </si>
  <si>
    <t>192/120 (avec laine minérale)</t>
  </si>
  <si>
    <t>1BA18</t>
  </si>
  <si>
    <t>1BA13</t>
  </si>
  <si>
    <t>2BA13</t>
  </si>
  <si>
    <t>1 BA15</t>
  </si>
  <si>
    <t>2 BA13</t>
  </si>
  <si>
    <t>3 BA13</t>
  </si>
  <si>
    <t>0.072</t>
  </si>
  <si>
    <t>0.084</t>
  </si>
  <si>
    <t>0.096</t>
  </si>
  <si>
    <t>0.098</t>
  </si>
  <si>
    <t xml:space="preserve">0.14 </t>
  </si>
  <si>
    <t>Masse surfacique m (en kg/m²)</t>
  </si>
  <si>
    <t>RA
(en dB)</t>
  </si>
  <si>
    <t>Indices d’affaiblissement
acoustique de cloisons alvéolaires</t>
  </si>
  <si>
    <t>Paroi alvéolaire 50</t>
  </si>
  <si>
    <t>Paroi alvéolaire 70</t>
  </si>
  <si>
    <t>Epaisseur (m)</t>
  </si>
  <si>
    <t>Efficacité des complexes
de doublage</t>
  </si>
  <si>
    <t>RA en
dB</t>
  </si>
  <si>
    <t>Polystyrène extrudé et polyuréthanne rigide</t>
  </si>
  <si>
    <t>Polystyrène expansé</t>
  </si>
  <si>
    <t>Polystyrène élastifié</t>
  </si>
  <si>
    <t>Laine minérale</t>
  </si>
  <si>
    <t>ΔRA en
dB</t>
  </si>
  <si>
    <t>Beton de 16 cm ; RA = 56</t>
  </si>
  <si>
    <t xml:space="preserve">50 à 53 </t>
  </si>
  <si>
    <t>52 à 57</t>
  </si>
  <si>
    <t>57 à 63</t>
  </si>
  <si>
    <t>- 4 à +1</t>
  </si>
  <si>
    <t>+1 à +7</t>
  </si>
  <si>
    <t>38 dB</t>
  </si>
  <si>
    <t xml:space="preserve"> - 6 à -3</t>
  </si>
  <si>
    <t xml:space="preserve">Cas n° 1 : bâtiments à struture lourde </t>
  </si>
  <si>
    <t>Evaluation de l'isolation vis-à-vis des bruits intérieur</t>
  </si>
  <si>
    <t>Elle n’est pas valable pour évaluer les séparatifs horizontaux situés entre garages et locaux d’activités, on se réfèrera à la méthode par comparaison à des solutions
techniques.</t>
  </si>
  <si>
    <t>[Rw+C] (en dB)</t>
  </si>
  <si>
    <t xml:space="preserve">V (en m³) </t>
  </si>
  <si>
    <t>S (en m²)</t>
  </si>
  <si>
    <t xml:space="preserve"> A </t>
  </si>
  <si>
    <t>N</t>
  </si>
  <si>
    <t>Sr (en m²)</t>
  </si>
  <si>
    <t>Lorsque la paroi séparatif entre le local de réception et d'emission n'est pas doublée</t>
  </si>
  <si>
    <t>DnT,A (en dB)</t>
  </si>
  <si>
    <t>Valeur</t>
  </si>
  <si>
    <t>formule utilisée</t>
  </si>
  <si>
    <t xml:space="preserve">DnT,A = [Rw+C] + 10 log (0,32 V/S) - A </t>
  </si>
  <si>
    <t>A = 5 - N + (Sr/10)</t>
  </si>
  <si>
    <t>Si paroi séparatif pas doublé voir directement le classeur  base de donnée est determiné directement l'indice d'affaiblissement qui correspont à la nature et l'epaisseur du matérieux utilisé</t>
  </si>
  <si>
    <t>Lorsque la paroi séparatif entre le local de réception et d'emission est  doublée</t>
  </si>
  <si>
    <t xml:space="preserve">DnT,A = [Rw+C]paroi doublée + 10 log (0,32 V/S) - A </t>
  </si>
  <si>
    <t>[Rw+C]paroi doublée (en dB)</t>
  </si>
  <si>
    <t>[Rw+C]paroi doublée = [Rw+C]paroi support + ∆[Rw+C]RE - Tc</t>
  </si>
  <si>
    <t>RE : rapport acoustique</t>
  </si>
  <si>
    <t>Etape 1</t>
  </si>
  <si>
    <t xml:space="preserve">La première étape de la determination de l'indice d'affaiblissement dans le cas d'une paroi séparative est le calcul de - (10 log (0,32 V/S) - A ) = [Rw+C]paroi doublée - DnT,A  </t>
  </si>
  <si>
    <t>h ( m)</t>
  </si>
  <si>
    <t>Ir (m)</t>
  </si>
  <si>
    <t>Paramètre</t>
  </si>
  <si>
    <t>Etape 2</t>
  </si>
  <si>
    <r>
      <t xml:space="preserve">Par le biais d'un tableau, la valeur de </t>
    </r>
    <r>
      <rPr>
        <sz val="11"/>
        <color rgb="FFFF0000"/>
        <rFont val="Calibri"/>
        <family val="2"/>
        <scheme val="minor"/>
      </rPr>
      <t>- (10 log (0,32 V/S) - A )</t>
    </r>
    <r>
      <rPr>
        <sz val="11"/>
        <color theme="1"/>
        <rFont val="Calibri"/>
        <family val="2"/>
        <scheme val="minor"/>
      </rPr>
      <t xml:space="preserve"> peut etre determiner  en fonction de la nature des parois latérales dans le local de réception, et du volume. Ce terme permet de fournir la différence entre l’indice d’affaiblissement de la paroi (laboratoire) et l’isolement au bruitaérien (in-situ), soit [Rw+C] - DnT,A.                                                                                                                                                                                                                                                                                   Le tableau est valable lorsque le terme</t>
    </r>
    <r>
      <rPr>
        <sz val="11"/>
        <color rgb="FFFF0000"/>
        <rFont val="Calibri"/>
        <family val="2"/>
        <scheme val="minor"/>
      </rPr>
      <t xml:space="preserve"> V/S</t>
    </r>
    <r>
      <rPr>
        <sz val="11"/>
        <color theme="1"/>
        <rFont val="Calibri"/>
        <family val="2"/>
        <scheme val="minor"/>
      </rPr>
      <t xml:space="preserve"> de la formule précédente est équivalent à la profondeur la pièce </t>
    </r>
    <r>
      <rPr>
        <sz val="11"/>
        <color rgb="FFFF0000"/>
        <rFont val="Calibri"/>
        <family val="2"/>
        <scheme val="minor"/>
      </rPr>
      <t>(p)</t>
    </r>
    <r>
      <rPr>
        <sz val="11"/>
        <color theme="1"/>
        <rFont val="Calibri"/>
        <family val="2"/>
        <scheme val="minor"/>
      </rPr>
      <t xml:space="preserve"> ou, lorsque l’on étudie un isolement vertical, à sa hauteur </t>
    </r>
    <r>
      <rPr>
        <sz val="11"/>
        <color rgb="FFFF0000"/>
        <rFont val="Calibri"/>
        <family val="2"/>
        <scheme val="minor"/>
      </rPr>
      <t>(h)</t>
    </r>
  </si>
  <si>
    <r>
      <t xml:space="preserve">Après avoir déterminer la différence entre </t>
    </r>
    <r>
      <rPr>
        <sz val="11"/>
        <color rgb="FFFF0000"/>
        <rFont val="Calibri"/>
        <family val="2"/>
        <scheme val="minor"/>
      </rPr>
      <t xml:space="preserve"> [Rw+C]paroi doublée - DnT,A = - (10 log (0,32 V/S) - A ), </t>
    </r>
    <r>
      <rPr>
        <sz val="11"/>
        <rFont val="Calibri"/>
        <family val="2"/>
        <scheme val="minor"/>
      </rPr>
      <t>on isole</t>
    </r>
    <r>
      <rPr>
        <sz val="11"/>
        <color rgb="FFFF0000"/>
        <rFont val="Calibri"/>
        <family val="2"/>
        <scheme val="minor"/>
      </rPr>
      <t xml:space="preserve"> DnT,A = [Rw+C]paroi doublée + (10 log (0,32 V/S) - A ), </t>
    </r>
    <r>
      <rPr>
        <sz val="11"/>
        <rFont val="Calibri"/>
        <family val="2"/>
        <scheme val="minor"/>
      </rPr>
      <t xml:space="preserve">il faut remplacer l'idice d'affaiblissement de la paroi doublée par sa valeur et on trouvera l'isolement aux bruits intérieurs nécessaire             </t>
    </r>
  </si>
  <si>
    <r>
      <t xml:space="preserve">Le terme « lr » correspond au linéaire total de doublages, cloisons ou contre-cloisons rayonnantes, avec </t>
    </r>
    <r>
      <rPr>
        <sz val="11"/>
        <color rgb="FFFF0000"/>
        <rFont val="Calibri"/>
        <family val="2"/>
        <scheme val="minor"/>
      </rPr>
      <t>lr = Sr / h</t>
    </r>
    <r>
      <rPr>
        <sz val="11"/>
        <color theme="1"/>
        <rFont val="Calibri"/>
        <family val="2"/>
        <scheme val="minor"/>
      </rPr>
      <t>, où « Sr » est la somme des surfaces rayonnantes définie
précédemment, et « h » la hauteur du local. Le tableau est valable pour des hauteurs « h » entre 2,45 m et 2,80 m.</t>
    </r>
  </si>
  <si>
    <r>
      <t>On utilisera la correlation suivante pour touver l'indice d'affaiblissement de la paroi</t>
    </r>
    <r>
      <rPr>
        <sz val="11"/>
        <color rgb="FFFF0000"/>
        <rFont val="Calibri"/>
        <family val="2"/>
        <scheme val="minor"/>
      </rPr>
      <t xml:space="preserve"> [Rw+C]paroi doublée = [Rw+C]paroi support + ∆[Rw+C]RE - Tc</t>
    </r>
  </si>
  <si>
    <t>Séjour RDC 38 dB</t>
  </si>
  <si>
    <t>Dnew+Ctr</t>
  </si>
  <si>
    <t>Isolation thermique par l’intérieur</t>
  </si>
  <si>
    <t>Parois simples en béton ou blocs de béton, enduites à l’extérieur, avec doublage thermique intérieur par complexe « isolant + plaque de plâtre »</t>
  </si>
  <si>
    <t>Parois simples en briques creuses à perforations verticales et joints minces enduite à l’extérieur avec doublage thermique intérieur</t>
  </si>
  <si>
    <t>Parois simples en béton ou en maçonnerie béton enduite à l’extérieur, recouvertes d’une contre-cloison en maçonnerie légère (épaisseur &lt;= 10 cm) avec
interposition d’un matériau isolant
On majore l’indice [Rw + Ctr] de 4 dB.</t>
  </si>
  <si>
    <t>Corrections dues aux transmissions directes et latérales complémentaires - Tc</t>
  </si>
  <si>
    <t>Mur séparatif lourd doublé d’un complexe isolant</t>
  </si>
  <si>
    <t>Si le séparatif vertical étudié est un mur lourd en béton, en briques pleines, en blocs de béton creux, pleins ou perforés, doublé d’un complexe isolant (plaque de plâtre + isolant)</t>
  </si>
  <si>
    <t>Plancher séparatif lourd avec un doublage en sous-face</t>
  </si>
  <si>
    <t>Si le séparatif horizontal étudié est un plancher lourd en béton (prédalle et dalle pleine en béton) ou corps creux avec un doublage en sous-face,</t>
  </si>
  <si>
    <t>Plancher séparatif lourd avec une chape flottante, ou procédé de sol flottant ou collé</t>
  </si>
  <si>
    <t>Si le séparatif horizontal étudié est un plancher lourd en béton (prédalle et dalle pleine en béton) ou corps creux avec un procédé de sol flottant ou collé (chape flottante,
parquet ou stratifié flottants, procédé d’isolation phonique collé ou flottant pour carrelage)</t>
  </si>
  <si>
    <t>Etape 3</t>
  </si>
  <si>
    <t>Après avoir determiner Tc grace aux tableaux ci-dessus, on remplace Tc par sa valeur dans l'équation pour calculer l'isolement</t>
  </si>
  <si>
    <t>[Rw+C]paroi support</t>
  </si>
  <si>
    <t>Tc</t>
  </si>
  <si>
    <t>∆[Rw+C]RE</t>
  </si>
  <si>
    <t>Cas n° 2 : bâtiments à ossatures bois</t>
  </si>
  <si>
    <t>A : terme correctif prenant en compte l’influence des transmissions latérales et des différences observées entre les performances en laboratoire et celles rencontrées in-situ, avec :                                                                                                                                                 A = 3 pour un isolement horizontal, si le mur séparatif est à ossatures bois et les planchers ne sont pas filants.                                                                                                                            A = 7 pour un isolement vertical, si le plancher séparatif est à ossatures bois.                        A = 5 si les planchers ou les murs séparatifs sont en panneaux massifs, pour tous types d’isolements.</t>
  </si>
  <si>
    <t>Rw + Ctr = [Rw + Ctr]base + Δ[Rw + Ctr]variante 1 + Δ[Rw + Ctr]variante 2 + Δ[Rw + Ctr]variante 3 + …</t>
  </si>
  <si>
    <r>
      <t xml:space="preserve">Selon le type de facade : Façade à ossatures et contreventement intérieur / Façade à ossatures et contreventement extérieur /   Façade en panneaux massifs contrecollés                                                                 </t>
    </r>
    <r>
      <rPr>
        <sz val="11"/>
        <color rgb="FFFF0000"/>
        <rFont val="Calibri"/>
        <family val="2"/>
        <scheme val="minor"/>
      </rPr>
      <t xml:space="preserve">Mur simple ossature /  /  Mur double avec contreventement côté logement / </t>
    </r>
    <r>
      <rPr>
        <sz val="11"/>
        <color theme="1"/>
        <rFont val="Calibri"/>
        <family val="2"/>
        <scheme val="minor"/>
      </rPr>
      <t xml:space="preserve">                                                                                                                                                                                                                  </t>
    </r>
    <r>
      <rPr>
        <sz val="11"/>
        <color theme="8" tint="-0.249977111117893"/>
        <rFont val="Calibri"/>
        <family val="2"/>
        <scheme val="minor"/>
      </rPr>
      <t>Chaque configuration de mur ossature en bois à son propre indice d'affaiblissement acoustique qui lui correspond on utilisant la formule de la case</t>
    </r>
    <r>
      <rPr>
        <sz val="11"/>
        <color rgb="FFFF0000"/>
        <rFont val="Calibri"/>
        <family val="2"/>
        <scheme val="minor"/>
      </rPr>
      <t xml:space="preserve"> C155</t>
    </r>
  </si>
  <si>
    <t>Niveaux de bruit de chocs dans un logement provenant des autres locaux de la construction</t>
  </si>
  <si>
    <t>Cas n°1 :  les bâtiments à structure lourde</t>
  </si>
  <si>
    <t>Paramètres</t>
  </si>
  <si>
    <t xml:space="preserve">Formules / descriptions </t>
  </si>
  <si>
    <t>Ln,w (en dB)</t>
  </si>
  <si>
    <t>ΔLw (en dB)</t>
  </si>
  <si>
    <t>V (en m³)</t>
  </si>
  <si>
    <t>K</t>
  </si>
  <si>
    <t>L’nT,w (en dB)</t>
  </si>
  <si>
    <t>L’nT,w = Ln,w - ΔLw + 15 - 10 log (V) + A + K</t>
  </si>
  <si>
    <t>Pour les bâtiments à structure lourde, le tableau forfaitisé permet de connaître rapidement la valeur du terme « - (15 - 10 log (V) + A) » en fonction de la nature des parois latérales et du volume du local de réception. Ce terme permet de fournir la différence entre le niveau de bruit chocs du plancher avec son revêtement de sol (Ln,w - ΔLw) mesuré en laboratoire et le niveau de bruit de chocs mesuré in-situ L’nT,w</t>
  </si>
  <si>
    <t>Pour plus de commodités, il est rappelé ci-après les valeurs pour un mur ou un plancher en béton :</t>
  </si>
  <si>
    <t xml:space="preserve"> 1 ére méthode</t>
  </si>
  <si>
    <t>L0 =  Ln,w (en dB)</t>
  </si>
  <si>
    <t>- (15 - 10 log (V) + A)-K = (Ln,w - ΔLw)-L’nT,w on calcule e terme à partir du tableau forfaitisé, après on rentre la bonne valeur de K à l'aide du deuxième tableau, finalement il nous reste à determiner  (Ln,w - ΔLw), donc à l'aide du dernier tableau on determine le le niveau de bruit chocs du plancher avec son revêtement de sol ( c'est à dire le niveau de bruit de choc du plancher nu + le niveau de bruit de choc du revetement</t>
  </si>
  <si>
    <t>Cas n°2 :  les bâtiments à ossature bois</t>
  </si>
  <si>
    <t>L’nT,w = Ln,w + 15 - 10 log (V) + A + K</t>
  </si>
  <si>
    <t xml:space="preserve">K : correction en fonction de la direction, avec :
o K = 0 pour une transmission verticale
o K = - 30 pour une transmission horizontale ou diagonale avec un vide structurel entre ossatures (plancher non filant, et mur séparatif à double ossatures
indépendantes) </t>
  </si>
  <si>
    <t>Ln,w = [Ln,w]base - Δ[Ln,w]variante 1 - Δ[Ln,w]variante 2 - …</t>
  </si>
  <si>
    <t xml:space="preserve">Exemple de Ln,w d'un plancher en bois + son revetement </t>
  </si>
  <si>
    <t>Lorsqu’un niveau de bruit de chocs L’nT,w est recherché à 55 dB dans un local, dont la surface est de 9 m² et ne possédant pas de doublage intérieur de la façade, le plancher haut et son revêtement de sol doivent présenter un niveau de bruit de chocs Ln,w ≤ 55 - 6 = 49 dB. Cela correspond par exemple à plancher en béton de 20 cm (Ln,w = 68
dB) et un revêtement de sol de 19 dB (car 68 – 19 = 49 dB)</t>
  </si>
  <si>
    <t xml:space="preserve">Cas courant </t>
  </si>
  <si>
    <r>
      <rPr>
        <b/>
        <sz val="12"/>
        <color rgb="FFFF0000"/>
        <rFont val="Calibri"/>
        <family val="2"/>
        <scheme val="minor"/>
      </rPr>
      <t xml:space="preserve">[Rw+C]paroi doublée = [Rw+C]paroi support + ∆[Rw+C]RE - Tc    </t>
    </r>
    <r>
      <rPr>
        <b/>
        <sz val="12"/>
        <color theme="1"/>
        <rFont val="Calibri"/>
        <family val="2"/>
        <scheme val="minor"/>
      </rPr>
      <t xml:space="preserve">                                          Avec :  ∆[Rw+C]RE =  [Rw + C]global R.E – [Rw + C]support R.E . </t>
    </r>
  </si>
  <si>
    <t>Matériaux_épaisseur</t>
  </si>
  <si>
    <t>Source : https://www.bruit.fr/</t>
  </si>
  <si>
    <t>Le CidB est une association loi 1901 créée en 1978 et reconnue d’utilité publique depuis 2007. Il met en œuvre différents types d’actions pour faciliter la prise en compte du bruit et de ses effets sur l’Homme dans son environnement, à son domicile, au travail, à l’école, dans ses loisirs…</t>
  </si>
  <si>
    <t>Sr (en m²)(Sr=0 si Sr &lt; 5 m²)</t>
  </si>
  <si>
    <t>𝐃𝐧𝐓,𝐀,𝐭𝐫 𝒄𝒂𝒍𝒄𝒖𝒍é = 𝟏𝟎 𝐥𝐨𝐠(
𝟎, 𝟑𝟐 𝑽 /
 𝑿𝟏 + 𝐗𝟐 + 𝐗𝟑
)</t>
  </si>
  <si>
    <t>𝐗𝟏 = 𝐒 × 𝟏𝟎**(−
[𝑹𝒘+𝑪𝒕𝒓] )</t>
  </si>
  <si>
    <t>𝐗𝟐 = 𝐒 × 𝟏𝟎**(−
[𝑹𝒘+𝑪𝒕𝒓]+𝟏𝟎/
𝟏𝟎)</t>
  </si>
  <si>
    <t xml:space="preserve">                Avec : [Rw + Ctr] (en dB) : indice d’affaiblissement au bruit de trafic de l’élément de façade ;  S (en m²) : surface de l’élément de façade sans prendre en compte la présence d’éventuels équipements. </t>
  </si>
  <si>
    <t>En présence de plusieurs éléments de façades différents (parties opaques, différentes menuiseries), on calcule X1 pour chaque élément puis on somme les différentes valeurs obtenues.</t>
  </si>
  <si>
    <r>
      <t>Lorsque l’isolement DnT,A,tr requis est inférieur ou égal à 35 dB, on ne tiendra pas compte des</t>
    </r>
    <r>
      <rPr>
        <b/>
        <sz val="12"/>
        <color theme="1"/>
        <rFont val="Calibri"/>
        <family val="2"/>
        <scheme val="minor"/>
      </rPr>
      <t xml:space="preserve"> transmissions latérales</t>
    </r>
    <r>
      <rPr>
        <sz val="11"/>
        <color theme="1"/>
        <rFont val="Calibri"/>
        <family val="2"/>
        <scheme val="minor"/>
      </rPr>
      <t xml:space="preserve"> ( X2 = 0 ) car elles sont négligeables.</t>
    </r>
  </si>
  <si>
    <t>𝐗𝟑 = 𝟏𝟎**−(
[𝑫𝒏,𝒆,𝒘+𝑪𝒕𝒓]−10)/10</t>
  </si>
  <si>
    <r>
      <t xml:space="preserve">Avec </t>
    </r>
    <r>
      <rPr>
        <b/>
        <sz val="12"/>
        <color theme="1"/>
        <rFont val="Calibri"/>
        <family val="2"/>
        <scheme val="minor"/>
      </rPr>
      <t>[Rw + Ctr] (en dB)</t>
    </r>
    <r>
      <rPr>
        <sz val="11"/>
        <color theme="1"/>
        <rFont val="Calibri"/>
        <family val="2"/>
        <scheme val="minor"/>
      </rPr>
      <t xml:space="preserve"> : indice d’affaiblissement au bruit de trafic de l’élément de façade auquel est liée la paroi latérale; Par ailleurs, l’indice [Rw + Ctr] à considérer est celui de la partie de façade directement liée aux parois latérales (par exemple, on ne tiendra pas compte du doublage thermique
d’une façade lourde dans l’évaluation d’une transmission latérale par les planchers). En revanche, dans le cas où les façades sont plus légères que les parois latérales, par exemple les façades bois, briques, béton cellulaire, etc., on retiendra la valeur du [Rw+Ctr] des parois latérales</t>
    </r>
  </si>
  <si>
    <r>
      <rPr>
        <b/>
        <sz val="12"/>
        <color theme="1"/>
        <rFont val="Calibri"/>
        <family val="2"/>
        <scheme val="minor"/>
      </rPr>
      <t>[Dn,e,w + Ctr] (en dB)</t>
    </r>
    <r>
      <rPr>
        <sz val="11"/>
        <color theme="1"/>
        <rFont val="Calibri"/>
        <family val="2"/>
        <scheme val="minor"/>
      </rPr>
      <t xml:space="preserve"> : isolement qu’aurait le local vis à vis du bruit extérieur (bruit de trafic) si le bruit ne passait que par cet équipement (bouche d’entrée d’air, coffre de volet roulant, appareil à gaz avec ventouse, etc.).                                                                                                                                                                 
       Dans le cas où il existe plusieurs équipements, on calcule </t>
    </r>
    <r>
      <rPr>
        <b/>
        <sz val="12"/>
        <color theme="1"/>
        <rFont val="Calibri"/>
        <family val="2"/>
        <scheme val="minor"/>
      </rPr>
      <t>X3</t>
    </r>
    <r>
      <rPr>
        <sz val="11"/>
        <color theme="1"/>
        <rFont val="Calibri"/>
        <family val="2"/>
        <scheme val="minor"/>
      </rPr>
      <t xml:space="preserve"> pour chaque équipement puis on somme les différentes valeurs obtenues</t>
    </r>
  </si>
  <si>
    <t>Matériaux_épaisseur (m)</t>
  </si>
  <si>
    <t>=(=Index(ad;EQUIV(E11&amp;E12;matériaux&amp;épaisseur;0))</t>
  </si>
  <si>
    <t>Dalle alvéolée 160 U nue_0.16</t>
  </si>
  <si>
    <t>matériaux</t>
  </si>
  <si>
    <t>épaisseur ( m)</t>
  </si>
  <si>
    <t>liste sans doublons</t>
  </si>
  <si>
    <t>Valeur correspondantes au choix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</si>
</sst>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E+00"/>
    <numFmt numFmtId="165" formatCode="0.000"/>
    <numFmt numFmtId="166" formatCode="#,##0&quot; dB&quot;"/>
  </numFmts>
  <fonts count="59">
    <font>
      <sz val="11"/>
      <color theme="1"/>
      <name val="Calibri"/>
      <family val="2"/>
      <scheme val="minor"/>
    </font>
    <font>
      <b/>
      <sz val="11"/>
      <color theme="1"/>
      <name val="Calibri"/>
      <family val="2"/>
      <scheme val="minor"/>
    </font>
    <font>
      <sz val="11"/>
      <color theme="1"/>
      <name val="Calibri"/>
      <family val="2"/>
    </font>
    <font>
      <sz val="9"/>
      <color theme="1"/>
      <name val="Calibri"/>
      <family val="2"/>
      <scheme val="minor"/>
    </font>
    <font>
      <sz val="10"/>
      <color theme="1"/>
      <name val="Calibri"/>
      <family val="2"/>
      <scheme val="minor"/>
    </font>
    <font>
      <sz val="12"/>
      <color theme="1"/>
      <name val="Calibri"/>
      <family val="2"/>
      <scheme val="minor"/>
    </font>
    <font>
      <b/>
      <sz val="9"/>
      <color theme="1"/>
      <name val="Calibri"/>
      <family val="2"/>
      <scheme val="minor"/>
    </font>
    <font>
      <vertAlign val="subscript"/>
      <sz val="11"/>
      <color theme="1"/>
      <name val="Calibri"/>
      <family val="2"/>
      <scheme val="minor"/>
    </font>
    <font>
      <b/>
      <sz val="12"/>
      <color theme="1"/>
      <name val="Calibri"/>
      <family val="2"/>
      <scheme val="minor"/>
    </font>
    <font>
      <b/>
      <vertAlign val="subscript"/>
      <sz val="12"/>
      <color theme="1"/>
      <name val="Calibri"/>
      <family val="2"/>
      <scheme val="minor"/>
    </font>
    <font>
      <b/>
      <sz val="14"/>
      <color theme="1"/>
      <name val="Calibri"/>
      <family val="2"/>
      <scheme val="minor"/>
    </font>
    <font>
      <b/>
      <vertAlign val="superscript"/>
      <sz val="11"/>
      <color indexed="8"/>
      <name val="Calibri"/>
      <family val="2"/>
    </font>
    <font>
      <b/>
      <sz val="11"/>
      <color indexed="8"/>
      <name val="Calibri"/>
      <family val="2"/>
    </font>
    <font>
      <i/>
      <sz val="11"/>
      <color theme="1"/>
      <name val="Calibri"/>
      <family val="2"/>
      <scheme val="minor"/>
    </font>
    <font>
      <i/>
      <vertAlign val="superscript"/>
      <sz val="11"/>
      <color indexed="8"/>
      <name val="Calibri"/>
      <family val="2"/>
    </font>
    <font>
      <i/>
      <sz val="11"/>
      <color indexed="8"/>
      <name val="Calibri"/>
      <family val="2"/>
    </font>
    <font>
      <i/>
      <vertAlign val="subscript"/>
      <sz val="11"/>
      <color indexed="8"/>
      <name val="Calibri"/>
      <family val="2"/>
    </font>
    <font>
      <sz val="11"/>
      <color indexed="8"/>
      <name val="Calibri"/>
      <family val="2"/>
    </font>
    <font>
      <sz val="11"/>
      <color theme="1"/>
      <name val="Liberation Sans"/>
      <family val="2"/>
    </font>
    <font>
      <b/>
      <sz val="11"/>
      <color rgb="FF4C4C4C"/>
      <name val="Century Gothic"/>
      <family val="2"/>
    </font>
    <font>
      <sz val="11"/>
      <color rgb="FF4C4C4C"/>
      <name val="Century Gothic"/>
      <family val="2"/>
    </font>
    <font>
      <vertAlign val="superscript"/>
      <sz val="10"/>
      <color theme="1"/>
      <name val="Liberation Sans"/>
      <family val="2"/>
    </font>
    <font>
      <vertAlign val="subscript"/>
      <sz val="11"/>
      <color theme="1"/>
      <name val="Liberation Sans"/>
      <family val="2"/>
    </font>
    <font>
      <sz val="8"/>
      <color rgb="FF4C4C4C"/>
      <name val="Century Gothic"/>
      <family val="2"/>
    </font>
    <font>
      <sz val="11"/>
      <color theme="1"/>
      <name val="Calibri"/>
      <family val="2"/>
      <scheme val="minor"/>
    </font>
    <font>
      <sz val="11"/>
      <color rgb="FFFF0000"/>
      <name val="Calibri"/>
      <family val="2"/>
      <scheme val="minor"/>
    </font>
    <font>
      <sz val="18"/>
      <color theme="1"/>
      <name val="Calibri"/>
      <family val="2"/>
      <scheme val="minor"/>
    </font>
    <font>
      <sz val="26"/>
      <color theme="1"/>
      <name val="Calibri"/>
      <family val="2"/>
      <scheme val="minor"/>
    </font>
    <font>
      <sz val="8"/>
      <name val="Calibri"/>
      <family val="2"/>
      <scheme val="minor"/>
    </font>
    <font>
      <b/>
      <sz val="18"/>
      <color theme="1"/>
      <name val="Calibri"/>
      <family val="2"/>
      <scheme val="minor"/>
    </font>
    <font>
      <b/>
      <sz val="20"/>
      <color theme="1"/>
      <name val="Calibri"/>
      <family val="2"/>
      <scheme val="minor"/>
    </font>
    <font>
      <b/>
      <sz val="22"/>
      <color theme="1"/>
      <name val="Calibri"/>
      <family val="2"/>
      <scheme val="minor"/>
    </font>
    <font>
      <b/>
      <sz val="26"/>
      <color theme="1"/>
      <name val="Calibri"/>
      <family val="2"/>
      <scheme val="minor"/>
    </font>
    <font>
      <i/>
      <sz val="48"/>
      <color theme="1"/>
      <name val="Calibri"/>
      <family val="2"/>
      <scheme val="minor"/>
    </font>
    <font>
      <b/>
      <sz val="22"/>
      <color rgb="FFFF0000"/>
      <name val="Calibri"/>
      <family val="2"/>
      <scheme val="minor"/>
    </font>
    <font>
      <b/>
      <sz val="26"/>
      <color rgb="FFFF0000"/>
      <name val="Calibri"/>
      <family val="2"/>
      <scheme val="minor"/>
    </font>
    <font>
      <sz val="28"/>
      <color rgb="FFFF0000"/>
      <name val="Calibri"/>
      <family val="2"/>
      <scheme val="minor"/>
    </font>
    <font>
      <sz val="14"/>
      <color rgb="FFFF0000"/>
      <name val="Calibri"/>
      <family val="2"/>
      <scheme val="minor"/>
    </font>
    <font>
      <sz val="11"/>
      <name val="Calibri"/>
      <family val="2"/>
      <scheme val="minor"/>
    </font>
    <font>
      <sz val="11"/>
      <color theme="8" tint="-0.249977111117893"/>
      <name val="Calibri"/>
      <family val="2"/>
      <scheme val="minor"/>
    </font>
    <font>
      <b/>
      <sz val="11"/>
      <color rgb="FFFF0000"/>
      <name val="Calibri"/>
      <family val="2"/>
      <scheme val="minor"/>
    </font>
    <font>
      <b/>
      <i/>
      <sz val="11"/>
      <color theme="1"/>
      <name val="Calibri"/>
      <family val="2"/>
      <scheme val="minor"/>
    </font>
    <font>
      <b/>
      <sz val="14"/>
      <color theme="1" tint="4.9989318521683403E-2"/>
      <name val="Calibri"/>
      <family val="2"/>
      <scheme val="minor"/>
    </font>
    <font>
      <b/>
      <i/>
      <sz val="14"/>
      <color theme="1"/>
      <name val="Calibri"/>
      <family val="2"/>
      <scheme val="minor"/>
    </font>
    <font>
      <b/>
      <sz val="12"/>
      <color rgb="FFFF0000"/>
      <name val="Calibri"/>
      <family val="2"/>
      <scheme val="minor"/>
    </font>
    <font>
      <b/>
      <sz val="16"/>
      <color theme="1"/>
      <name val="Calibri"/>
      <family val="2"/>
      <scheme val="minor"/>
    </font>
    <font>
      <sz val="16"/>
      <color theme="1"/>
      <name val="Calibri"/>
      <family val="2"/>
      <scheme val="minor"/>
    </font>
    <font>
      <sz val="20"/>
      <color theme="1"/>
      <name val="Calibri"/>
      <family val="2"/>
      <scheme val="minor"/>
    </font>
    <font>
      <sz val="48"/>
      <color theme="1"/>
      <name val="Calibri"/>
      <family val="2"/>
      <scheme val="minor"/>
    </font>
    <font>
      <sz val="9"/>
      <color indexed="81"/>
      <name val="Tahoma"/>
      <charset val="1"/>
    </font>
    <font>
      <b/>
      <sz val="12"/>
      <color indexed="81"/>
      <name val="Tahoma"/>
      <family val="2"/>
    </font>
    <font>
      <sz val="9"/>
      <color indexed="81"/>
      <name val="Tahoma"/>
      <family val="2"/>
    </font>
    <font>
      <b/>
      <sz val="9"/>
      <color indexed="81"/>
      <name val="Tahoma"/>
      <family val="2"/>
    </font>
    <font>
      <b/>
      <sz val="10"/>
      <color indexed="81"/>
      <name val="Tahoma"/>
      <family val="2"/>
    </font>
    <font>
      <b/>
      <sz val="11"/>
      <color indexed="81"/>
      <name val="Tahoma"/>
      <family val="2"/>
    </font>
    <font>
      <b/>
      <sz val="14"/>
      <color indexed="81"/>
      <name val="Tahoma"/>
      <family val="2"/>
    </font>
    <font>
      <sz val="11"/>
      <color rgb="FF006100"/>
      <name val="Calibri"/>
      <family val="2"/>
      <scheme val="minor"/>
    </font>
    <font>
      <sz val="11"/>
      <color rgb="FF9C0006"/>
      <name val="Calibri"/>
      <family val="2"/>
      <scheme val="minor"/>
    </font>
    <font>
      <sz val="11"/>
      <color rgb="FF9C5700"/>
      <name val="Calibri"/>
      <family val="2"/>
      <scheme val="minor"/>
    </font>
  </fonts>
  <fills count="28">
    <fill>
      <patternFill patternType="none"/>
    </fill>
    <fill>
      <patternFill patternType="gray125"/>
    </fill>
    <fill>
      <patternFill patternType="solid">
        <fgColor rgb="FF81B2E1"/>
        <bgColor indexed="64"/>
      </patternFill>
    </fill>
    <fill>
      <patternFill patternType="solid">
        <fgColor rgb="FFE6E6FF"/>
        <bgColor rgb="FFE6E6FF"/>
      </patternFill>
    </fill>
    <fill>
      <patternFill patternType="solid">
        <fgColor theme="6" tint="0.59999389629810485"/>
        <bgColor indexed="65"/>
      </patternFill>
    </fill>
    <fill>
      <patternFill patternType="solid">
        <fgColor theme="6" tint="0.39997558519241921"/>
        <bgColor indexed="65"/>
      </patternFill>
    </fill>
    <fill>
      <patternFill patternType="solid">
        <fgColor theme="2" tint="-0.249977111117893"/>
        <bgColor indexed="64"/>
      </patternFill>
    </fill>
    <fill>
      <patternFill patternType="solid">
        <fgColor theme="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2" tint="-0.499984740745262"/>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indexed="43"/>
        <bgColor indexed="64"/>
      </patternFill>
    </fill>
    <fill>
      <patternFill patternType="solid">
        <fgColor indexed="51"/>
        <bgColor indexed="64"/>
      </patternFill>
    </fill>
  </fills>
  <borders count="3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7">
    <xf numFmtId="0" fontId="0" fillId="0" borderId="0"/>
    <xf numFmtId="0" fontId="18" fillId="0" borderId="0"/>
    <xf numFmtId="0" fontId="24" fillId="4" borderId="0" applyNumberFormat="0" applyBorder="0" applyAlignment="0" applyProtection="0"/>
    <xf numFmtId="0" fontId="24" fillId="5" borderId="0" applyNumberFormat="0" applyBorder="0" applyAlignment="0" applyProtection="0"/>
    <xf numFmtId="0" fontId="56" fillId="23" borderId="0" applyNumberFormat="0" applyBorder="0" applyAlignment="0" applyProtection="0"/>
    <xf numFmtId="0" fontId="57" fillId="24" borderId="0" applyNumberFormat="0" applyBorder="0" applyAlignment="0" applyProtection="0"/>
    <xf numFmtId="0" fontId="58" fillId="25" borderId="0" applyNumberFormat="0" applyBorder="0" applyAlignment="0" applyProtection="0"/>
  </cellStyleXfs>
  <cellXfs count="262">
    <xf numFmtId="0" fontId="0" fillId="0" borderId="0" xfId="0"/>
    <xf numFmtId="0" fontId="0" fillId="0" borderId="0" xfId="0" applyAlignment="1">
      <alignment vertical="center"/>
    </xf>
    <xf numFmtId="0" fontId="0" fillId="0" borderId="0" xfId="0" applyAlignment="1">
      <alignment horizontal="center" vertical="center"/>
    </xf>
    <xf numFmtId="0" fontId="1" fillId="0" borderId="0" xfId="0" applyFont="1" applyBorder="1" applyAlignment="1">
      <alignment horizontal="right" vertical="center"/>
    </xf>
    <xf numFmtId="0" fontId="0" fillId="0" borderId="0" xfId="0" applyBorder="1"/>
    <xf numFmtId="0" fontId="0" fillId="0" borderId="5" xfId="0" applyBorder="1"/>
    <xf numFmtId="0" fontId="0" fillId="0" borderId="0" xfId="0" applyBorder="1" applyAlignment="1">
      <alignment horizontal="right"/>
    </xf>
    <xf numFmtId="0" fontId="0" fillId="0" borderId="4" xfId="0" applyBorder="1"/>
    <xf numFmtId="0" fontId="0" fillId="0" borderId="7" xfId="0" applyBorder="1"/>
    <xf numFmtId="0" fontId="0" fillId="0" borderId="8" xfId="0" applyBorder="1"/>
    <xf numFmtId="0" fontId="0" fillId="0" borderId="7" xfId="0" applyBorder="1" applyAlignment="1">
      <alignment horizontal="right"/>
    </xf>
    <xf numFmtId="0" fontId="5" fillId="0" borderId="0" xfId="0" applyFont="1" applyAlignment="1">
      <alignment vertical="center"/>
    </xf>
    <xf numFmtId="0" fontId="0" fillId="0" borderId="0" xfId="0" applyAlignment="1">
      <alignment vertical="center" wrapText="1"/>
    </xf>
    <xf numFmtId="0" fontId="0" fillId="0" borderId="0" xfId="0" applyFont="1" applyAlignment="1">
      <alignment vertical="center" wrapText="1"/>
    </xf>
    <xf numFmtId="2" fontId="0" fillId="0" borderId="0" xfId="0" applyNumberFormat="1" applyBorder="1"/>
    <xf numFmtId="0" fontId="0" fillId="0" borderId="4" xfId="0" applyBorder="1" applyAlignment="1">
      <alignment horizontal="center" vertical="center"/>
    </xf>
    <xf numFmtId="0" fontId="0" fillId="0" borderId="13" xfId="0" applyBorder="1" applyAlignment="1">
      <alignment horizontal="center" vertical="center"/>
    </xf>
    <xf numFmtId="0" fontId="0" fillId="0" borderId="0" xfId="0" applyAlignment="1">
      <alignment horizontal="center"/>
    </xf>
    <xf numFmtId="0" fontId="0" fillId="0" borderId="0" xfId="0" applyAlignment="1">
      <alignment horizontal="left"/>
    </xf>
    <xf numFmtId="0" fontId="1" fillId="2" borderId="23" xfId="0" applyFont="1" applyFill="1" applyBorder="1" applyAlignment="1">
      <alignment horizontal="center" vertical="center"/>
    </xf>
    <xf numFmtId="0" fontId="1" fillId="2" borderId="23" xfId="0" applyFont="1" applyFill="1" applyBorder="1" applyAlignment="1">
      <alignment horizontal="center" vertical="center" wrapText="1"/>
    </xf>
    <xf numFmtId="0" fontId="0" fillId="0" borderId="23" xfId="0" applyBorder="1" applyAlignment="1">
      <alignment horizontal="center" vertical="center"/>
    </xf>
    <xf numFmtId="2" fontId="0" fillId="0" borderId="23" xfId="0" applyNumberFormat="1" applyBorder="1" applyAlignment="1">
      <alignment horizontal="center" vertical="center"/>
    </xf>
    <xf numFmtId="0" fontId="13" fillId="0" borderId="0" xfId="0" applyFont="1" applyAlignment="1">
      <alignment horizontal="left"/>
    </xf>
    <xf numFmtId="0" fontId="15" fillId="0" borderId="0" xfId="0" applyFont="1" applyAlignment="1">
      <alignment horizontal="left"/>
    </xf>
    <xf numFmtId="1" fontId="0" fillId="0" borderId="0" xfId="0" applyNumberFormat="1"/>
    <xf numFmtId="0" fontId="0" fillId="0" borderId="11" xfId="0" applyBorder="1" applyAlignment="1">
      <alignment horizontal="center" vertical="center"/>
    </xf>
    <xf numFmtId="0" fontId="0" fillId="0" borderId="24" xfId="0" applyBorder="1" applyAlignment="1">
      <alignment horizontal="center" vertical="center"/>
    </xf>
    <xf numFmtId="0" fontId="19" fillId="3" borderId="0" xfId="1" applyFont="1" applyFill="1" applyAlignment="1">
      <alignment vertical="center"/>
    </xf>
    <xf numFmtId="0" fontId="20" fillId="0" borderId="0" xfId="1" applyFont="1" applyAlignment="1">
      <alignment horizontal="center" vertical="center"/>
    </xf>
    <xf numFmtId="0" fontId="20" fillId="0" borderId="0" xfId="1" applyFont="1" applyAlignment="1">
      <alignment vertical="center"/>
    </xf>
    <xf numFmtId="2" fontId="20" fillId="0" borderId="0" xfId="1" applyNumberFormat="1" applyFont="1" applyAlignment="1">
      <alignment horizontal="center" vertical="center"/>
    </xf>
    <xf numFmtId="2" fontId="20" fillId="3" borderId="0" xfId="1" applyNumberFormat="1" applyFont="1" applyFill="1" applyAlignment="1">
      <alignment horizontal="left" vertical="center"/>
    </xf>
    <xf numFmtId="0" fontId="20" fillId="0" borderId="0" xfId="1" applyFont="1" applyAlignment="1">
      <alignment horizontal="left" vertical="center"/>
    </xf>
    <xf numFmtId="2" fontId="20" fillId="0" borderId="0" xfId="1" applyNumberFormat="1" applyFont="1" applyAlignment="1">
      <alignment horizontal="right" vertical="center"/>
    </xf>
    <xf numFmtId="2" fontId="20" fillId="0" borderId="0" xfId="1" applyNumberFormat="1" applyFont="1" applyAlignment="1">
      <alignment horizontal="left" vertical="center"/>
    </xf>
    <xf numFmtId="0" fontId="19" fillId="0" borderId="0" xfId="1" applyFont="1" applyAlignment="1">
      <alignment horizontal="left" vertical="center"/>
    </xf>
    <xf numFmtId="2" fontId="19" fillId="0" borderId="0" xfId="1" applyNumberFormat="1" applyFont="1" applyAlignment="1">
      <alignment horizontal="center" vertical="center"/>
    </xf>
    <xf numFmtId="1" fontId="20" fillId="0" borderId="0" xfId="1" applyNumberFormat="1" applyFont="1" applyAlignment="1">
      <alignment horizontal="center" vertical="center"/>
    </xf>
    <xf numFmtId="0" fontId="20" fillId="3" borderId="0" xfId="1" applyFont="1" applyFill="1" applyAlignment="1">
      <alignment vertical="center"/>
    </xf>
    <xf numFmtId="2" fontId="20" fillId="3" borderId="0" xfId="1" applyNumberFormat="1" applyFont="1" applyFill="1" applyAlignment="1">
      <alignment horizontal="center" vertical="center"/>
    </xf>
    <xf numFmtId="1" fontId="20" fillId="3" borderId="0" xfId="1" applyNumberFormat="1" applyFont="1" applyFill="1" applyAlignment="1">
      <alignment horizontal="center" vertical="center"/>
    </xf>
    <xf numFmtId="0" fontId="19" fillId="0" borderId="0" xfId="1" applyFont="1" applyAlignment="1">
      <alignment vertical="center"/>
    </xf>
    <xf numFmtId="2" fontId="20" fillId="3" borderId="0" xfId="1" applyNumberFormat="1" applyFont="1" applyFill="1" applyAlignment="1">
      <alignment horizontal="right" vertical="center"/>
    </xf>
    <xf numFmtId="2" fontId="19" fillId="0" borderId="0" xfId="1" applyNumberFormat="1" applyFont="1" applyAlignment="1">
      <alignment horizontal="right" vertical="center"/>
    </xf>
    <xf numFmtId="2" fontId="19" fillId="0" borderId="0" xfId="1" applyNumberFormat="1" applyFont="1" applyAlignment="1">
      <alignment horizontal="left" vertical="center"/>
    </xf>
    <xf numFmtId="2" fontId="19" fillId="3" borderId="0" xfId="1" applyNumberFormat="1" applyFont="1" applyFill="1" applyAlignment="1">
      <alignment horizontal="right" vertical="center"/>
    </xf>
    <xf numFmtId="2" fontId="19" fillId="3" borderId="0" xfId="1" applyNumberFormat="1" applyFont="1" applyFill="1" applyAlignment="1">
      <alignment horizontal="left" vertical="center"/>
    </xf>
    <xf numFmtId="0" fontId="18" fillId="0" borderId="0" xfId="1"/>
    <xf numFmtId="0" fontId="0" fillId="0" borderId="0" xfId="0" applyAlignment="1"/>
    <xf numFmtId="0" fontId="24" fillId="4" borderId="1" xfId="2" applyBorder="1" applyAlignment="1">
      <alignment horizontal="center" vertical="center"/>
    </xf>
    <xf numFmtId="0" fontId="24" fillId="4" borderId="18" xfId="2" applyBorder="1" applyAlignment="1">
      <alignment horizontal="center" vertical="center"/>
    </xf>
    <xf numFmtId="0" fontId="24" fillId="4" borderId="13" xfId="2" applyBorder="1" applyAlignment="1">
      <alignment horizontal="center" vertical="center"/>
    </xf>
    <xf numFmtId="0" fontId="24" fillId="5" borderId="16" xfId="3" applyBorder="1" applyAlignment="1">
      <alignment horizontal="center" vertical="center"/>
    </xf>
    <xf numFmtId="0" fontId="24" fillId="5" borderId="2" xfId="3" applyBorder="1" applyAlignment="1">
      <alignment horizontal="center" vertical="center"/>
    </xf>
    <xf numFmtId="0" fontId="24" fillId="5" borderId="3" xfId="3" applyBorder="1" applyAlignment="1">
      <alignment horizontal="center" vertical="center"/>
    </xf>
    <xf numFmtId="0" fontId="24" fillId="5" borderId="17" xfId="3" applyBorder="1" applyAlignment="1">
      <alignment horizontal="center" vertical="center" wrapText="1"/>
    </xf>
    <xf numFmtId="0" fontId="24" fillId="5" borderId="19" xfId="3" applyBorder="1" applyAlignment="1">
      <alignment horizontal="center" vertical="center" wrapText="1"/>
    </xf>
    <xf numFmtId="0" fontId="24" fillId="5" borderId="20" xfId="3" applyBorder="1" applyAlignment="1">
      <alignment horizontal="center" vertical="center" wrapText="1"/>
    </xf>
    <xf numFmtId="0" fontId="24" fillId="5" borderId="17" xfId="3" applyBorder="1" applyAlignment="1">
      <alignment horizontal="center" vertical="center"/>
    </xf>
    <xf numFmtId="0" fontId="24" fillId="5" borderId="19" xfId="3" applyBorder="1" applyAlignment="1">
      <alignment horizontal="center" vertical="center"/>
    </xf>
    <xf numFmtId="0" fontId="24" fillId="5" borderId="20" xfId="3" applyBorder="1" applyAlignment="1">
      <alignment horizontal="center" vertical="center"/>
    </xf>
    <xf numFmtId="165" fontId="24" fillId="5" borderId="17" xfId="3" applyNumberFormat="1" applyBorder="1" applyAlignment="1">
      <alignment horizontal="center" vertical="center"/>
    </xf>
    <xf numFmtId="165" fontId="24" fillId="5" borderId="19" xfId="3" applyNumberFormat="1" applyBorder="1" applyAlignment="1">
      <alignment horizontal="center" vertical="center"/>
    </xf>
    <xf numFmtId="165" fontId="24" fillId="5" borderId="20" xfId="3" applyNumberFormat="1" applyBorder="1" applyAlignment="1">
      <alignment horizontal="center" vertical="center"/>
    </xf>
    <xf numFmtId="164" fontId="24" fillId="5" borderId="12" xfId="3" applyNumberFormat="1" applyBorder="1" applyAlignment="1">
      <alignment horizontal="center" vertical="center"/>
    </xf>
    <xf numFmtId="164" fontId="24" fillId="5" borderId="14" xfId="3" applyNumberFormat="1" applyBorder="1" applyAlignment="1">
      <alignment horizontal="center" vertical="center"/>
    </xf>
    <xf numFmtId="164" fontId="24" fillId="5" borderId="15" xfId="3" applyNumberFormat="1" applyBorder="1" applyAlignment="1">
      <alignment horizontal="center" vertical="center"/>
    </xf>
    <xf numFmtId="0" fontId="0" fillId="0" borderId="23" xfId="0" applyBorder="1"/>
    <xf numFmtId="0" fontId="32" fillId="6" borderId="23" xfId="0" applyFont="1" applyFill="1" applyBorder="1" applyAlignment="1">
      <alignment horizontal="center" vertical="center"/>
    </xf>
    <xf numFmtId="0" fontId="31" fillId="6" borderId="23" xfId="0" applyFont="1" applyFill="1" applyBorder="1" applyAlignment="1">
      <alignment horizontal="center" vertical="center"/>
    </xf>
    <xf numFmtId="0" fontId="27" fillId="7" borderId="23" xfId="0" applyFont="1" applyFill="1" applyBorder="1" applyAlignment="1">
      <alignment horizontal="center" vertical="center"/>
    </xf>
    <xf numFmtId="0" fontId="27" fillId="8" borderId="23" xfId="0" applyFont="1" applyFill="1" applyBorder="1" applyAlignment="1">
      <alignment horizontal="center" vertical="center"/>
    </xf>
    <xf numFmtId="0" fontId="27" fillId="9" borderId="23" xfId="0" applyFont="1" applyFill="1" applyBorder="1" applyAlignment="1">
      <alignment horizontal="center" vertical="center"/>
    </xf>
    <xf numFmtId="0" fontId="27" fillId="11" borderId="23" xfId="0" applyFont="1" applyFill="1" applyBorder="1" applyAlignment="1">
      <alignment horizontal="center" vertical="center"/>
    </xf>
    <xf numFmtId="0" fontId="27" fillId="12" borderId="23" xfId="0" applyFont="1" applyFill="1" applyBorder="1" applyAlignment="1">
      <alignment horizontal="center" vertical="center"/>
    </xf>
    <xf numFmtId="0" fontId="27" fillId="13" borderId="23" xfId="0" applyFont="1" applyFill="1" applyBorder="1" applyAlignment="1">
      <alignment horizontal="center" vertical="center"/>
    </xf>
    <xf numFmtId="0" fontId="27" fillId="14" borderId="23" xfId="0" applyFont="1" applyFill="1" applyBorder="1" applyAlignment="1">
      <alignment horizontal="center" vertical="center"/>
    </xf>
    <xf numFmtId="0" fontId="27" fillId="15" borderId="23" xfId="0" applyFont="1" applyFill="1" applyBorder="1" applyAlignment="1">
      <alignment horizontal="center" vertical="center"/>
    </xf>
    <xf numFmtId="0" fontId="31" fillId="16" borderId="23" xfId="0" applyFont="1" applyFill="1" applyBorder="1" applyAlignment="1">
      <alignment horizontal="center" vertical="center"/>
    </xf>
    <xf numFmtId="0" fontId="27" fillId="18" borderId="23" xfId="0" applyFont="1" applyFill="1" applyBorder="1" applyAlignment="1">
      <alignment horizontal="center" vertical="center"/>
    </xf>
    <xf numFmtId="0" fontId="34" fillId="6" borderId="23" xfId="0" applyFont="1" applyFill="1" applyBorder="1" applyAlignment="1">
      <alignment horizontal="center" vertical="center"/>
    </xf>
    <xf numFmtId="0" fontId="35" fillId="9" borderId="23" xfId="0" applyFont="1" applyFill="1" applyBorder="1" applyAlignment="1">
      <alignment horizontal="center" vertical="center"/>
    </xf>
    <xf numFmtId="0" fontId="0" fillId="6" borderId="0" xfId="0" applyFill="1"/>
    <xf numFmtId="0" fontId="19" fillId="3" borderId="0" xfId="0" applyFont="1" applyFill="1" applyAlignment="1">
      <alignment vertical="center"/>
    </xf>
    <xf numFmtId="0" fontId="20" fillId="0" borderId="0" xfId="0" applyFont="1" applyAlignment="1">
      <alignment vertical="center"/>
    </xf>
    <xf numFmtId="2" fontId="20" fillId="0" borderId="0" xfId="0" applyNumberFormat="1" applyFont="1" applyAlignment="1">
      <alignment horizontal="center" vertical="center"/>
    </xf>
    <xf numFmtId="1" fontId="20" fillId="3" borderId="0" xfId="0" applyNumberFormat="1" applyFont="1" applyFill="1" applyAlignment="1">
      <alignment horizontal="right" vertical="center"/>
    </xf>
    <xf numFmtId="2" fontId="20" fillId="3" borderId="0" xfId="0" applyNumberFormat="1" applyFont="1" applyFill="1" applyAlignment="1">
      <alignment horizontal="left" vertical="center"/>
    </xf>
    <xf numFmtId="0" fontId="20" fillId="0" borderId="0" xfId="0" applyFont="1" applyAlignment="1">
      <alignment horizontal="left" vertical="center"/>
    </xf>
    <xf numFmtId="2" fontId="20" fillId="0" borderId="0" xfId="0" applyNumberFormat="1" applyFont="1" applyAlignment="1">
      <alignment horizontal="right" vertical="center"/>
    </xf>
    <xf numFmtId="2" fontId="20" fillId="0" borderId="0" xfId="0" applyNumberFormat="1" applyFont="1" applyAlignment="1">
      <alignment horizontal="left" vertical="center"/>
    </xf>
    <xf numFmtId="0" fontId="19" fillId="0" borderId="0" xfId="0" applyFont="1" applyAlignment="1">
      <alignment horizontal="left" vertical="center"/>
    </xf>
    <xf numFmtId="2" fontId="19" fillId="0" borderId="0" xfId="0" applyNumberFormat="1" applyFont="1" applyAlignment="1">
      <alignment horizontal="center" vertical="center"/>
    </xf>
    <xf numFmtId="1" fontId="20" fillId="0" borderId="0" xfId="0" applyNumberFormat="1" applyFont="1" applyAlignment="1">
      <alignment horizontal="center" vertical="center"/>
    </xf>
    <xf numFmtId="0" fontId="20" fillId="3" borderId="0" xfId="0" applyFont="1" applyFill="1" applyAlignment="1">
      <alignment vertical="center"/>
    </xf>
    <xf numFmtId="2" fontId="20" fillId="3" borderId="0" xfId="0" applyNumberFormat="1" applyFont="1" applyFill="1" applyAlignment="1">
      <alignment horizontal="center" vertical="center"/>
    </xf>
    <xf numFmtId="1" fontId="20" fillId="3" borderId="0" xfId="0" applyNumberFormat="1" applyFont="1" applyFill="1" applyAlignment="1">
      <alignment horizontal="center" vertical="center"/>
    </xf>
    <xf numFmtId="0" fontId="19" fillId="0" borderId="0" xfId="0" applyFont="1" applyAlignment="1">
      <alignment vertical="center"/>
    </xf>
    <xf numFmtId="2" fontId="20" fillId="3" borderId="0" xfId="0" applyNumberFormat="1" applyFont="1" applyFill="1" applyAlignment="1">
      <alignment horizontal="right" vertical="center"/>
    </xf>
    <xf numFmtId="2" fontId="19" fillId="0" borderId="0" xfId="0" applyNumberFormat="1" applyFont="1" applyAlignment="1">
      <alignment horizontal="right" vertical="center"/>
    </xf>
    <xf numFmtId="2" fontId="19" fillId="0" borderId="0" xfId="0" applyNumberFormat="1" applyFont="1" applyAlignment="1">
      <alignment horizontal="left" vertical="center"/>
    </xf>
    <xf numFmtId="2" fontId="19" fillId="3" borderId="0" xfId="0" applyNumberFormat="1" applyFont="1" applyFill="1" applyAlignment="1">
      <alignment horizontal="left" vertical="center"/>
    </xf>
    <xf numFmtId="0" fontId="32" fillId="6" borderId="23" xfId="0" applyFont="1" applyFill="1" applyBorder="1" applyAlignment="1">
      <alignment horizontal="center" vertical="center"/>
    </xf>
    <xf numFmtId="0" fontId="30" fillId="6" borderId="23" xfId="0" applyFont="1" applyFill="1" applyBorder="1" applyAlignment="1">
      <alignment horizontal="center" vertical="center"/>
    </xf>
    <xf numFmtId="0" fontId="45" fillId="8" borderId="0" xfId="0" applyFont="1" applyFill="1" applyAlignment="1">
      <alignment horizontal="center" vertical="center"/>
    </xf>
    <xf numFmtId="2" fontId="20" fillId="0" borderId="0" xfId="0" applyNumberFormat="1" applyFont="1" applyAlignment="1">
      <alignment vertical="center"/>
    </xf>
    <xf numFmtId="0" fontId="10" fillId="19" borderId="23" xfId="0" applyFont="1" applyFill="1" applyBorder="1" applyAlignment="1" applyProtection="1">
      <alignment horizontal="center" vertical="center"/>
      <protection locked="0"/>
    </xf>
    <xf numFmtId="0" fontId="0" fillId="0" borderId="0" xfId="0" applyProtection="1">
      <protection locked="0"/>
    </xf>
    <xf numFmtId="0" fontId="8" fillId="10" borderId="0" xfId="0" applyFont="1" applyFill="1" applyBorder="1" applyProtection="1">
      <protection locked="0"/>
    </xf>
    <xf numFmtId="0" fontId="0" fillId="19" borderId="23" xfId="0" applyFill="1" applyBorder="1" applyProtection="1">
      <protection locked="0"/>
    </xf>
    <xf numFmtId="0" fontId="40" fillId="19" borderId="23" xfId="0" applyFont="1" applyFill="1" applyBorder="1" applyAlignment="1" applyProtection="1">
      <alignment horizontal="center" vertical="center"/>
      <protection locked="0"/>
    </xf>
    <xf numFmtId="0" fontId="0" fillId="0" borderId="0" xfId="0" applyBorder="1" applyAlignment="1" applyProtection="1">
      <alignment wrapText="1"/>
      <protection locked="0"/>
    </xf>
    <xf numFmtId="0" fontId="0" fillId="0" borderId="0" xfId="0" applyBorder="1" applyAlignment="1" applyProtection="1">
      <alignment vertical="center" textRotation="90"/>
      <protection locked="0"/>
    </xf>
    <xf numFmtId="0" fontId="0" fillId="0" borderId="0" xfId="0" applyBorder="1" applyAlignment="1" applyProtection="1">
      <alignment vertical="center"/>
      <protection locked="0"/>
    </xf>
    <xf numFmtId="0" fontId="0" fillId="18" borderId="0" xfId="0" applyFill="1" applyAlignment="1" applyProtection="1">
      <alignment horizontal="center" vertical="center"/>
      <protection locked="0"/>
    </xf>
    <xf numFmtId="0" fontId="8" fillId="10" borderId="0" xfId="0" applyFont="1" applyFill="1" applyBorder="1" applyAlignment="1" applyProtection="1">
      <alignment horizontal="center" vertical="center"/>
      <protection locked="0"/>
    </xf>
    <xf numFmtId="0" fontId="0" fillId="19" borderId="23" xfId="0" applyFill="1" applyBorder="1" applyAlignment="1" applyProtection="1">
      <alignment wrapText="1"/>
      <protection locked="0"/>
    </xf>
    <xf numFmtId="1" fontId="10" fillId="19" borderId="23" xfId="0" applyNumberFormat="1" applyFont="1" applyFill="1" applyBorder="1" applyAlignment="1" applyProtection="1">
      <alignment horizontal="center" vertical="center"/>
    </xf>
    <xf numFmtId="0" fontId="25" fillId="0" borderId="0" xfId="0" applyFont="1" applyAlignment="1" applyProtection="1">
      <alignment vertical="center" wrapText="1"/>
      <protection locked="0"/>
    </xf>
    <xf numFmtId="0" fontId="0" fillId="0" borderId="0" xfId="0" applyAlignment="1" applyProtection="1">
      <alignment vertical="center" wrapText="1"/>
      <protection locked="0"/>
    </xf>
    <xf numFmtId="0" fontId="25" fillId="0" borderId="0" xfId="0" applyFont="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10" borderId="23" xfId="0" applyFill="1" applyBorder="1" applyProtection="1">
      <protection locked="0"/>
    </xf>
    <xf numFmtId="0" fontId="8" fillId="10" borderId="23" xfId="0" applyFont="1" applyFill="1" applyBorder="1" applyAlignment="1" applyProtection="1">
      <alignment horizontal="center" vertical="center"/>
      <protection locked="0"/>
    </xf>
    <xf numFmtId="0" fontId="26" fillId="19" borderId="23" xfId="0" applyFont="1" applyFill="1" applyBorder="1" applyAlignment="1" applyProtection="1">
      <alignment horizontal="center" vertical="center"/>
      <protection locked="0"/>
    </xf>
    <xf numFmtId="0" fontId="25" fillId="8" borderId="23" xfId="0" applyFont="1" applyFill="1" applyBorder="1" applyAlignment="1" applyProtection="1">
      <alignment vertical="center"/>
      <protection locked="0"/>
    </xf>
    <xf numFmtId="0" fontId="4" fillId="0" borderId="0" xfId="0" applyFont="1" applyAlignment="1" applyProtection="1">
      <alignment horizontal="left" vertical="center"/>
      <protection locked="0"/>
    </xf>
    <xf numFmtId="0" fontId="0" fillId="0" borderId="0" xfId="0" applyAlignment="1" applyProtection="1">
      <alignment vertical="center"/>
      <protection locked="0"/>
    </xf>
    <xf numFmtId="0" fontId="25" fillId="8" borderId="23" xfId="0" applyFont="1" applyFill="1" applyBorder="1" applyProtection="1">
      <protection locked="0"/>
    </xf>
    <xf numFmtId="0" fontId="0" fillId="0" borderId="0" xfId="0" applyAlignment="1" applyProtection="1">
      <alignment horizontal="center" vertical="center"/>
      <protection locked="0"/>
    </xf>
    <xf numFmtId="0" fontId="37" fillId="8" borderId="23" xfId="0" applyFont="1" applyFill="1" applyBorder="1" applyAlignment="1" applyProtection="1">
      <alignment horizontal="center" vertical="center"/>
      <protection locked="0"/>
    </xf>
    <xf numFmtId="0" fontId="46" fillId="0" borderId="0" xfId="0" applyFont="1" applyProtection="1">
      <protection locked="0"/>
    </xf>
    <xf numFmtId="0" fontId="47" fillId="0" borderId="0" xfId="0" applyFont="1" applyProtection="1">
      <protection locked="0"/>
    </xf>
    <xf numFmtId="0" fontId="8" fillId="10" borderId="23" xfId="0" applyFont="1" applyFill="1" applyBorder="1" applyAlignment="1" applyProtection="1">
      <alignment horizontal="center" vertical="center" wrapText="1"/>
      <protection locked="0"/>
    </xf>
    <xf numFmtId="0" fontId="8" fillId="10" borderId="25" xfId="0" applyFont="1" applyFill="1" applyBorder="1" applyAlignment="1" applyProtection="1">
      <alignment horizontal="center" vertical="center"/>
      <protection locked="0"/>
    </xf>
    <xf numFmtId="0" fontId="0" fillId="20" borderId="0" xfId="0" applyFill="1" applyProtection="1">
      <protection locked="0"/>
    </xf>
    <xf numFmtId="0" fontId="0" fillId="20" borderId="0" xfId="0" applyFill="1" applyAlignment="1" applyProtection="1">
      <alignment horizontal="center" vertical="center"/>
      <protection locked="0"/>
    </xf>
    <xf numFmtId="0" fontId="25" fillId="8" borderId="23" xfId="0" applyFont="1" applyFill="1" applyBorder="1" applyAlignment="1" applyProtection="1">
      <alignment horizontal="center" vertical="center" wrapText="1"/>
      <protection locked="0"/>
    </xf>
    <xf numFmtId="0" fontId="0" fillId="8" borderId="0" xfId="0" applyFill="1" applyAlignment="1" applyProtection="1">
      <alignment wrapText="1"/>
      <protection locked="0"/>
    </xf>
    <xf numFmtId="0" fontId="26" fillId="19" borderId="23" xfId="0" applyFont="1" applyFill="1" applyBorder="1" applyAlignment="1" applyProtection="1">
      <alignment horizontal="center" vertical="center"/>
    </xf>
    <xf numFmtId="1" fontId="26" fillId="19" borderId="23" xfId="0" applyNumberFormat="1" applyFont="1" applyFill="1" applyBorder="1" applyAlignment="1" applyProtection="1">
      <alignment horizontal="center" vertical="center"/>
    </xf>
    <xf numFmtId="1" fontId="19" fillId="3" borderId="0" xfId="0" applyNumberFormat="1" applyFont="1" applyFill="1" applyAlignment="1">
      <alignment horizontal="right" vertical="center"/>
    </xf>
    <xf numFmtId="0" fontId="0" fillId="0" borderId="0" xfId="0" quotePrefix="1" applyProtection="1">
      <protection locked="0"/>
    </xf>
    <xf numFmtId="2" fontId="0" fillId="0" borderId="0" xfId="0" applyNumberFormat="1" applyProtection="1">
      <protection locked="0"/>
    </xf>
    <xf numFmtId="0" fontId="8" fillId="10" borderId="21" xfId="0" applyFont="1" applyFill="1" applyBorder="1" applyAlignment="1" applyProtection="1">
      <alignment horizontal="center" vertical="center"/>
      <protection locked="0"/>
    </xf>
    <xf numFmtId="0" fontId="58" fillId="7" borderId="23" xfId="6" applyFill="1" applyBorder="1" applyAlignment="1" applyProtection="1">
      <alignment horizontal="center" vertical="center"/>
      <protection locked="0"/>
    </xf>
    <xf numFmtId="0" fontId="57" fillId="7" borderId="23" xfId="5" applyFill="1" applyBorder="1" applyAlignment="1" applyProtection="1">
      <alignment horizontal="center" vertical="center"/>
      <protection locked="0"/>
    </xf>
    <xf numFmtId="166" fontId="56" fillId="7" borderId="23" xfId="4" quotePrefix="1" applyNumberFormat="1" applyFill="1" applyBorder="1" applyAlignment="1" applyProtection="1">
      <alignment horizontal="center" vertical="center"/>
      <protection locked="0"/>
    </xf>
    <xf numFmtId="0" fontId="0" fillId="26" borderId="23" xfId="0" applyFill="1" applyBorder="1"/>
    <xf numFmtId="0" fontId="29" fillId="20" borderId="0" xfId="0" applyFont="1" applyFill="1" applyAlignment="1" applyProtection="1">
      <alignment horizontal="center" vertical="center"/>
      <protection locked="0"/>
    </xf>
    <xf numFmtId="0" fontId="43" fillId="17" borderId="0" xfId="0" applyFont="1" applyFill="1" applyAlignment="1" applyProtection="1">
      <alignment horizontal="center" vertical="center"/>
      <protection locked="0"/>
    </xf>
    <xf numFmtId="0" fontId="25" fillId="0" borderId="0" xfId="0" applyFont="1" applyAlignment="1" applyProtection="1">
      <alignment horizontal="center" vertical="center" wrapText="1"/>
      <protection locked="0"/>
    </xf>
    <xf numFmtId="0" fontId="43" fillId="18" borderId="0" xfId="0" applyFont="1" applyFill="1" applyAlignment="1" applyProtection="1">
      <alignment horizontal="center" vertical="center" wrapText="1"/>
      <protection locked="0"/>
    </xf>
    <xf numFmtId="0" fontId="0" fillId="0" borderId="0" xfId="0" applyAlignment="1" applyProtection="1">
      <alignment horizontal="center" vertical="center"/>
      <protection locked="0"/>
    </xf>
    <xf numFmtId="0" fontId="8" fillId="0" borderId="26" xfId="0" applyFont="1" applyBorder="1" applyAlignment="1" applyProtection="1">
      <alignment horizontal="center" vertical="center" wrapText="1"/>
      <protection locked="0"/>
    </xf>
    <xf numFmtId="0" fontId="0" fillId="0" borderId="0" xfId="0" applyBorder="1" applyAlignment="1" applyProtection="1">
      <alignment horizontal="center" vertical="center" wrapText="1"/>
      <protection locked="0"/>
    </xf>
    <xf numFmtId="0" fontId="0" fillId="0" borderId="26" xfId="0" applyBorder="1" applyAlignment="1" applyProtection="1">
      <alignment horizontal="center" vertical="center" wrapText="1"/>
      <protection locked="0"/>
    </xf>
    <xf numFmtId="0" fontId="0" fillId="0" borderId="26" xfId="0" applyBorder="1" applyAlignment="1" applyProtection="1">
      <alignment horizontal="center"/>
      <protection locked="0"/>
    </xf>
    <xf numFmtId="0" fontId="0" fillId="0" borderId="0" xfId="0" applyAlignment="1" applyProtection="1">
      <alignment horizontal="center"/>
      <protection locked="0"/>
    </xf>
    <xf numFmtId="0" fontId="0" fillId="0" borderId="0" xfId="0" applyAlignment="1" applyProtection="1">
      <alignment horizontal="left" vertical="top" wrapText="1"/>
      <protection locked="0"/>
    </xf>
    <xf numFmtId="0" fontId="8" fillId="10" borderId="27" xfId="0" applyFont="1" applyFill="1" applyBorder="1" applyAlignment="1" applyProtection="1">
      <alignment horizontal="center" vertical="center"/>
      <protection locked="0"/>
    </xf>
    <xf numFmtId="0" fontId="8" fillId="10" borderId="28" xfId="0" applyFont="1" applyFill="1" applyBorder="1" applyAlignment="1" applyProtection="1">
      <alignment horizontal="center" vertical="center"/>
      <protection locked="0"/>
    </xf>
    <xf numFmtId="1" fontId="26" fillId="19" borderId="23" xfId="0" applyNumberFormat="1" applyFont="1" applyFill="1" applyBorder="1" applyAlignment="1" applyProtection="1">
      <alignment horizontal="center" vertical="center"/>
    </xf>
    <xf numFmtId="0" fontId="37" fillId="8" borderId="23" xfId="0" applyFont="1" applyFill="1" applyBorder="1" applyAlignment="1" applyProtection="1">
      <alignment horizontal="center" vertical="center"/>
      <protection locked="0"/>
    </xf>
    <xf numFmtId="0" fontId="0" fillId="0" borderId="0" xfId="0" applyAlignment="1" applyProtection="1">
      <alignment horizontal="center" vertical="center" wrapText="1"/>
      <protection locked="0"/>
    </xf>
    <xf numFmtId="0" fontId="29" fillId="0" borderId="0" xfId="0" applyFont="1" applyAlignment="1" applyProtection="1">
      <alignment horizontal="center" vertical="center" textRotation="90"/>
      <protection locked="0"/>
    </xf>
    <xf numFmtId="0" fontId="0" fillId="0" borderId="0" xfId="0" applyAlignment="1" applyProtection="1">
      <alignment horizontal="center" wrapText="1"/>
      <protection locked="0"/>
    </xf>
    <xf numFmtId="0" fontId="10" fillId="21" borderId="0" xfId="0" applyFont="1" applyFill="1" applyAlignment="1" applyProtection="1">
      <alignment horizontal="center" vertical="center"/>
      <protection locked="0"/>
    </xf>
    <xf numFmtId="2" fontId="19" fillId="3" borderId="0" xfId="0" applyNumberFormat="1" applyFont="1" applyFill="1" applyAlignment="1">
      <alignment horizontal="center" vertical="center"/>
    </xf>
    <xf numFmtId="0" fontId="19" fillId="3" borderId="0" xfId="0" applyFont="1" applyFill="1" applyAlignment="1">
      <alignment horizontal="center" vertical="center"/>
    </xf>
    <xf numFmtId="0" fontId="23" fillId="0" borderId="0" xfId="0" applyFont="1" applyAlignment="1">
      <alignment horizontal="center" vertical="center" wrapText="1"/>
    </xf>
    <xf numFmtId="0" fontId="0" fillId="0" borderId="0" xfId="0" applyAlignment="1">
      <alignment horizontal="center" wrapText="1"/>
    </xf>
    <xf numFmtId="0" fontId="44" fillId="0" borderId="0" xfId="0" applyFont="1" applyAlignment="1">
      <alignment horizontal="center" vertical="center"/>
    </xf>
    <xf numFmtId="0" fontId="0" fillId="0" borderId="0" xfId="0" applyAlignment="1">
      <alignment horizontal="center" vertical="center"/>
    </xf>
    <xf numFmtId="0" fontId="0" fillId="0" borderId="0" xfId="0" applyAlignment="1">
      <alignment horizontal="left" vertical="top" wrapText="1"/>
    </xf>
    <xf numFmtId="0" fontId="0" fillId="0" borderId="0" xfId="0" applyAlignment="1">
      <alignment horizontal="left" vertical="top"/>
    </xf>
    <xf numFmtId="0" fontId="25" fillId="0" borderId="0" xfId="0" applyFont="1" applyAlignment="1">
      <alignment horizontal="center" vertical="center"/>
    </xf>
    <xf numFmtId="0" fontId="0" fillId="0" borderId="0" xfId="0" applyAlignment="1">
      <alignment horizontal="center" vertical="center" wrapText="1"/>
    </xf>
    <xf numFmtId="0" fontId="8" fillId="10" borderId="29" xfId="0" applyFont="1" applyFill="1" applyBorder="1" applyAlignment="1" applyProtection="1">
      <alignment horizontal="center" vertical="center"/>
      <protection locked="0"/>
    </xf>
    <xf numFmtId="1" fontId="10" fillId="19" borderId="30" xfId="0" applyNumberFormat="1" applyFont="1" applyFill="1" applyBorder="1" applyAlignment="1" applyProtection="1">
      <alignment horizontal="center" vertical="center"/>
    </xf>
    <xf numFmtId="1" fontId="10" fillId="19" borderId="25" xfId="0" applyNumberFormat="1" applyFont="1" applyFill="1" applyBorder="1" applyAlignment="1" applyProtection="1">
      <alignment horizontal="center" vertical="center"/>
    </xf>
    <xf numFmtId="1" fontId="10" fillId="19" borderId="31" xfId="0" applyNumberFormat="1" applyFont="1" applyFill="1" applyBorder="1" applyAlignment="1" applyProtection="1">
      <alignment horizontal="center" vertical="center"/>
    </xf>
    <xf numFmtId="0" fontId="0" fillId="17" borderId="0" xfId="0" applyFill="1" applyAlignment="1" applyProtection="1">
      <alignment horizontal="center" vertical="center"/>
      <protection locked="0"/>
    </xf>
    <xf numFmtId="0" fontId="29" fillId="18" borderId="0" xfId="0" applyFont="1" applyFill="1" applyBorder="1" applyAlignment="1" applyProtection="1">
      <alignment horizontal="center" vertical="center" textRotation="90"/>
      <protection locked="0"/>
    </xf>
    <xf numFmtId="0" fontId="0" fillId="0" borderId="0" xfId="0" quotePrefix="1" applyBorder="1" applyAlignment="1" applyProtection="1">
      <alignment horizontal="center" vertical="center" wrapText="1"/>
      <protection locked="0"/>
    </xf>
    <xf numFmtId="0" fontId="32" fillId="0" borderId="0" xfId="0" applyFont="1" applyAlignment="1" applyProtection="1">
      <alignment horizontal="center" vertical="center"/>
      <protection locked="0"/>
    </xf>
    <xf numFmtId="0" fontId="42" fillId="22" borderId="0" xfId="0" applyFont="1" applyFill="1" applyBorder="1" applyAlignment="1" applyProtection="1">
      <alignment horizontal="center" vertical="center" wrapText="1"/>
      <protection locked="0"/>
    </xf>
    <xf numFmtId="0" fontId="41" fillId="8" borderId="0" xfId="0" applyFont="1" applyFill="1" applyAlignment="1" applyProtection="1">
      <alignment horizontal="center" vertical="center"/>
      <protection locked="0"/>
    </xf>
    <xf numFmtId="0" fontId="0" fillId="8" borderId="0" xfId="0" applyFill="1" applyAlignment="1" applyProtection="1">
      <alignment horizontal="center" vertical="center"/>
      <protection locked="0"/>
    </xf>
    <xf numFmtId="0" fontId="10" fillId="19" borderId="30" xfId="0" applyFont="1" applyFill="1" applyBorder="1" applyAlignment="1" applyProtection="1">
      <alignment horizontal="center" vertical="center"/>
      <protection locked="0"/>
    </xf>
    <xf numFmtId="0" fontId="10" fillId="19" borderId="31" xfId="0" applyFont="1" applyFill="1" applyBorder="1" applyAlignment="1" applyProtection="1">
      <alignment horizontal="center" vertical="center"/>
      <protection locked="0"/>
    </xf>
    <xf numFmtId="0" fontId="25" fillId="19" borderId="30" xfId="0" applyFont="1" applyFill="1" applyBorder="1" applyAlignment="1" applyProtection="1">
      <alignment horizontal="center" vertical="center" wrapText="1"/>
      <protection locked="0"/>
    </xf>
    <xf numFmtId="0" fontId="0" fillId="19" borderId="31" xfId="0" applyFill="1" applyBorder="1" applyAlignment="1" applyProtection="1">
      <alignment horizontal="center" vertical="center" wrapText="1"/>
      <protection locked="0"/>
    </xf>
    <xf numFmtId="0" fontId="8" fillId="17" borderId="0" xfId="0" applyFont="1" applyFill="1" applyAlignment="1" applyProtection="1">
      <alignment horizontal="center" vertical="center"/>
      <protection locked="0"/>
    </xf>
    <xf numFmtId="0" fontId="10" fillId="0" borderId="0" xfId="0" applyFont="1" applyBorder="1" applyAlignment="1" applyProtection="1">
      <alignment horizontal="center" vertical="center" textRotation="90"/>
      <protection locked="0"/>
    </xf>
    <xf numFmtId="0" fontId="33" fillId="17" borderId="23" xfId="0" applyFont="1" applyFill="1" applyBorder="1" applyAlignment="1">
      <alignment horizontal="center" vertical="center"/>
    </xf>
    <xf numFmtId="0" fontId="0" fillId="17" borderId="23" xfId="0" applyFill="1" applyBorder="1" applyAlignment="1">
      <alignment horizontal="center" vertical="center"/>
    </xf>
    <xf numFmtId="0" fontId="48" fillId="0" borderId="26" xfId="0" applyFont="1" applyBorder="1" applyAlignment="1">
      <alignment horizontal="center" vertical="center"/>
    </xf>
    <xf numFmtId="0" fontId="0" fillId="0" borderId="26" xfId="0" applyBorder="1" applyAlignment="1">
      <alignment horizontal="center" vertical="center"/>
    </xf>
    <xf numFmtId="0" fontId="27" fillId="0" borderId="26" xfId="0" applyFont="1" applyBorder="1" applyAlignment="1">
      <alignment horizontal="center" vertical="center" wrapText="1"/>
    </xf>
    <xf numFmtId="0" fontId="0" fillId="0" borderId="0" xfId="0" applyBorder="1" applyAlignment="1">
      <alignment horizontal="center" vertical="center" wrapText="1"/>
    </xf>
    <xf numFmtId="0" fontId="0" fillId="0" borderId="26" xfId="0" applyBorder="1" applyAlignment="1">
      <alignment horizontal="center" vertical="center" wrapText="1"/>
    </xf>
    <xf numFmtId="0" fontId="33" fillId="17" borderId="0" xfId="0" applyFont="1" applyFill="1" applyBorder="1" applyAlignment="1">
      <alignment horizontal="center" vertical="center"/>
    </xf>
    <xf numFmtId="0" fontId="33" fillId="17" borderId="29" xfId="0" applyFont="1" applyFill="1" applyBorder="1" applyAlignment="1">
      <alignment horizontal="center" vertical="center"/>
    </xf>
    <xf numFmtId="0" fontId="32" fillId="17" borderId="25" xfId="0" applyFont="1" applyFill="1" applyBorder="1" applyAlignment="1">
      <alignment horizontal="center" textRotation="90" wrapText="1"/>
    </xf>
    <xf numFmtId="0" fontId="0" fillId="17" borderId="25" xfId="0" applyFill="1" applyBorder="1" applyAlignment="1">
      <alignment horizontal="center" textRotation="90" wrapText="1"/>
    </xf>
    <xf numFmtId="0" fontId="0" fillId="17" borderId="26" xfId="0" applyFill="1" applyBorder="1" applyAlignment="1">
      <alignment horizontal="center"/>
    </xf>
    <xf numFmtId="0" fontId="36" fillId="0" borderId="0" xfId="0" applyFont="1" applyAlignment="1">
      <alignment horizontal="center" vertical="center"/>
    </xf>
    <xf numFmtId="0" fontId="24" fillId="4" borderId="9" xfId="2" applyBorder="1" applyAlignment="1">
      <alignment horizontal="center" vertical="center"/>
    </xf>
    <xf numFmtId="0" fontId="24" fillId="4" borderId="10" xfId="2" applyBorder="1" applyAlignment="1">
      <alignment horizontal="center" vertical="center"/>
    </xf>
    <xf numFmtId="0" fontId="24" fillId="4" borderId="11" xfId="2" applyBorder="1" applyAlignment="1">
      <alignment horizontal="center" vertical="center"/>
    </xf>
    <xf numFmtId="0" fontId="8" fillId="0" borderId="9" xfId="0" applyFont="1" applyBorder="1" applyAlignment="1">
      <alignment horizontal="center" vertical="center"/>
    </xf>
    <xf numFmtId="0" fontId="8" fillId="0" borderId="10" xfId="0" applyFont="1" applyBorder="1" applyAlignment="1">
      <alignment horizontal="center" vertical="center"/>
    </xf>
    <xf numFmtId="2" fontId="5" fillId="0" borderId="10" xfId="0" applyNumberFormat="1" applyFont="1" applyBorder="1" applyAlignment="1">
      <alignment horizontal="center" vertical="center"/>
    </xf>
    <xf numFmtId="2" fontId="5" fillId="0" borderId="11" xfId="0" applyNumberFormat="1" applyFont="1" applyBorder="1" applyAlignment="1">
      <alignment horizontal="center" vertical="center"/>
    </xf>
    <xf numFmtId="0" fontId="0" fillId="0" borderId="0" xfId="0" applyBorder="1" applyAlignment="1">
      <alignment horizontal="center" vertical="center"/>
    </xf>
    <xf numFmtId="0" fontId="0" fillId="0" borderId="5" xfId="0" applyBorder="1" applyAlignment="1">
      <alignment horizontal="center" vertical="center"/>
    </xf>
    <xf numFmtId="164" fontId="0" fillId="0" borderId="14" xfId="0" applyNumberFormat="1" applyBorder="1" applyAlignment="1">
      <alignment horizontal="center" vertical="center"/>
    </xf>
    <xf numFmtId="0" fontId="0" fillId="0" borderId="14" xfId="0" applyBorder="1" applyAlignment="1">
      <alignment horizontal="center" vertical="center"/>
    </xf>
    <xf numFmtId="0" fontId="0" fillId="0" borderId="15" xfId="0" applyBorder="1" applyAlignment="1">
      <alignment horizontal="center" vertical="center"/>
    </xf>
    <xf numFmtId="0" fontId="1" fillId="0" borderId="9" xfId="0" applyFont="1" applyBorder="1" applyAlignment="1">
      <alignment horizontal="center" vertical="center"/>
    </xf>
    <xf numFmtId="0" fontId="1" fillId="0" borderId="10" xfId="0" applyFont="1" applyBorder="1" applyAlignment="1">
      <alignment horizontal="center" vertical="center"/>
    </xf>
    <xf numFmtId="0" fontId="1" fillId="0" borderId="11" xfId="0" applyFont="1" applyBorder="1" applyAlignment="1">
      <alignment horizontal="center" vertical="center"/>
    </xf>
    <xf numFmtId="0" fontId="4" fillId="0" borderId="0" xfId="0" applyFont="1" applyAlignment="1">
      <alignment horizontal="center" vertical="center"/>
    </xf>
    <xf numFmtId="0" fontId="3" fillId="0" borderId="0" xfId="0" applyFont="1" applyBorder="1" applyAlignment="1">
      <alignment horizontal="center" vertical="center" wrapText="1"/>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0" fillId="0" borderId="4" xfId="0" applyBorder="1" applyAlignment="1">
      <alignment horizontal="center"/>
    </xf>
    <xf numFmtId="0" fontId="0" fillId="0" borderId="0" xfId="0" applyBorder="1" applyAlignment="1">
      <alignment horizontal="center"/>
    </xf>
    <xf numFmtId="0" fontId="0" fillId="0" borderId="4" xfId="0" applyBorder="1" applyAlignment="1">
      <alignment vertical="center"/>
    </xf>
    <xf numFmtId="0" fontId="0" fillId="0" borderId="0" xfId="0" applyBorder="1" applyAlignment="1">
      <alignment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4" xfId="0" applyBorder="1" applyAlignment="1">
      <alignment horizontal="center" vertical="center" wrapText="1"/>
    </xf>
    <xf numFmtId="0" fontId="0" fillId="0" borderId="4" xfId="0" applyBorder="1" applyAlignment="1">
      <alignment horizontal="center" vertical="center"/>
    </xf>
    <xf numFmtId="0" fontId="3" fillId="0" borderId="0" xfId="0" applyFont="1" applyBorder="1" applyAlignment="1">
      <alignment vertical="center" wrapText="1"/>
    </xf>
    <xf numFmtId="0" fontId="3" fillId="0" borderId="7" xfId="0" applyFont="1" applyBorder="1" applyAlignment="1">
      <alignment vertical="center" wrapText="1"/>
    </xf>
    <xf numFmtId="2" fontId="19" fillId="3" borderId="0" xfId="1" applyNumberFormat="1" applyFont="1" applyFill="1" applyAlignment="1">
      <alignment horizontal="center" vertical="center"/>
    </xf>
    <xf numFmtId="0" fontId="19" fillId="3" borderId="0" xfId="1" applyFont="1" applyFill="1" applyAlignment="1">
      <alignment horizontal="center" vertical="center"/>
    </xf>
    <xf numFmtId="0" fontId="23" fillId="0" borderId="0" xfId="1" applyFont="1" applyAlignment="1">
      <alignment horizontal="justify" vertical="center" wrapText="1"/>
    </xf>
    <xf numFmtId="1" fontId="19" fillId="3" borderId="0" xfId="1" applyNumberFormat="1" applyFont="1" applyFill="1" applyAlignment="1">
      <alignment horizontal="center" vertical="center"/>
    </xf>
    <xf numFmtId="1" fontId="20" fillId="3" borderId="0" xfId="1" applyNumberFormat="1" applyFont="1" applyFill="1" applyAlignment="1">
      <alignment horizontal="center" vertical="center"/>
    </xf>
    <xf numFmtId="0" fontId="10" fillId="0" borderId="9" xfId="0" applyFont="1" applyBorder="1" applyAlignment="1">
      <alignment horizontal="center" vertical="center"/>
    </xf>
    <xf numFmtId="0" fontId="10" fillId="0" borderId="10" xfId="0" applyFont="1" applyBorder="1" applyAlignment="1">
      <alignment horizontal="center" vertical="center"/>
    </xf>
    <xf numFmtId="0" fontId="10" fillId="0" borderId="11" xfId="0" applyFont="1" applyBorder="1" applyAlignment="1">
      <alignment horizontal="center" vertical="center"/>
    </xf>
    <xf numFmtId="0" fontId="1" fillId="2" borderId="21" xfId="0" applyFont="1" applyFill="1" applyBorder="1" applyAlignment="1">
      <alignment horizontal="center" vertical="center" wrapText="1"/>
    </xf>
    <xf numFmtId="0" fontId="1" fillId="2" borderId="22" xfId="0" applyFont="1" applyFill="1" applyBorder="1" applyAlignment="1">
      <alignment horizontal="center" vertical="center" wrapText="1"/>
    </xf>
    <xf numFmtId="0" fontId="1" fillId="2" borderId="21" xfId="0" applyFont="1" applyFill="1" applyBorder="1" applyAlignment="1">
      <alignment horizontal="center" vertical="center"/>
    </xf>
    <xf numFmtId="0" fontId="1" fillId="2" borderId="22" xfId="0" applyFont="1" applyFill="1" applyBorder="1" applyAlignment="1">
      <alignment horizontal="center" vertical="center"/>
    </xf>
    <xf numFmtId="2" fontId="0" fillId="0" borderId="21" xfId="0" applyNumberFormat="1" applyBorder="1" applyAlignment="1">
      <alignment horizontal="center" vertical="center"/>
    </xf>
    <xf numFmtId="2" fontId="0" fillId="0" borderId="22" xfId="0" applyNumberFormat="1" applyBorder="1" applyAlignment="1">
      <alignment horizontal="center" vertical="center"/>
    </xf>
    <xf numFmtId="0" fontId="1" fillId="0" borderId="21" xfId="0" applyFont="1" applyFill="1" applyBorder="1" applyAlignment="1">
      <alignment horizontal="center" vertical="center"/>
    </xf>
    <xf numFmtId="0" fontId="1" fillId="0" borderId="22" xfId="0" applyFont="1" applyFill="1"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0" fontId="0" fillId="0" borderId="21" xfId="0" applyBorder="1" applyAlignment="1">
      <alignment horizontal="center" vertical="center"/>
    </xf>
    <xf numFmtId="0" fontId="0" fillId="0" borderId="22" xfId="0" applyBorder="1" applyAlignment="1">
      <alignment horizontal="center" vertical="center"/>
    </xf>
    <xf numFmtId="0" fontId="0" fillId="0" borderId="21" xfId="0" applyBorder="1" applyAlignment="1">
      <alignment horizontal="center" vertical="center" wrapText="1"/>
    </xf>
    <xf numFmtId="0" fontId="0" fillId="0" borderId="22" xfId="0" applyBorder="1" applyAlignment="1">
      <alignment horizontal="center" vertical="center" wrapText="1"/>
    </xf>
    <xf numFmtId="0" fontId="0" fillId="27" borderId="23" xfId="0" applyFill="1" applyBorder="1"/>
  </cellXfs>
  <cellStyles count="7">
    <cellStyle name="40 % - Accent3" xfId="2" builtinId="39"/>
    <cellStyle name="60 % - Accent3" xfId="3" builtinId="40"/>
    <cellStyle name="Insatisfaisant" xfId="5" builtinId="27"/>
    <cellStyle name="Neutre" xfId="6" builtinId="28"/>
    <cellStyle name="Normal" xfId="0" builtinId="0"/>
    <cellStyle name="Normal 2" xfId="1" xr:uid="{00000000-0005-0000-0000-000003000000}"/>
    <cellStyle name="Satisfaisant" xfId="4" builtinId="26"/>
  </cellStyles>
  <dxfs count="6">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5" Type="http://schemas.openxmlformats.org/officeDocument/2006/relationships/image" Target="../media/image13.png"/><Relationship Id="rId4" Type="http://schemas.openxmlformats.org/officeDocument/2006/relationships/image" Target="../media/image12.png"/></Relationships>
</file>

<file path=xl/drawings/_rels/drawing4.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33</xdr:row>
      <xdr:rowOff>62999</xdr:rowOff>
    </xdr:from>
    <xdr:to>
      <xdr:col>2</xdr:col>
      <xdr:colOff>942975</xdr:colOff>
      <xdr:row>49</xdr:row>
      <xdr:rowOff>149598</xdr:rowOff>
    </xdr:to>
    <xdr:pic>
      <xdr:nvPicPr>
        <xdr:cNvPr id="3" name="Image 2">
          <a:extLst>
            <a:ext uri="{FF2B5EF4-FFF2-40B4-BE49-F238E27FC236}">
              <a16:creationId xmlns:a16="http://schemas.microsoft.com/office/drawing/2014/main" id="{8254BF6F-D32C-4B7A-830C-81E197F7A0AE}"/>
            </a:ext>
          </a:extLst>
        </xdr:cNvPr>
        <xdr:cNvPicPr>
          <a:picLocks noChangeAspect="1"/>
        </xdr:cNvPicPr>
      </xdr:nvPicPr>
      <xdr:blipFill>
        <a:blip xmlns:r="http://schemas.openxmlformats.org/officeDocument/2006/relationships" r:embed="rId1"/>
        <a:stretch>
          <a:fillRect/>
        </a:stretch>
      </xdr:blipFill>
      <xdr:spPr>
        <a:xfrm>
          <a:off x="1000125" y="8502149"/>
          <a:ext cx="6124575" cy="3134599"/>
        </a:xfrm>
        <a:prstGeom prst="rect">
          <a:avLst/>
        </a:prstGeom>
      </xdr:spPr>
    </xdr:pic>
    <xdr:clientData/>
  </xdr:twoCellAnchor>
  <xdr:twoCellAnchor editAs="oneCell">
    <xdr:from>
      <xdr:col>2</xdr:col>
      <xdr:colOff>1057275</xdr:colOff>
      <xdr:row>33</xdr:row>
      <xdr:rowOff>57150</xdr:rowOff>
    </xdr:from>
    <xdr:to>
      <xdr:col>3</xdr:col>
      <xdr:colOff>889895</xdr:colOff>
      <xdr:row>49</xdr:row>
      <xdr:rowOff>123825</xdr:rowOff>
    </xdr:to>
    <xdr:pic>
      <xdr:nvPicPr>
        <xdr:cNvPr id="6" name="Image 5">
          <a:extLst>
            <a:ext uri="{FF2B5EF4-FFF2-40B4-BE49-F238E27FC236}">
              <a16:creationId xmlns:a16="http://schemas.microsoft.com/office/drawing/2014/main" id="{7DF05BA0-3C02-41C1-BCD3-42873E009C79}"/>
            </a:ext>
          </a:extLst>
        </xdr:cNvPr>
        <xdr:cNvPicPr>
          <a:picLocks noChangeAspect="1"/>
        </xdr:cNvPicPr>
      </xdr:nvPicPr>
      <xdr:blipFill>
        <a:blip xmlns:r="http://schemas.openxmlformats.org/officeDocument/2006/relationships" r:embed="rId2"/>
        <a:stretch>
          <a:fillRect/>
        </a:stretch>
      </xdr:blipFill>
      <xdr:spPr>
        <a:xfrm>
          <a:off x="7239000" y="8496300"/>
          <a:ext cx="4680845" cy="3114675"/>
        </a:xfrm>
        <a:prstGeom prst="rect">
          <a:avLst/>
        </a:prstGeom>
      </xdr:spPr>
    </xdr:pic>
    <xdr:clientData/>
  </xdr:twoCellAnchor>
  <xdr:twoCellAnchor editAs="oneCell">
    <xdr:from>
      <xdr:col>1</xdr:col>
      <xdr:colOff>47624</xdr:colOff>
      <xdr:row>65</xdr:row>
      <xdr:rowOff>173759</xdr:rowOff>
    </xdr:from>
    <xdr:to>
      <xdr:col>2</xdr:col>
      <xdr:colOff>942974</xdr:colOff>
      <xdr:row>76</xdr:row>
      <xdr:rowOff>180974</xdr:rowOff>
    </xdr:to>
    <xdr:pic>
      <xdr:nvPicPr>
        <xdr:cNvPr id="8" name="Image 7">
          <a:extLst>
            <a:ext uri="{FF2B5EF4-FFF2-40B4-BE49-F238E27FC236}">
              <a16:creationId xmlns:a16="http://schemas.microsoft.com/office/drawing/2014/main" id="{3ED679ED-819C-4576-A9D3-30999AE850DA}"/>
            </a:ext>
          </a:extLst>
        </xdr:cNvPr>
        <xdr:cNvPicPr>
          <a:picLocks noChangeAspect="1"/>
        </xdr:cNvPicPr>
      </xdr:nvPicPr>
      <xdr:blipFill>
        <a:blip xmlns:r="http://schemas.openxmlformats.org/officeDocument/2006/relationships" r:embed="rId3"/>
        <a:stretch>
          <a:fillRect/>
        </a:stretch>
      </xdr:blipFill>
      <xdr:spPr>
        <a:xfrm>
          <a:off x="1038224" y="14927984"/>
          <a:ext cx="6086475" cy="2102715"/>
        </a:xfrm>
        <a:prstGeom prst="rect">
          <a:avLst/>
        </a:prstGeom>
      </xdr:spPr>
    </xdr:pic>
    <xdr:clientData/>
  </xdr:twoCellAnchor>
  <xdr:twoCellAnchor editAs="oneCell">
    <xdr:from>
      <xdr:col>1</xdr:col>
      <xdr:colOff>16529</xdr:colOff>
      <xdr:row>79</xdr:row>
      <xdr:rowOff>38100</xdr:rowOff>
    </xdr:from>
    <xdr:to>
      <xdr:col>3</xdr:col>
      <xdr:colOff>104775</xdr:colOff>
      <xdr:row>92</xdr:row>
      <xdr:rowOff>0</xdr:rowOff>
    </xdr:to>
    <xdr:pic>
      <xdr:nvPicPr>
        <xdr:cNvPr id="9" name="Image 8">
          <a:extLst>
            <a:ext uri="{FF2B5EF4-FFF2-40B4-BE49-F238E27FC236}">
              <a16:creationId xmlns:a16="http://schemas.microsoft.com/office/drawing/2014/main" id="{582C5F85-DCC7-43CF-B288-4BFD441DC992}"/>
            </a:ext>
          </a:extLst>
        </xdr:cNvPr>
        <xdr:cNvPicPr>
          <a:picLocks noChangeAspect="1"/>
        </xdr:cNvPicPr>
      </xdr:nvPicPr>
      <xdr:blipFill>
        <a:blip xmlns:r="http://schemas.openxmlformats.org/officeDocument/2006/relationships" r:embed="rId4"/>
        <a:stretch>
          <a:fillRect/>
        </a:stretch>
      </xdr:blipFill>
      <xdr:spPr>
        <a:xfrm>
          <a:off x="1007129" y="17459325"/>
          <a:ext cx="10127596" cy="2438400"/>
        </a:xfrm>
        <a:prstGeom prst="rect">
          <a:avLst/>
        </a:prstGeom>
      </xdr:spPr>
    </xdr:pic>
    <xdr:clientData/>
  </xdr:twoCellAnchor>
  <xdr:twoCellAnchor editAs="oneCell">
    <xdr:from>
      <xdr:col>1</xdr:col>
      <xdr:colOff>9525</xdr:colOff>
      <xdr:row>97</xdr:row>
      <xdr:rowOff>0</xdr:rowOff>
    </xdr:from>
    <xdr:to>
      <xdr:col>3</xdr:col>
      <xdr:colOff>85725</xdr:colOff>
      <xdr:row>105</xdr:row>
      <xdr:rowOff>180975</xdr:rowOff>
    </xdr:to>
    <xdr:pic>
      <xdr:nvPicPr>
        <xdr:cNvPr id="11" name="Image 10">
          <a:extLst>
            <a:ext uri="{FF2B5EF4-FFF2-40B4-BE49-F238E27FC236}">
              <a16:creationId xmlns:a16="http://schemas.microsoft.com/office/drawing/2014/main" id="{238406F1-5D3D-43E5-8329-A3FB2931B3D2}"/>
            </a:ext>
          </a:extLst>
        </xdr:cNvPr>
        <xdr:cNvPicPr>
          <a:picLocks noChangeAspect="1"/>
        </xdr:cNvPicPr>
      </xdr:nvPicPr>
      <xdr:blipFill>
        <a:blip xmlns:r="http://schemas.openxmlformats.org/officeDocument/2006/relationships" r:embed="rId5"/>
        <a:stretch>
          <a:fillRect/>
        </a:stretch>
      </xdr:blipFill>
      <xdr:spPr>
        <a:xfrm>
          <a:off x="1000125" y="20850225"/>
          <a:ext cx="10115550" cy="1704975"/>
        </a:xfrm>
        <a:prstGeom prst="rect">
          <a:avLst/>
        </a:prstGeom>
      </xdr:spPr>
    </xdr:pic>
    <xdr:clientData/>
  </xdr:twoCellAnchor>
  <xdr:twoCellAnchor editAs="oneCell">
    <xdr:from>
      <xdr:col>1</xdr:col>
      <xdr:colOff>15688</xdr:colOff>
      <xdr:row>106</xdr:row>
      <xdr:rowOff>44823</xdr:rowOff>
    </xdr:from>
    <xdr:to>
      <xdr:col>3</xdr:col>
      <xdr:colOff>98051</xdr:colOff>
      <xdr:row>120</xdr:row>
      <xdr:rowOff>54348</xdr:rowOff>
    </xdr:to>
    <xdr:pic>
      <xdr:nvPicPr>
        <xdr:cNvPr id="12" name="Image 11">
          <a:extLst>
            <a:ext uri="{FF2B5EF4-FFF2-40B4-BE49-F238E27FC236}">
              <a16:creationId xmlns:a16="http://schemas.microsoft.com/office/drawing/2014/main" id="{0FD8B57A-517A-4008-AA7E-69D55586838D}"/>
            </a:ext>
          </a:extLst>
        </xdr:cNvPr>
        <xdr:cNvPicPr>
          <a:picLocks noChangeAspect="1"/>
        </xdr:cNvPicPr>
      </xdr:nvPicPr>
      <xdr:blipFill>
        <a:blip xmlns:r="http://schemas.openxmlformats.org/officeDocument/2006/relationships" r:embed="rId6"/>
        <a:stretch>
          <a:fillRect/>
        </a:stretch>
      </xdr:blipFill>
      <xdr:spPr>
        <a:xfrm>
          <a:off x="1797423" y="22882411"/>
          <a:ext cx="10122834" cy="2676525"/>
        </a:xfrm>
        <a:prstGeom prst="rect">
          <a:avLst/>
        </a:prstGeom>
      </xdr:spPr>
    </xdr:pic>
    <xdr:clientData/>
  </xdr:twoCellAnchor>
  <xdr:twoCellAnchor editAs="oneCell">
    <xdr:from>
      <xdr:col>1</xdr:col>
      <xdr:colOff>0</xdr:colOff>
      <xdr:row>124</xdr:row>
      <xdr:rowOff>0</xdr:rowOff>
    </xdr:from>
    <xdr:to>
      <xdr:col>2</xdr:col>
      <xdr:colOff>4705350</xdr:colOff>
      <xdr:row>132</xdr:row>
      <xdr:rowOff>9525</xdr:rowOff>
    </xdr:to>
    <xdr:pic>
      <xdr:nvPicPr>
        <xdr:cNvPr id="13" name="Image 12">
          <a:extLst>
            <a:ext uri="{FF2B5EF4-FFF2-40B4-BE49-F238E27FC236}">
              <a16:creationId xmlns:a16="http://schemas.microsoft.com/office/drawing/2014/main" id="{E1C41B4A-38ED-422E-9577-944759183FD6}"/>
            </a:ext>
          </a:extLst>
        </xdr:cNvPr>
        <xdr:cNvPicPr>
          <a:picLocks noChangeAspect="1"/>
        </xdr:cNvPicPr>
      </xdr:nvPicPr>
      <xdr:blipFill>
        <a:blip xmlns:r="http://schemas.openxmlformats.org/officeDocument/2006/relationships" r:embed="rId7"/>
        <a:stretch>
          <a:fillRect/>
        </a:stretch>
      </xdr:blipFill>
      <xdr:spPr>
        <a:xfrm>
          <a:off x="990600" y="25993725"/>
          <a:ext cx="9896475" cy="1533525"/>
        </a:xfrm>
        <a:prstGeom prst="rect">
          <a:avLst/>
        </a:prstGeom>
      </xdr:spPr>
    </xdr:pic>
    <xdr:clientData/>
  </xdr:twoCellAnchor>
  <xdr:twoCellAnchor editAs="oneCell">
    <xdr:from>
      <xdr:col>1</xdr:col>
      <xdr:colOff>0</xdr:colOff>
      <xdr:row>135</xdr:row>
      <xdr:rowOff>0</xdr:rowOff>
    </xdr:from>
    <xdr:to>
      <xdr:col>2</xdr:col>
      <xdr:colOff>4113637</xdr:colOff>
      <xdr:row>146</xdr:row>
      <xdr:rowOff>28310</xdr:rowOff>
    </xdr:to>
    <xdr:pic>
      <xdr:nvPicPr>
        <xdr:cNvPr id="14" name="Image 13">
          <a:extLst>
            <a:ext uri="{FF2B5EF4-FFF2-40B4-BE49-F238E27FC236}">
              <a16:creationId xmlns:a16="http://schemas.microsoft.com/office/drawing/2014/main" id="{1CC41032-304E-421E-BE03-434934B5CD30}"/>
            </a:ext>
          </a:extLst>
        </xdr:cNvPr>
        <xdr:cNvPicPr>
          <a:picLocks noChangeAspect="1"/>
        </xdr:cNvPicPr>
      </xdr:nvPicPr>
      <xdr:blipFill>
        <a:blip xmlns:r="http://schemas.openxmlformats.org/officeDocument/2006/relationships" r:embed="rId8"/>
        <a:stretch>
          <a:fillRect/>
        </a:stretch>
      </xdr:blipFill>
      <xdr:spPr>
        <a:xfrm>
          <a:off x="990600" y="28089225"/>
          <a:ext cx="9304762" cy="21238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19</xdr:row>
      <xdr:rowOff>0</xdr:rowOff>
    </xdr:from>
    <xdr:to>
      <xdr:col>13</xdr:col>
      <xdr:colOff>122299</xdr:colOff>
      <xdr:row>40</xdr:row>
      <xdr:rowOff>18548</xdr:rowOff>
    </xdr:to>
    <xdr:pic>
      <xdr:nvPicPr>
        <xdr:cNvPr id="2" name="Image 1">
          <a:extLst>
            <a:ext uri="{FF2B5EF4-FFF2-40B4-BE49-F238E27FC236}">
              <a16:creationId xmlns:a16="http://schemas.microsoft.com/office/drawing/2014/main" id="{5B1B0DAC-9B04-4368-9E2A-89B2130DF625}"/>
            </a:ext>
          </a:extLst>
        </xdr:cNvPr>
        <xdr:cNvPicPr>
          <a:picLocks noChangeAspect="1"/>
        </xdr:cNvPicPr>
      </xdr:nvPicPr>
      <xdr:blipFill>
        <a:blip xmlns:r="http://schemas.openxmlformats.org/officeDocument/2006/relationships" r:embed="rId1"/>
        <a:stretch>
          <a:fillRect/>
        </a:stretch>
      </xdr:blipFill>
      <xdr:spPr>
        <a:xfrm>
          <a:off x="1495425" y="3695700"/>
          <a:ext cx="12209524" cy="4019048"/>
        </a:xfrm>
        <a:prstGeom prst="rect">
          <a:avLst/>
        </a:prstGeom>
      </xdr:spPr>
    </xdr:pic>
    <xdr:clientData/>
  </xdr:twoCellAnchor>
  <xdr:twoCellAnchor editAs="oneCell">
    <xdr:from>
      <xdr:col>1</xdr:col>
      <xdr:colOff>9525</xdr:colOff>
      <xdr:row>41</xdr:row>
      <xdr:rowOff>152400</xdr:rowOff>
    </xdr:from>
    <xdr:to>
      <xdr:col>9</xdr:col>
      <xdr:colOff>19050</xdr:colOff>
      <xdr:row>50</xdr:row>
      <xdr:rowOff>153241</xdr:rowOff>
    </xdr:to>
    <xdr:pic>
      <xdr:nvPicPr>
        <xdr:cNvPr id="3" name="Image 2">
          <a:extLst>
            <a:ext uri="{FF2B5EF4-FFF2-40B4-BE49-F238E27FC236}">
              <a16:creationId xmlns:a16="http://schemas.microsoft.com/office/drawing/2014/main" id="{AA7EDAB6-6665-4C47-8243-990310426FE8}"/>
            </a:ext>
          </a:extLst>
        </xdr:cNvPr>
        <xdr:cNvPicPr>
          <a:picLocks noChangeAspect="1"/>
        </xdr:cNvPicPr>
      </xdr:nvPicPr>
      <xdr:blipFill>
        <a:blip xmlns:r="http://schemas.openxmlformats.org/officeDocument/2006/relationships" r:embed="rId2"/>
        <a:stretch>
          <a:fillRect/>
        </a:stretch>
      </xdr:blipFill>
      <xdr:spPr>
        <a:xfrm>
          <a:off x="1504950" y="8039100"/>
          <a:ext cx="9048750" cy="1715341"/>
        </a:xfrm>
        <a:prstGeom prst="rect">
          <a:avLst/>
        </a:prstGeom>
      </xdr:spPr>
    </xdr:pic>
    <xdr:clientData/>
  </xdr:twoCellAnchor>
  <xdr:twoCellAnchor editAs="oneCell">
    <xdr:from>
      <xdr:col>0</xdr:col>
      <xdr:colOff>1485900</xdr:colOff>
      <xdr:row>53</xdr:row>
      <xdr:rowOff>0</xdr:rowOff>
    </xdr:from>
    <xdr:to>
      <xdr:col>12</xdr:col>
      <xdr:colOff>360488</xdr:colOff>
      <xdr:row>59</xdr:row>
      <xdr:rowOff>9381</xdr:rowOff>
    </xdr:to>
    <xdr:pic>
      <xdr:nvPicPr>
        <xdr:cNvPr id="5" name="Image 4">
          <a:extLst>
            <a:ext uri="{FF2B5EF4-FFF2-40B4-BE49-F238E27FC236}">
              <a16:creationId xmlns:a16="http://schemas.microsoft.com/office/drawing/2014/main" id="{65A87464-740F-4DCD-9D96-66903DB0453F}"/>
            </a:ext>
          </a:extLst>
        </xdr:cNvPr>
        <xdr:cNvPicPr>
          <a:picLocks noChangeAspect="1"/>
        </xdr:cNvPicPr>
      </xdr:nvPicPr>
      <xdr:blipFill>
        <a:blip xmlns:r="http://schemas.openxmlformats.org/officeDocument/2006/relationships" r:embed="rId3"/>
        <a:stretch>
          <a:fillRect/>
        </a:stretch>
      </xdr:blipFill>
      <xdr:spPr>
        <a:xfrm>
          <a:off x="1485900" y="10172700"/>
          <a:ext cx="11695238" cy="1152381"/>
        </a:xfrm>
        <a:prstGeom prst="rect">
          <a:avLst/>
        </a:prstGeom>
      </xdr:spPr>
    </xdr:pic>
    <xdr:clientData/>
  </xdr:twoCellAnchor>
  <xdr:twoCellAnchor editAs="oneCell">
    <xdr:from>
      <xdr:col>0</xdr:col>
      <xdr:colOff>1485901</xdr:colOff>
      <xdr:row>60</xdr:row>
      <xdr:rowOff>177682</xdr:rowOff>
    </xdr:from>
    <xdr:to>
      <xdr:col>10</xdr:col>
      <xdr:colOff>9525</xdr:colOff>
      <xdr:row>80</xdr:row>
      <xdr:rowOff>19050</xdr:rowOff>
    </xdr:to>
    <xdr:pic>
      <xdr:nvPicPr>
        <xdr:cNvPr id="6" name="Image 5">
          <a:extLst>
            <a:ext uri="{FF2B5EF4-FFF2-40B4-BE49-F238E27FC236}">
              <a16:creationId xmlns:a16="http://schemas.microsoft.com/office/drawing/2014/main" id="{32C3CF5A-5353-4073-B24A-E2D970A2A979}"/>
            </a:ext>
          </a:extLst>
        </xdr:cNvPr>
        <xdr:cNvPicPr>
          <a:picLocks noChangeAspect="1"/>
        </xdr:cNvPicPr>
      </xdr:nvPicPr>
      <xdr:blipFill>
        <a:blip xmlns:r="http://schemas.openxmlformats.org/officeDocument/2006/relationships" r:embed="rId4"/>
        <a:stretch>
          <a:fillRect/>
        </a:stretch>
      </xdr:blipFill>
      <xdr:spPr>
        <a:xfrm>
          <a:off x="1485901" y="11950582"/>
          <a:ext cx="9820274" cy="3651368"/>
        </a:xfrm>
        <a:prstGeom prst="rect">
          <a:avLst/>
        </a:prstGeom>
      </xdr:spPr>
    </xdr:pic>
    <xdr:clientData/>
  </xdr:twoCellAnchor>
  <xdr:twoCellAnchor editAs="oneCell">
    <xdr:from>
      <xdr:col>3</xdr:col>
      <xdr:colOff>200025</xdr:colOff>
      <xdr:row>86</xdr:row>
      <xdr:rowOff>28575</xdr:rowOff>
    </xdr:from>
    <xdr:to>
      <xdr:col>13</xdr:col>
      <xdr:colOff>208596</xdr:colOff>
      <xdr:row>101</xdr:row>
      <xdr:rowOff>56599</xdr:rowOff>
    </xdr:to>
    <xdr:pic>
      <xdr:nvPicPr>
        <xdr:cNvPr id="7" name="Image 6">
          <a:extLst>
            <a:ext uri="{FF2B5EF4-FFF2-40B4-BE49-F238E27FC236}">
              <a16:creationId xmlns:a16="http://schemas.microsoft.com/office/drawing/2014/main" id="{5D8A0BCF-488D-4582-9B1E-1814BCCB8DE8}"/>
            </a:ext>
          </a:extLst>
        </xdr:cNvPr>
        <xdr:cNvPicPr>
          <a:picLocks noChangeAspect="1"/>
        </xdr:cNvPicPr>
      </xdr:nvPicPr>
      <xdr:blipFill>
        <a:blip xmlns:r="http://schemas.openxmlformats.org/officeDocument/2006/relationships" r:embed="rId5"/>
        <a:stretch>
          <a:fillRect/>
        </a:stretch>
      </xdr:blipFill>
      <xdr:spPr>
        <a:xfrm>
          <a:off x="6162675" y="16859250"/>
          <a:ext cx="7628571" cy="44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1309686</xdr:colOff>
      <xdr:row>28</xdr:row>
      <xdr:rowOff>23811</xdr:rowOff>
    </xdr:from>
    <xdr:to>
      <xdr:col>13</xdr:col>
      <xdr:colOff>23811</xdr:colOff>
      <xdr:row>34</xdr:row>
      <xdr:rowOff>380999</xdr:rowOff>
    </xdr:to>
    <xdr:sp macro="" textlink="">
      <xdr:nvSpPr>
        <xdr:cNvPr id="9" name="ZoneTexte 8">
          <a:extLst>
            <a:ext uri="{FF2B5EF4-FFF2-40B4-BE49-F238E27FC236}">
              <a16:creationId xmlns:a16="http://schemas.microsoft.com/office/drawing/2014/main" id="{2251088C-D055-421B-B359-BAFA5BAA6D0E}"/>
            </a:ext>
          </a:extLst>
        </xdr:cNvPr>
        <xdr:cNvSpPr txBox="1"/>
      </xdr:nvSpPr>
      <xdr:spPr>
        <a:xfrm>
          <a:off x="42338624" y="12144374"/>
          <a:ext cx="13239750" cy="292893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2800" b="1">
              <a:solidFill>
                <a:srgbClr val="FF0000"/>
              </a:solidFill>
            </a:rPr>
            <a:t>Les isolants à éviter lorsqu’on cherche une amélioration acoustique sont en rouge.</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9526</xdr:colOff>
      <xdr:row>10</xdr:row>
      <xdr:rowOff>57665</xdr:rowOff>
    </xdr:from>
    <xdr:to>
      <xdr:col>15</xdr:col>
      <xdr:colOff>579120</xdr:colOff>
      <xdr:row>11</xdr:row>
      <xdr:rowOff>152460</xdr:rowOff>
    </xdr:to>
    <xdr:pic>
      <xdr:nvPicPr>
        <xdr:cNvPr id="3" name="Image 2">
          <a:extLst>
            <a:ext uri="{FF2B5EF4-FFF2-40B4-BE49-F238E27FC236}">
              <a16:creationId xmlns:a16="http://schemas.microsoft.com/office/drawing/2014/main" id="{6D962805-E840-4B06-A35B-D9EF0043CC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448676" y="2200790"/>
          <a:ext cx="3752849" cy="285295"/>
        </a:xfrm>
        <a:prstGeom prst="rect">
          <a:avLst/>
        </a:prstGeom>
      </xdr:spPr>
    </xdr:pic>
    <xdr:clientData/>
  </xdr:twoCellAnchor>
  <xdr:twoCellAnchor editAs="oneCell">
    <xdr:from>
      <xdr:col>2</xdr:col>
      <xdr:colOff>47624</xdr:colOff>
      <xdr:row>12</xdr:row>
      <xdr:rowOff>95250</xdr:rowOff>
    </xdr:from>
    <xdr:to>
      <xdr:col>15</xdr:col>
      <xdr:colOff>571500</xdr:colOff>
      <xdr:row>19</xdr:row>
      <xdr:rowOff>75347</xdr:rowOff>
    </xdr:to>
    <xdr:pic>
      <xdr:nvPicPr>
        <xdr:cNvPr id="5" name="Image 4">
          <a:extLst>
            <a:ext uri="{FF2B5EF4-FFF2-40B4-BE49-F238E27FC236}">
              <a16:creationId xmlns:a16="http://schemas.microsoft.com/office/drawing/2014/main" id="{2353938D-C492-401E-9978-3BC96655FAF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71624" y="2686050"/>
          <a:ext cx="10334626" cy="131359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167"/>
  <sheetViews>
    <sheetView tabSelected="1" topLeftCell="D10" zoomScaleNormal="100" workbookViewId="0">
      <selection activeCell="E12" sqref="E12"/>
    </sheetView>
  </sheetViews>
  <sheetFormatPr baseColWidth="10" defaultRowHeight="15"/>
  <cols>
    <col min="1" max="1" width="32.5703125" style="108" customWidth="1"/>
    <col min="2" max="2" width="77.85546875" style="108" customWidth="1"/>
    <col min="3" max="3" width="72.7109375" style="108" customWidth="1"/>
    <col min="4" max="4" width="21.42578125" style="108" customWidth="1"/>
    <col min="5" max="5" width="34.140625" style="108" customWidth="1"/>
    <col min="6" max="6" width="17.7109375" style="108" customWidth="1"/>
    <col min="7" max="7" width="39.5703125" style="108" customWidth="1"/>
    <col min="8" max="8" width="27.28515625" style="108" customWidth="1"/>
    <col min="9" max="16384" width="11.42578125" style="108"/>
  </cols>
  <sheetData>
    <row r="1" spans="1:16">
      <c r="A1" s="150" t="s">
        <v>216</v>
      </c>
      <c r="B1" s="150"/>
      <c r="C1" s="150"/>
      <c r="D1" s="150"/>
      <c r="E1" s="150"/>
      <c r="F1" s="150"/>
      <c r="G1" s="150"/>
    </row>
    <row r="2" spans="1:16">
      <c r="A2" s="150"/>
      <c r="B2" s="150"/>
      <c r="C2" s="150"/>
      <c r="D2" s="150"/>
      <c r="E2" s="150"/>
      <c r="F2" s="150"/>
      <c r="G2" s="150"/>
    </row>
    <row r="4" spans="1:16" ht="15" customHeight="1">
      <c r="A4" s="151" t="s">
        <v>215</v>
      </c>
      <c r="B4" s="151"/>
      <c r="C4" s="151"/>
      <c r="D4" s="151"/>
      <c r="E4" s="151"/>
      <c r="F4" s="119"/>
      <c r="G4" s="120"/>
      <c r="H4" s="120"/>
      <c r="I4" s="121"/>
      <c r="J4" s="152" t="s">
        <v>217</v>
      </c>
      <c r="K4" s="152"/>
      <c r="L4" s="152"/>
      <c r="M4" s="152"/>
      <c r="N4" s="152"/>
      <c r="O4" s="152"/>
      <c r="P4" s="122"/>
    </row>
    <row r="5" spans="1:16">
      <c r="A5" s="151"/>
      <c r="B5" s="151"/>
      <c r="C5" s="151"/>
      <c r="D5" s="151"/>
      <c r="E5" s="151"/>
      <c r="F5" s="120"/>
      <c r="G5" s="120"/>
      <c r="H5" s="120"/>
      <c r="I5" s="122"/>
      <c r="J5" s="152"/>
      <c r="K5" s="152"/>
      <c r="L5" s="152"/>
      <c r="M5" s="152"/>
      <c r="N5" s="152"/>
      <c r="O5" s="152"/>
      <c r="P5" s="122"/>
    </row>
    <row r="6" spans="1:16">
      <c r="A6" s="153" t="s">
        <v>224</v>
      </c>
      <c r="B6" s="153"/>
      <c r="C6" s="153"/>
      <c r="D6" s="153"/>
      <c r="E6" s="153"/>
      <c r="J6" s="152"/>
      <c r="K6" s="152"/>
      <c r="L6" s="152"/>
      <c r="M6" s="152"/>
      <c r="N6" s="152"/>
      <c r="O6" s="152"/>
    </row>
    <row r="7" spans="1:16">
      <c r="A7" s="153"/>
      <c r="B7" s="153"/>
      <c r="C7" s="153"/>
      <c r="D7" s="153"/>
      <c r="E7" s="153"/>
    </row>
    <row r="8" spans="1:16" ht="15.75">
      <c r="A8" s="123"/>
      <c r="B8" s="124" t="s">
        <v>226</v>
      </c>
      <c r="C8" s="124" t="s">
        <v>227</v>
      </c>
    </row>
    <row r="9" spans="1:16" ht="33" customHeight="1">
      <c r="A9" s="124" t="s">
        <v>218</v>
      </c>
      <c r="B9" s="125">
        <v>60</v>
      </c>
      <c r="C9" s="126"/>
      <c r="D9" s="127" t="s">
        <v>230</v>
      </c>
      <c r="E9" s="128"/>
      <c r="F9" s="128"/>
      <c r="G9" s="128"/>
      <c r="H9" s="128"/>
      <c r="I9" s="128"/>
      <c r="J9" s="128"/>
      <c r="K9" s="128"/>
      <c r="L9" s="128"/>
      <c r="M9" s="128"/>
      <c r="N9" s="128"/>
      <c r="O9" s="128"/>
    </row>
    <row r="10" spans="1:16" ht="23.25">
      <c r="A10" s="124" t="s">
        <v>219</v>
      </c>
      <c r="B10" s="125">
        <v>29</v>
      </c>
      <c r="C10" s="129"/>
      <c r="E10" s="130"/>
      <c r="F10" s="130"/>
      <c r="G10" s="124" t="s">
        <v>304</v>
      </c>
      <c r="H10" s="124" t="s">
        <v>218</v>
      </c>
    </row>
    <row r="11" spans="1:16" ht="26.25">
      <c r="A11" s="124" t="s">
        <v>220</v>
      </c>
      <c r="B11" s="125">
        <v>11.6</v>
      </c>
      <c r="C11" s="129"/>
      <c r="D11" s="145" t="s">
        <v>307</v>
      </c>
      <c r="E11" s="146" t="s">
        <v>119</v>
      </c>
      <c r="G11" s="132" t="s">
        <v>306</v>
      </c>
      <c r="H11" s="133">
        <f>VLOOKUP(G11, tout, 6,FALSE)</f>
        <v>54</v>
      </c>
    </row>
    <row r="12" spans="1:16" ht="28.5" customHeight="1">
      <c r="A12" s="124" t="s">
        <v>221</v>
      </c>
      <c r="B12" s="140">
        <f xml:space="preserve"> 5 - B13 + (B14/10)</f>
        <v>5</v>
      </c>
      <c r="C12" s="131" t="s">
        <v>229</v>
      </c>
      <c r="D12" s="145" t="s">
        <v>308</v>
      </c>
      <c r="E12" s="147" t="s">
        <v>106</v>
      </c>
      <c r="G12" s="128"/>
      <c r="H12" s="128"/>
      <c r="I12" s="128"/>
      <c r="J12" s="128"/>
      <c r="K12" s="128"/>
      <c r="L12" s="128"/>
    </row>
    <row r="13" spans="1:16" ht="23.25">
      <c r="A13" s="124" t="s">
        <v>222</v>
      </c>
      <c r="B13" s="125">
        <v>0</v>
      </c>
      <c r="C13" s="129"/>
      <c r="E13" s="148">
        <f t="array" aca="1" ref="E13" ca="1">INDEX(ad,MATCH(E11&amp;E12,matériaux&amp;épaisseur,0))</f>
        <v>39</v>
      </c>
    </row>
    <row r="14" spans="1:16" ht="23.25">
      <c r="A14" s="124" t="s">
        <v>294</v>
      </c>
      <c r="B14" s="125">
        <v>0</v>
      </c>
      <c r="C14" s="129"/>
    </row>
    <row r="15" spans="1:16" ht="39.75" customHeight="1">
      <c r="A15" s="124" t="s">
        <v>225</v>
      </c>
      <c r="B15" s="141">
        <f xml:space="preserve"> B9 + 10*LOG10(0.23*(B10/B11)) - B12</f>
        <v>52.596678446896306</v>
      </c>
      <c r="C15" s="131" t="s">
        <v>228</v>
      </c>
      <c r="E15" s="143" t="s">
        <v>305</v>
      </c>
      <c r="G15" s="144"/>
    </row>
    <row r="16" spans="1:16" ht="15" customHeight="1">
      <c r="A16" s="153" t="s">
        <v>231</v>
      </c>
      <c r="B16" s="153"/>
      <c r="C16" s="153"/>
      <c r="D16" s="153"/>
      <c r="E16" s="153"/>
    </row>
    <row r="17" spans="1:12">
      <c r="A17" s="153"/>
      <c r="B17" s="153"/>
      <c r="C17" s="153"/>
      <c r="D17" s="153"/>
      <c r="E17" s="153"/>
    </row>
    <row r="18" spans="1:12" ht="15.75">
      <c r="A18" s="123"/>
      <c r="B18" s="124" t="s">
        <v>226</v>
      </c>
      <c r="C18" s="124" t="s">
        <v>227</v>
      </c>
    </row>
    <row r="19" spans="1:12" ht="44.25" customHeight="1">
      <c r="A19" s="134" t="s">
        <v>233</v>
      </c>
      <c r="B19" s="125">
        <f xml:space="preserve"> B26+F23-F22</f>
        <v>63</v>
      </c>
      <c r="C19" s="131" t="s">
        <v>234</v>
      </c>
      <c r="D19" s="155" t="s">
        <v>290</v>
      </c>
      <c r="E19" s="156"/>
      <c r="F19" s="156"/>
      <c r="G19" s="156"/>
      <c r="H19" s="156"/>
      <c r="I19" s="156"/>
      <c r="J19" s="156"/>
      <c r="K19" s="154" t="s">
        <v>235</v>
      </c>
      <c r="L19" s="154"/>
    </row>
    <row r="20" spans="1:12" ht="23.25">
      <c r="A20" s="124" t="s">
        <v>219</v>
      </c>
      <c r="B20" s="125">
        <v>12</v>
      </c>
      <c r="C20" s="129"/>
      <c r="D20" s="157"/>
      <c r="E20" s="156"/>
      <c r="F20" s="156"/>
      <c r="G20" s="156"/>
      <c r="H20" s="156"/>
      <c r="I20" s="156"/>
      <c r="J20" s="156"/>
    </row>
    <row r="21" spans="1:12" ht="23.25">
      <c r="A21" s="124" t="s">
        <v>220</v>
      </c>
      <c r="B21" s="125">
        <v>6</v>
      </c>
      <c r="C21" s="129"/>
      <c r="D21" s="157"/>
      <c r="E21" s="156"/>
      <c r="F21" s="156"/>
      <c r="G21" s="156"/>
      <c r="H21" s="156"/>
      <c r="I21" s="156"/>
      <c r="J21" s="156"/>
    </row>
    <row r="22" spans="1:12" ht="23.25">
      <c r="A22" s="124" t="s">
        <v>221</v>
      </c>
      <c r="B22" s="140">
        <f xml:space="preserve"> 5 - B23 + (B24/10)</f>
        <v>5.4</v>
      </c>
      <c r="C22" s="131" t="s">
        <v>229</v>
      </c>
      <c r="E22" s="124" t="s">
        <v>262</v>
      </c>
      <c r="F22" s="129">
        <v>-4</v>
      </c>
    </row>
    <row r="23" spans="1:12" ht="23.25">
      <c r="A23" s="124" t="s">
        <v>222</v>
      </c>
      <c r="B23" s="125">
        <v>1</v>
      </c>
      <c r="C23" s="129"/>
      <c r="E23" s="124" t="s">
        <v>263</v>
      </c>
      <c r="F23" s="129">
        <v>5</v>
      </c>
    </row>
    <row r="24" spans="1:12" ht="23.25">
      <c r="A24" s="124" t="s">
        <v>294</v>
      </c>
      <c r="B24" s="125">
        <v>14</v>
      </c>
      <c r="C24" s="129"/>
    </row>
    <row r="25" spans="1:12" ht="23.25">
      <c r="A25" s="124" t="s">
        <v>225</v>
      </c>
      <c r="B25" s="141">
        <f xml:space="preserve"> B19 + 10*LOG10(0.23*(B20/B21)) - B22</f>
        <v>54.227578316815745</v>
      </c>
      <c r="C25" s="131" t="s">
        <v>232</v>
      </c>
      <c r="D25" s="158"/>
      <c r="E25" s="159"/>
      <c r="F25" s="159"/>
      <c r="G25" s="159"/>
      <c r="H25" s="159"/>
      <c r="I25" s="159"/>
      <c r="J25" s="159"/>
    </row>
    <row r="26" spans="1:12" ht="40.5" customHeight="1">
      <c r="A26" s="135" t="s">
        <v>261</v>
      </c>
      <c r="B26" s="125">
        <v>54</v>
      </c>
      <c r="C26" s="129"/>
    </row>
    <row r="27" spans="1:12" ht="15" customHeight="1">
      <c r="A27" s="166" t="s">
        <v>236</v>
      </c>
      <c r="B27" s="154" t="s">
        <v>237</v>
      </c>
      <c r="C27" s="154"/>
      <c r="D27" s="154"/>
      <c r="E27" s="154"/>
      <c r="F27" s="154"/>
    </row>
    <row r="28" spans="1:12">
      <c r="A28" s="166"/>
      <c r="B28" s="154"/>
      <c r="C28" s="154"/>
      <c r="D28" s="154"/>
      <c r="E28" s="154"/>
      <c r="F28" s="154"/>
    </row>
    <row r="29" spans="1:12" ht="15" customHeight="1">
      <c r="A29" s="166"/>
      <c r="B29" s="160" t="s">
        <v>242</v>
      </c>
      <c r="C29" s="160"/>
      <c r="D29" s="160"/>
      <c r="E29" s="160"/>
      <c r="F29" s="160"/>
    </row>
    <row r="30" spans="1:12">
      <c r="A30" s="166"/>
      <c r="B30" s="160"/>
      <c r="C30" s="160"/>
      <c r="D30" s="160"/>
      <c r="E30" s="160"/>
      <c r="F30" s="160"/>
    </row>
    <row r="31" spans="1:12">
      <c r="A31" s="166"/>
      <c r="B31" s="160"/>
      <c r="C31" s="160"/>
      <c r="D31" s="160"/>
      <c r="E31" s="160"/>
      <c r="F31" s="160"/>
    </row>
    <row r="32" spans="1:12">
      <c r="A32" s="166"/>
      <c r="B32" s="160"/>
      <c r="C32" s="160"/>
      <c r="D32" s="160"/>
      <c r="E32" s="160"/>
      <c r="F32" s="160"/>
    </row>
    <row r="33" spans="1:6">
      <c r="A33" s="166"/>
      <c r="B33" s="160"/>
      <c r="C33" s="160"/>
      <c r="D33" s="160"/>
      <c r="E33" s="160"/>
      <c r="F33" s="160"/>
    </row>
    <row r="34" spans="1:6">
      <c r="A34" s="166"/>
    </row>
    <row r="35" spans="1:6">
      <c r="A35" s="166"/>
    </row>
    <row r="36" spans="1:6">
      <c r="A36" s="166"/>
    </row>
    <row r="37" spans="1:6">
      <c r="A37" s="166"/>
    </row>
    <row r="38" spans="1:6">
      <c r="A38" s="166"/>
    </row>
    <row r="39" spans="1:6">
      <c r="A39" s="166"/>
    </row>
    <row r="40" spans="1:6">
      <c r="A40" s="166"/>
    </row>
    <row r="41" spans="1:6">
      <c r="A41" s="166"/>
    </row>
    <row r="42" spans="1:6">
      <c r="A42" s="166"/>
    </row>
    <row r="43" spans="1:6">
      <c r="A43" s="166"/>
    </row>
    <row r="44" spans="1:6">
      <c r="A44" s="166"/>
    </row>
    <row r="45" spans="1:6">
      <c r="A45" s="166"/>
    </row>
    <row r="46" spans="1:6">
      <c r="A46" s="166"/>
    </row>
    <row r="47" spans="1:6">
      <c r="A47" s="166"/>
    </row>
    <row r="48" spans="1:6">
      <c r="A48" s="166"/>
    </row>
    <row r="49" spans="1:6">
      <c r="A49" s="166"/>
    </row>
    <row r="50" spans="1:6">
      <c r="A50" s="166"/>
    </row>
    <row r="51" spans="1:6">
      <c r="A51" s="166"/>
      <c r="B51" s="167" t="s">
        <v>244</v>
      </c>
      <c r="C51" s="159"/>
      <c r="D51" s="159"/>
      <c r="E51" s="159"/>
      <c r="F51" s="159"/>
    </row>
    <row r="52" spans="1:6">
      <c r="A52" s="166"/>
      <c r="B52" s="159"/>
      <c r="C52" s="159"/>
      <c r="D52" s="159"/>
      <c r="E52" s="159"/>
      <c r="F52" s="159"/>
    </row>
    <row r="53" spans="1:6">
      <c r="A53" s="166"/>
    </row>
    <row r="54" spans="1:6" ht="15.75">
      <c r="A54" s="166"/>
      <c r="B54" s="124" t="s">
        <v>240</v>
      </c>
      <c r="C54" s="124" t="s">
        <v>226</v>
      </c>
    </row>
    <row r="55" spans="1:6" ht="23.25">
      <c r="A55" s="166"/>
      <c r="B55" s="124" t="s">
        <v>238</v>
      </c>
      <c r="C55" s="125">
        <v>2.5</v>
      </c>
    </row>
    <row r="56" spans="1:6" ht="23.25">
      <c r="A56" s="166"/>
      <c r="B56" s="124" t="s">
        <v>239</v>
      </c>
      <c r="C56" s="140">
        <f>B24/C55</f>
        <v>5.6</v>
      </c>
    </row>
    <row r="57" spans="1:6" ht="15" customHeight="1">
      <c r="A57" s="166" t="s">
        <v>241</v>
      </c>
    </row>
    <row r="58" spans="1:6">
      <c r="A58" s="166"/>
      <c r="B58" s="165" t="s">
        <v>243</v>
      </c>
      <c r="C58" s="165"/>
      <c r="D58" s="165"/>
      <c r="E58" s="165"/>
      <c r="F58" s="165"/>
    </row>
    <row r="59" spans="1:6">
      <c r="A59" s="166"/>
      <c r="B59" s="165"/>
      <c r="C59" s="165"/>
      <c r="D59" s="165"/>
      <c r="E59" s="165"/>
      <c r="F59" s="165"/>
    </row>
    <row r="60" spans="1:6">
      <c r="A60" s="166"/>
      <c r="B60" s="165"/>
      <c r="C60" s="165"/>
      <c r="D60" s="165"/>
      <c r="E60" s="165"/>
      <c r="F60" s="165"/>
    </row>
    <row r="61" spans="1:6">
      <c r="A61" s="166"/>
      <c r="B61" s="154" t="s">
        <v>245</v>
      </c>
      <c r="C61" s="154"/>
      <c r="D61" s="154"/>
      <c r="E61" s="154"/>
      <c r="F61" s="154"/>
    </row>
    <row r="62" spans="1:6">
      <c r="A62" s="166"/>
      <c r="B62" s="154"/>
      <c r="C62" s="154"/>
      <c r="D62" s="154"/>
      <c r="E62" s="154"/>
      <c r="F62" s="154"/>
    </row>
    <row r="63" spans="1:6">
      <c r="A63" s="166"/>
      <c r="B63" s="153" t="s">
        <v>248</v>
      </c>
      <c r="C63" s="153"/>
      <c r="D63" s="153"/>
      <c r="E63" s="153"/>
    </row>
    <row r="64" spans="1:6">
      <c r="A64" s="166"/>
      <c r="B64" s="153"/>
      <c r="C64" s="153"/>
      <c r="D64" s="153"/>
      <c r="E64" s="153"/>
    </row>
    <row r="65" spans="1:8">
      <c r="A65" s="166"/>
      <c r="B65" s="168" t="s">
        <v>249</v>
      </c>
      <c r="C65" s="168"/>
      <c r="D65" s="168"/>
      <c r="E65" s="168"/>
    </row>
    <row r="66" spans="1:8">
      <c r="A66" s="166"/>
      <c r="B66" s="168"/>
      <c r="C66" s="168"/>
      <c r="D66" s="168"/>
      <c r="E66" s="168"/>
    </row>
    <row r="67" spans="1:8">
      <c r="A67" s="166"/>
    </row>
    <row r="68" spans="1:8">
      <c r="A68" s="166"/>
      <c r="C68" s="120"/>
      <c r="D68" s="152" t="s">
        <v>251</v>
      </c>
      <c r="E68" s="165"/>
      <c r="F68" s="165"/>
      <c r="G68" s="165"/>
      <c r="H68" s="165"/>
    </row>
    <row r="69" spans="1:8">
      <c r="A69" s="166"/>
      <c r="C69" s="120"/>
      <c r="D69" s="165"/>
      <c r="E69" s="165"/>
      <c r="F69" s="165"/>
      <c r="G69" s="165"/>
      <c r="H69" s="165"/>
    </row>
    <row r="70" spans="1:8">
      <c r="A70" s="166"/>
      <c r="C70" s="120"/>
      <c r="D70" s="165"/>
      <c r="E70" s="165"/>
      <c r="F70" s="165"/>
      <c r="G70" s="165"/>
      <c r="H70" s="165"/>
    </row>
    <row r="71" spans="1:8">
      <c r="A71" s="166"/>
      <c r="C71" s="120"/>
      <c r="D71" s="165"/>
      <c r="E71" s="165"/>
      <c r="F71" s="165"/>
      <c r="G71" s="165"/>
      <c r="H71" s="165"/>
    </row>
    <row r="72" spans="1:8">
      <c r="A72" s="166"/>
      <c r="C72" s="120"/>
      <c r="D72" s="165"/>
      <c r="E72" s="165"/>
      <c r="F72" s="165"/>
      <c r="G72" s="165"/>
      <c r="H72" s="165"/>
    </row>
    <row r="73" spans="1:8">
      <c r="A73" s="166"/>
      <c r="C73" s="120"/>
      <c r="D73" s="165"/>
      <c r="E73" s="165"/>
      <c r="F73" s="165"/>
      <c r="G73" s="165"/>
      <c r="H73" s="165"/>
    </row>
    <row r="74" spans="1:8">
      <c r="A74" s="166"/>
      <c r="D74" s="165"/>
      <c r="E74" s="165"/>
      <c r="F74" s="165"/>
      <c r="G74" s="165"/>
      <c r="H74" s="165"/>
    </row>
    <row r="75" spans="1:8">
      <c r="A75" s="166"/>
      <c r="D75" s="165"/>
      <c r="E75" s="165"/>
      <c r="F75" s="165"/>
      <c r="G75" s="165"/>
      <c r="H75" s="165"/>
    </row>
    <row r="76" spans="1:8">
      <c r="A76" s="166"/>
      <c r="D76" s="165"/>
      <c r="E76" s="165"/>
      <c r="F76" s="165"/>
      <c r="G76" s="165"/>
      <c r="H76" s="165"/>
    </row>
    <row r="77" spans="1:8">
      <c r="A77" s="166"/>
    </row>
    <row r="78" spans="1:8">
      <c r="A78" s="166"/>
      <c r="B78" s="168" t="s">
        <v>250</v>
      </c>
      <c r="C78" s="168"/>
      <c r="D78" s="168"/>
      <c r="E78" s="168"/>
    </row>
    <row r="79" spans="1:8">
      <c r="A79" s="166"/>
      <c r="B79" s="168"/>
      <c r="C79" s="168"/>
      <c r="D79" s="168"/>
      <c r="E79" s="168"/>
    </row>
    <row r="80" spans="1:8">
      <c r="A80" s="166"/>
    </row>
    <row r="81" spans="1:7">
      <c r="A81" s="166"/>
    </row>
    <row r="82" spans="1:7">
      <c r="A82" s="166"/>
    </row>
    <row r="83" spans="1:7">
      <c r="A83" s="166"/>
    </row>
    <row r="84" spans="1:7">
      <c r="A84" s="166"/>
    </row>
    <row r="85" spans="1:7">
      <c r="A85" s="166"/>
    </row>
    <row r="86" spans="1:7">
      <c r="A86" s="166"/>
    </row>
    <row r="87" spans="1:7">
      <c r="A87" s="166"/>
    </row>
    <row r="88" spans="1:7">
      <c r="A88" s="166"/>
    </row>
    <row r="89" spans="1:7">
      <c r="A89" s="166"/>
    </row>
    <row r="90" spans="1:7">
      <c r="A90" s="166"/>
    </row>
    <row r="91" spans="1:7">
      <c r="A91" s="166"/>
    </row>
    <row r="92" spans="1:7">
      <c r="A92" s="166"/>
    </row>
    <row r="93" spans="1:7" ht="15" customHeight="1">
      <c r="A93" s="166" t="s">
        <v>259</v>
      </c>
      <c r="B93" s="168" t="s">
        <v>252</v>
      </c>
      <c r="C93" s="168"/>
      <c r="D93" s="168"/>
      <c r="E93" s="168"/>
      <c r="F93" s="168"/>
    </row>
    <row r="94" spans="1:7">
      <c r="A94" s="166"/>
      <c r="B94" s="168"/>
      <c r="C94" s="168"/>
      <c r="D94" s="168"/>
      <c r="E94" s="168"/>
      <c r="F94" s="168"/>
    </row>
    <row r="95" spans="1:7">
      <c r="A95" s="166"/>
      <c r="B95" s="136" t="s">
        <v>253</v>
      </c>
    </row>
    <row r="96" spans="1:7">
      <c r="A96" s="166"/>
      <c r="B96" s="154" t="s">
        <v>254</v>
      </c>
      <c r="C96" s="154"/>
      <c r="D96" s="154"/>
      <c r="E96" s="154"/>
      <c r="F96" s="154"/>
      <c r="G96" s="154"/>
    </row>
    <row r="97" spans="1:7">
      <c r="A97" s="166"/>
      <c r="B97" s="154"/>
      <c r="C97" s="154"/>
      <c r="D97" s="154"/>
      <c r="E97" s="154"/>
      <c r="F97" s="154"/>
      <c r="G97" s="154"/>
    </row>
    <row r="98" spans="1:7">
      <c r="A98" s="166"/>
    </row>
    <row r="99" spans="1:7">
      <c r="A99" s="166"/>
    </row>
    <row r="100" spans="1:7">
      <c r="A100" s="166"/>
    </row>
    <row r="101" spans="1:7">
      <c r="A101" s="166"/>
    </row>
    <row r="102" spans="1:7">
      <c r="A102" s="166"/>
    </row>
    <row r="103" spans="1:7">
      <c r="A103" s="166"/>
    </row>
    <row r="104" spans="1:7">
      <c r="A104" s="166"/>
    </row>
    <row r="105" spans="1:7">
      <c r="A105" s="166"/>
    </row>
    <row r="106" spans="1:7">
      <c r="A106" s="166"/>
    </row>
    <row r="107" spans="1:7">
      <c r="A107" s="166"/>
    </row>
    <row r="108" spans="1:7">
      <c r="A108" s="166"/>
    </row>
    <row r="109" spans="1:7">
      <c r="A109" s="166"/>
    </row>
    <row r="110" spans="1:7">
      <c r="A110" s="166"/>
    </row>
    <row r="111" spans="1:7">
      <c r="A111" s="166"/>
    </row>
    <row r="112" spans="1:7">
      <c r="A112" s="166"/>
    </row>
    <row r="113" spans="1:4">
      <c r="A113" s="166"/>
    </row>
    <row r="114" spans="1:4">
      <c r="A114" s="166"/>
    </row>
    <row r="115" spans="1:4">
      <c r="A115" s="166"/>
    </row>
    <row r="116" spans="1:4">
      <c r="A116" s="166"/>
    </row>
    <row r="117" spans="1:4">
      <c r="A117" s="166"/>
    </row>
    <row r="118" spans="1:4">
      <c r="A118" s="166"/>
    </row>
    <row r="119" spans="1:4">
      <c r="A119" s="166"/>
    </row>
    <row r="120" spans="1:4">
      <c r="A120" s="166"/>
    </row>
    <row r="121" spans="1:4">
      <c r="A121" s="166"/>
    </row>
    <row r="122" spans="1:4">
      <c r="A122" s="166"/>
      <c r="B122" s="137" t="s">
        <v>255</v>
      </c>
    </row>
    <row r="123" spans="1:4">
      <c r="A123" s="166"/>
      <c r="B123" s="154" t="s">
        <v>256</v>
      </c>
      <c r="C123" s="154"/>
      <c r="D123" s="154"/>
    </row>
    <row r="124" spans="1:4">
      <c r="A124" s="166"/>
      <c r="B124" s="154"/>
      <c r="C124" s="154"/>
      <c r="D124" s="154"/>
    </row>
    <row r="125" spans="1:4">
      <c r="A125" s="166"/>
    </row>
    <row r="126" spans="1:4">
      <c r="A126" s="166"/>
    </row>
    <row r="127" spans="1:4">
      <c r="A127" s="166"/>
    </row>
    <row r="128" spans="1:4">
      <c r="A128" s="166"/>
    </row>
    <row r="129" spans="1:4">
      <c r="A129" s="166"/>
    </row>
    <row r="130" spans="1:4">
      <c r="A130" s="166"/>
    </row>
    <row r="131" spans="1:4">
      <c r="A131" s="166"/>
    </row>
    <row r="132" spans="1:4">
      <c r="A132" s="166"/>
    </row>
    <row r="133" spans="1:4">
      <c r="A133" s="166"/>
      <c r="B133" s="136" t="s">
        <v>257</v>
      </c>
    </row>
    <row r="134" spans="1:4">
      <c r="A134" s="166"/>
      <c r="B134" s="165" t="s">
        <v>258</v>
      </c>
      <c r="C134" s="154"/>
      <c r="D134" s="154"/>
    </row>
    <row r="135" spans="1:4">
      <c r="A135" s="166"/>
      <c r="B135" s="154"/>
      <c r="C135" s="154"/>
      <c r="D135" s="154"/>
    </row>
    <row r="136" spans="1:4">
      <c r="A136" s="166"/>
    </row>
    <row r="137" spans="1:4">
      <c r="A137" s="166"/>
    </row>
    <row r="138" spans="1:4">
      <c r="A138" s="166"/>
    </row>
    <row r="139" spans="1:4">
      <c r="A139" s="166"/>
    </row>
    <row r="140" spans="1:4">
      <c r="A140" s="166"/>
    </row>
    <row r="141" spans="1:4">
      <c r="A141" s="166"/>
    </row>
    <row r="142" spans="1:4">
      <c r="A142" s="166"/>
    </row>
    <row r="143" spans="1:4">
      <c r="A143" s="166"/>
    </row>
    <row r="144" spans="1:4">
      <c r="A144" s="166"/>
    </row>
    <row r="145" spans="1:3">
      <c r="A145" s="166"/>
    </row>
    <row r="146" spans="1:3">
      <c r="A146" s="166"/>
    </row>
    <row r="148" spans="1:3">
      <c r="B148" s="154" t="s">
        <v>260</v>
      </c>
      <c r="C148" s="154"/>
    </row>
    <row r="149" spans="1:3">
      <c r="B149" s="154"/>
      <c r="C149" s="154"/>
    </row>
    <row r="150" spans="1:3">
      <c r="B150" s="154"/>
      <c r="C150" s="154"/>
    </row>
    <row r="151" spans="1:3">
      <c r="B151" s="154"/>
      <c r="C151" s="154"/>
    </row>
    <row r="152" spans="1:3">
      <c r="A152" s="151" t="s">
        <v>264</v>
      </c>
      <c r="B152" s="151"/>
      <c r="C152" s="151"/>
    </row>
    <row r="153" spans="1:3">
      <c r="A153" s="151"/>
      <c r="B153" s="151"/>
      <c r="C153" s="151"/>
    </row>
    <row r="154" spans="1:3" ht="15.75">
      <c r="A154" s="123"/>
      <c r="B154" s="124" t="s">
        <v>226</v>
      </c>
      <c r="C154" s="124" t="s">
        <v>227</v>
      </c>
    </row>
    <row r="155" spans="1:3" ht="30">
      <c r="A155" s="124" t="s">
        <v>218</v>
      </c>
      <c r="B155" s="125">
        <v>50</v>
      </c>
      <c r="C155" s="138" t="s">
        <v>266</v>
      </c>
    </row>
    <row r="156" spans="1:3" ht="23.25">
      <c r="A156" s="124" t="s">
        <v>219</v>
      </c>
      <c r="B156" s="125">
        <v>12</v>
      </c>
      <c r="C156" s="129"/>
    </row>
    <row r="157" spans="1:3" ht="23.25">
      <c r="A157" s="124" t="s">
        <v>220</v>
      </c>
      <c r="B157" s="125">
        <v>6</v>
      </c>
      <c r="C157" s="129"/>
    </row>
    <row r="158" spans="1:3" ht="120">
      <c r="A158" s="124" t="s">
        <v>221</v>
      </c>
      <c r="B158" s="125">
        <v>3</v>
      </c>
      <c r="C158" s="139" t="s">
        <v>265</v>
      </c>
    </row>
    <row r="159" spans="1:3">
      <c r="A159" s="161" t="s">
        <v>225</v>
      </c>
      <c r="B159" s="163">
        <f xml:space="preserve"> B155 + 10*LOG10(0.23*(B156/B157)) - B158</f>
        <v>43.627578316815743</v>
      </c>
      <c r="C159" s="164" t="s">
        <v>228</v>
      </c>
    </row>
    <row r="160" spans="1:3">
      <c r="A160" s="162"/>
      <c r="B160" s="163"/>
      <c r="C160" s="164"/>
    </row>
    <row r="162" spans="1:3">
      <c r="A162" s="165" t="s">
        <v>267</v>
      </c>
      <c r="B162" s="165"/>
      <c r="C162" s="165"/>
    </row>
    <row r="163" spans="1:3">
      <c r="A163" s="165"/>
      <c r="B163" s="165"/>
      <c r="C163" s="165"/>
    </row>
    <row r="164" spans="1:3">
      <c r="A164" s="165"/>
      <c r="B164" s="165"/>
      <c r="C164" s="165"/>
    </row>
    <row r="165" spans="1:3">
      <c r="A165" s="165"/>
      <c r="B165" s="165"/>
      <c r="C165" s="165"/>
    </row>
    <row r="166" spans="1:3">
      <c r="A166" s="165"/>
      <c r="B166" s="165"/>
      <c r="C166" s="165"/>
    </row>
    <row r="167" spans="1:3">
      <c r="A167" s="165"/>
      <c r="B167" s="165"/>
      <c r="C167" s="165"/>
    </row>
  </sheetData>
  <mergeCells count="31">
    <mergeCell ref="A162:C167"/>
    <mergeCell ref="B134:D135"/>
    <mergeCell ref="A93:A146"/>
    <mergeCell ref="B148:C151"/>
    <mergeCell ref="B51:F52"/>
    <mergeCell ref="A27:A56"/>
    <mergeCell ref="B58:F60"/>
    <mergeCell ref="B61:F62"/>
    <mergeCell ref="B93:E94"/>
    <mergeCell ref="F93:F94"/>
    <mergeCell ref="B65:E66"/>
    <mergeCell ref="B63:E64"/>
    <mergeCell ref="B78:E79"/>
    <mergeCell ref="A57:A92"/>
    <mergeCell ref="D68:H76"/>
    <mergeCell ref="A152:C153"/>
    <mergeCell ref="A159:A160"/>
    <mergeCell ref="B159:B160"/>
    <mergeCell ref="C159:C160"/>
    <mergeCell ref="B96:G97"/>
    <mergeCell ref="B123:D124"/>
    <mergeCell ref="K19:L19"/>
    <mergeCell ref="D19:J21"/>
    <mergeCell ref="D25:J25"/>
    <mergeCell ref="B27:F28"/>
    <mergeCell ref="B29:F33"/>
    <mergeCell ref="A1:G2"/>
    <mergeCell ref="A4:E5"/>
    <mergeCell ref="J4:O6"/>
    <mergeCell ref="A6:E7"/>
    <mergeCell ref="A16:E17"/>
  </mergeCells>
  <dataValidations count="8">
    <dataValidation type="list" allowBlank="1" showInputMessage="1" showErrorMessage="1" sqref="E11" xr:uid="{00000000-0002-0000-0000-000000000000}">
      <formula1>ListeMat</formula1>
    </dataValidation>
    <dataValidation type="list" allowBlank="1" showInputMessage="1" showErrorMessage="1" sqref="E12" xr:uid="{00000000-0002-0000-0000-000001000000}">
      <formula1>Listépai</formula1>
    </dataValidation>
    <dataValidation type="list" allowBlank="1" showInputMessage="1" showErrorMessage="1" sqref="G12" xr:uid="{00000000-0002-0000-0000-000002000000}">
      <formula1>béton</formula1>
    </dataValidation>
    <dataValidation type="list" allowBlank="1" showInputMessage="1" showErrorMessage="1" sqref="G13" xr:uid="{00000000-0002-0000-0000-000003000000}">
      <formula1>dalle_alvéolée</formula1>
    </dataValidation>
    <dataValidation type="list" allowBlank="1" showInputMessage="1" showErrorMessage="1" sqref="G14" xr:uid="{00000000-0002-0000-0000-000004000000}">
      <formula1>blocsdebétoncellulaire</formula1>
    </dataValidation>
    <dataValidation type="list" allowBlank="1" showInputMessage="1" showErrorMessage="1" sqref="G15" xr:uid="{00000000-0002-0000-0000-000005000000}">
      <formula1>blocsbétoncreux</formula1>
    </dataValidation>
    <dataValidation type="list" allowBlank="1" showInputMessage="1" showErrorMessage="1" sqref="G16" xr:uid="{00000000-0002-0000-0000-000006000000}">
      <formula1>Blocsdebétonpleins</formula1>
    </dataValidation>
    <dataValidation type="list" allowBlank="1" showInputMessage="1" showErrorMessage="1" sqref="G11" xr:uid="{00000000-0002-0000-0000-000007000000}">
      <formula1>liste</formula1>
    </dataValidation>
  </dataValidations>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46"/>
  <sheetViews>
    <sheetView topLeftCell="A7" zoomScale="70" zoomScaleNormal="70" workbookViewId="0">
      <selection activeCell="B43" sqref="B43"/>
    </sheetView>
  </sheetViews>
  <sheetFormatPr baseColWidth="10" defaultRowHeight="15"/>
  <cols>
    <col min="1" max="1" width="32.28515625" customWidth="1"/>
    <col min="2" max="2" width="27.85546875" customWidth="1"/>
    <col min="3" max="3" width="26.42578125" customWidth="1"/>
  </cols>
  <sheetData>
    <row r="1" spans="1:3">
      <c r="A1" s="84" t="s">
        <v>59</v>
      </c>
      <c r="B1" s="169" t="s">
        <v>246</v>
      </c>
      <c r="C1" s="169"/>
    </row>
    <row r="2" spans="1:3" ht="16.5">
      <c r="A2" s="85"/>
      <c r="B2" s="86"/>
      <c r="C2" s="86"/>
    </row>
    <row r="3" spans="1:3" ht="16.5">
      <c r="A3" s="84" t="s">
        <v>61</v>
      </c>
      <c r="B3" s="87">
        <v>38</v>
      </c>
      <c r="C3" s="88" t="s">
        <v>0</v>
      </c>
    </row>
    <row r="4" spans="1:3" ht="16.5">
      <c r="A4" s="85"/>
      <c r="B4" s="86"/>
      <c r="C4" s="86"/>
    </row>
    <row r="5" spans="1:3">
      <c r="A5" s="170" t="s">
        <v>62</v>
      </c>
      <c r="B5" s="170"/>
      <c r="C5" s="170"/>
    </row>
    <row r="6" spans="1:3" ht="16.5">
      <c r="A6" s="85"/>
      <c r="B6" s="86"/>
      <c r="C6" s="86"/>
    </row>
    <row r="7" spans="1:3" ht="16.5">
      <c r="A7" s="89" t="s">
        <v>63</v>
      </c>
      <c r="B7" s="90">
        <v>52.75</v>
      </c>
      <c r="C7" s="91" t="s">
        <v>64</v>
      </c>
    </row>
    <row r="8" spans="1:3" ht="16.5">
      <c r="A8" s="85"/>
      <c r="B8" s="86"/>
      <c r="C8" s="86"/>
    </row>
    <row r="9" spans="1:3" ht="18.75">
      <c r="A9" s="92" t="s">
        <v>65</v>
      </c>
      <c r="B9" s="93" t="s">
        <v>66</v>
      </c>
      <c r="C9" s="93" t="s">
        <v>67</v>
      </c>
    </row>
    <row r="10" spans="1:3" ht="16.5">
      <c r="A10" s="85" t="s">
        <v>68</v>
      </c>
      <c r="B10" s="86">
        <v>2.5499999999999998</v>
      </c>
      <c r="C10" s="94">
        <v>52</v>
      </c>
    </row>
    <row r="11" spans="1:3" ht="16.5">
      <c r="A11" s="85" t="s">
        <v>69</v>
      </c>
      <c r="B11" s="86">
        <v>6.6</v>
      </c>
      <c r="C11" s="94">
        <v>36</v>
      </c>
    </row>
    <row r="12" spans="1:3" ht="16.5">
      <c r="A12" s="85" t="s">
        <v>70</v>
      </c>
      <c r="B12" s="86">
        <v>0</v>
      </c>
      <c r="C12" s="94">
        <v>0</v>
      </c>
    </row>
    <row r="13" spans="1:3" ht="16.5">
      <c r="A13" s="85" t="s">
        <v>71</v>
      </c>
      <c r="B13" s="86">
        <v>0</v>
      </c>
      <c r="C13" s="94">
        <v>0</v>
      </c>
    </row>
    <row r="14" spans="1:3" ht="16.5">
      <c r="A14" s="95" t="s">
        <v>72</v>
      </c>
      <c r="B14" s="96">
        <v>0</v>
      </c>
      <c r="C14" s="97">
        <v>0</v>
      </c>
    </row>
    <row r="15" spans="1:3" ht="16.5">
      <c r="A15" s="95" t="s">
        <v>73</v>
      </c>
      <c r="B15" s="96">
        <v>0</v>
      </c>
      <c r="C15" s="97">
        <v>55</v>
      </c>
    </row>
    <row r="16" spans="1:3" ht="16.5">
      <c r="A16" s="95" t="s">
        <v>74</v>
      </c>
      <c r="B16" s="96">
        <v>0</v>
      </c>
      <c r="C16" s="97">
        <v>61</v>
      </c>
    </row>
    <row r="17" spans="1:15" ht="16.5">
      <c r="A17" s="95" t="s">
        <v>75</v>
      </c>
      <c r="B17" s="96">
        <v>0</v>
      </c>
      <c r="C17" s="97">
        <v>0</v>
      </c>
    </row>
    <row r="18" spans="1:15" ht="16.5">
      <c r="A18" s="85"/>
      <c r="B18" s="86"/>
      <c r="C18" s="86"/>
    </row>
    <row r="19" spans="1:15" ht="16.5">
      <c r="A19" s="98" t="s">
        <v>76</v>
      </c>
      <c r="B19" s="86"/>
      <c r="C19" s="86" t="s">
        <v>247</v>
      </c>
    </row>
    <row r="20" spans="1:15" ht="16.5">
      <c r="A20" s="85" t="s">
        <v>77</v>
      </c>
      <c r="B20" s="94">
        <v>1</v>
      </c>
      <c r="C20" s="94">
        <v>39</v>
      </c>
    </row>
    <row r="21" spans="1:15" ht="16.5">
      <c r="A21" s="85" t="s">
        <v>78</v>
      </c>
      <c r="B21" s="86">
        <f>(0.9/1.4)*2</f>
        <v>1.2857142857142858</v>
      </c>
      <c r="C21" s="94">
        <v>45</v>
      </c>
    </row>
    <row r="22" spans="1:15" ht="16.5">
      <c r="A22" s="85"/>
      <c r="B22" s="86"/>
      <c r="C22" s="86"/>
    </row>
    <row r="23" spans="1:15">
      <c r="A23" s="170" t="s">
        <v>79</v>
      </c>
      <c r="B23" s="170"/>
      <c r="C23" s="170"/>
    </row>
    <row r="24" spans="1:15" ht="16.5">
      <c r="A24" s="85"/>
      <c r="B24" s="86"/>
      <c r="C24" s="86"/>
      <c r="D24" s="177" t="s">
        <v>296</v>
      </c>
      <c r="E24" s="174"/>
      <c r="F24" s="174"/>
      <c r="G24" s="174"/>
      <c r="H24" s="174"/>
      <c r="I24" s="174"/>
      <c r="J24" s="174"/>
      <c r="K24" s="174"/>
      <c r="L24" s="174"/>
    </row>
    <row r="25" spans="1:15" ht="16.5">
      <c r="A25" s="98" t="s">
        <v>80</v>
      </c>
      <c r="B25" s="86"/>
      <c r="C25" s="86"/>
      <c r="D25" s="174"/>
      <c r="E25" s="174"/>
      <c r="F25" s="174"/>
      <c r="G25" s="174"/>
      <c r="H25" s="174"/>
      <c r="I25" s="174"/>
      <c r="J25" s="174"/>
      <c r="K25" s="174"/>
      <c r="L25" s="174"/>
    </row>
    <row r="26" spans="1:15" ht="16.5" customHeight="1">
      <c r="A26" s="85" t="s">
        <v>81</v>
      </c>
      <c r="B26" s="106">
        <f>POWER(10,6)*B10*POWER(10,-0.1*C10)</f>
        <v>16.089412284244897</v>
      </c>
      <c r="C26" s="91" t="s">
        <v>82</v>
      </c>
      <c r="D26" s="178" t="s">
        <v>298</v>
      </c>
      <c r="E26" s="178"/>
      <c r="F26" s="178"/>
      <c r="G26" s="178"/>
      <c r="H26" s="178"/>
      <c r="I26" s="178"/>
      <c r="J26" s="178"/>
      <c r="K26" s="178"/>
      <c r="L26" s="178"/>
      <c r="M26" s="178"/>
      <c r="N26" s="178"/>
      <c r="O26" s="178"/>
    </row>
    <row r="27" spans="1:15" ht="16.5">
      <c r="A27" s="85" t="s">
        <v>69</v>
      </c>
      <c r="B27" s="90">
        <f>POWER(10,6)*B11*POWER(10,-0.1*C11)</f>
        <v>1657.845044796321</v>
      </c>
      <c r="C27" s="91" t="s">
        <v>82</v>
      </c>
      <c r="D27" s="178"/>
      <c r="E27" s="178"/>
      <c r="F27" s="178"/>
      <c r="G27" s="178"/>
      <c r="H27" s="178"/>
      <c r="I27" s="178"/>
      <c r="J27" s="178"/>
      <c r="K27" s="178"/>
      <c r="L27" s="178"/>
      <c r="M27" s="178"/>
      <c r="N27" s="178"/>
      <c r="O27" s="178"/>
    </row>
    <row r="28" spans="1:15" ht="16.5" customHeight="1">
      <c r="A28" s="85" t="s">
        <v>70</v>
      </c>
      <c r="B28" s="90">
        <f>POWER(10,6)*B12*POWER(10,-0.1*C12)</f>
        <v>0</v>
      </c>
      <c r="C28" s="91" t="s">
        <v>82</v>
      </c>
      <c r="D28" s="178" t="s">
        <v>299</v>
      </c>
      <c r="E28" s="178"/>
      <c r="F28" s="178"/>
      <c r="G28" s="178"/>
      <c r="H28" s="178"/>
      <c r="I28" s="178"/>
      <c r="J28" s="178"/>
      <c r="K28" s="178"/>
      <c r="L28" s="178"/>
      <c r="M28" s="178"/>
      <c r="N28" s="178"/>
      <c r="O28" s="178"/>
    </row>
    <row r="29" spans="1:15" ht="16.5">
      <c r="A29" s="85" t="s">
        <v>83</v>
      </c>
      <c r="B29" s="90">
        <f>POWER(10,6)*B13*POWER(10,-0.1*C13)</f>
        <v>0</v>
      </c>
      <c r="C29" s="91" t="s">
        <v>82</v>
      </c>
      <c r="D29" s="178"/>
      <c r="E29" s="178"/>
      <c r="F29" s="178"/>
      <c r="G29" s="178"/>
      <c r="H29" s="178"/>
      <c r="I29" s="178"/>
      <c r="J29" s="178"/>
      <c r="K29" s="178"/>
      <c r="L29" s="178"/>
      <c r="M29" s="178"/>
      <c r="N29" s="178"/>
      <c r="O29" s="178"/>
    </row>
    <row r="30" spans="1:15" ht="16.5">
      <c r="A30" s="85"/>
      <c r="B30" s="90"/>
      <c r="C30" s="91"/>
      <c r="D30" s="178"/>
      <c r="E30" s="178"/>
      <c r="F30" s="178"/>
      <c r="G30" s="178"/>
      <c r="H30" s="178"/>
      <c r="I30" s="178"/>
      <c r="J30" s="178"/>
      <c r="K30" s="178"/>
      <c r="L30" s="178"/>
      <c r="M30" s="178"/>
      <c r="N30" s="178"/>
      <c r="O30" s="178"/>
    </row>
    <row r="31" spans="1:15" ht="16.5">
      <c r="A31" s="84" t="s">
        <v>84</v>
      </c>
      <c r="B31" s="99"/>
      <c r="C31" s="88"/>
      <c r="D31" s="177" t="s">
        <v>297</v>
      </c>
      <c r="E31" s="174"/>
      <c r="F31" s="174"/>
      <c r="G31" s="174"/>
      <c r="H31" s="174"/>
      <c r="I31" s="174"/>
      <c r="J31" s="174"/>
      <c r="K31" s="174"/>
      <c r="L31" s="174"/>
    </row>
    <row r="32" spans="1:15" ht="16.5">
      <c r="A32" s="95" t="s">
        <v>72</v>
      </c>
      <c r="B32" s="99">
        <f>POWER(10,6)*B14*POWER(10,-0.1*(C14+10))</f>
        <v>0</v>
      </c>
      <c r="C32" s="88" t="s">
        <v>82</v>
      </c>
      <c r="D32" s="174"/>
      <c r="E32" s="174"/>
      <c r="F32" s="174"/>
      <c r="G32" s="174"/>
      <c r="H32" s="174"/>
      <c r="I32" s="174"/>
      <c r="J32" s="174"/>
      <c r="K32" s="174"/>
      <c r="L32" s="174"/>
    </row>
    <row r="33" spans="1:15" ht="16.5">
      <c r="A33" s="95" t="s">
        <v>85</v>
      </c>
      <c r="B33" s="99">
        <f>POWER(10,6)*B15*POWER(10,-0.1*(C15+10))</f>
        <v>0</v>
      </c>
      <c r="C33" s="88" t="s">
        <v>82</v>
      </c>
      <c r="D33" s="175" t="s">
        <v>302</v>
      </c>
      <c r="E33" s="176"/>
      <c r="F33" s="176"/>
      <c r="G33" s="176"/>
      <c r="H33" s="176"/>
      <c r="I33" s="176"/>
      <c r="J33" s="176"/>
      <c r="K33" s="176"/>
      <c r="L33" s="176"/>
      <c r="M33" s="176"/>
      <c r="N33" s="176"/>
      <c r="O33" s="176"/>
    </row>
    <row r="34" spans="1:15" ht="16.5">
      <c r="A34" s="95" t="s">
        <v>86</v>
      </c>
      <c r="B34" s="99">
        <f>POWER(10,6)*B16*POWER(10,-0.1*(C16+10))</f>
        <v>0</v>
      </c>
      <c r="C34" s="88" t="s">
        <v>82</v>
      </c>
      <c r="D34" s="176"/>
      <c r="E34" s="176"/>
      <c r="F34" s="176"/>
      <c r="G34" s="176"/>
      <c r="H34" s="176"/>
      <c r="I34" s="176"/>
      <c r="J34" s="176"/>
      <c r="K34" s="176"/>
      <c r="L34" s="176"/>
      <c r="M34" s="176"/>
      <c r="N34" s="176"/>
      <c r="O34" s="176"/>
    </row>
    <row r="35" spans="1:15" ht="16.5">
      <c r="A35" s="95" t="s">
        <v>75</v>
      </c>
      <c r="B35" s="99">
        <f>POWER(10,6)*B17*POWER(10,-0.1*(C17+10))</f>
        <v>0</v>
      </c>
      <c r="C35" s="88" t="s">
        <v>82</v>
      </c>
      <c r="D35" s="176"/>
      <c r="E35" s="176"/>
      <c r="F35" s="176"/>
      <c r="G35" s="176"/>
      <c r="H35" s="176"/>
      <c r="I35" s="176"/>
      <c r="J35" s="176"/>
      <c r="K35" s="176"/>
      <c r="L35" s="176"/>
      <c r="M35" s="176"/>
      <c r="N35" s="176"/>
      <c r="O35" s="176"/>
    </row>
    <row r="36" spans="1:15" ht="16.5">
      <c r="A36" s="85"/>
      <c r="B36" s="90"/>
      <c r="C36" s="91"/>
      <c r="D36" s="176"/>
      <c r="E36" s="176"/>
      <c r="F36" s="176"/>
      <c r="G36" s="176"/>
      <c r="H36" s="176"/>
      <c r="I36" s="176"/>
      <c r="J36" s="176"/>
      <c r="K36" s="176"/>
      <c r="L36" s="176"/>
      <c r="M36" s="176"/>
      <c r="N36" s="176"/>
      <c r="O36" s="176"/>
    </row>
    <row r="37" spans="1:15" ht="16.5">
      <c r="A37" s="98" t="s">
        <v>87</v>
      </c>
      <c r="B37" s="90"/>
      <c r="C37" s="91"/>
      <c r="D37" s="173" t="s">
        <v>301</v>
      </c>
      <c r="E37" s="174"/>
      <c r="F37" s="174"/>
      <c r="G37" s="174"/>
      <c r="H37" s="174"/>
      <c r="I37" s="174"/>
      <c r="J37" s="174"/>
      <c r="K37" s="174"/>
      <c r="L37" s="174"/>
      <c r="M37" s="174"/>
    </row>
    <row r="38" spans="1:15" ht="16.5">
      <c r="A38" s="85" t="s">
        <v>88</v>
      </c>
      <c r="B38" s="90">
        <f>POWER(10,6)/POWER(10,0.1*(C20-10))*B20</f>
        <v>1258.9254117941653</v>
      </c>
      <c r="C38" s="91" t="s">
        <v>82</v>
      </c>
      <c r="D38" s="174"/>
      <c r="E38" s="174"/>
      <c r="F38" s="174"/>
      <c r="G38" s="174"/>
      <c r="H38" s="174"/>
      <c r="I38" s="174"/>
      <c r="J38" s="174"/>
      <c r="K38" s="174"/>
      <c r="L38" s="174"/>
      <c r="M38" s="174"/>
    </row>
    <row r="39" spans="1:15" ht="16.5">
      <c r="A39" s="85" t="s">
        <v>78</v>
      </c>
      <c r="B39" s="90">
        <f>POWER(10,6)/POWER(10,0.1*(C21-10))*B21</f>
        <v>406.57855630736299</v>
      </c>
      <c r="C39" s="91" t="s">
        <v>82</v>
      </c>
      <c r="D39" s="175" t="s">
        <v>303</v>
      </c>
      <c r="E39" s="176"/>
      <c r="F39" s="176"/>
      <c r="G39" s="176"/>
      <c r="H39" s="176"/>
      <c r="I39" s="176"/>
      <c r="J39" s="176"/>
      <c r="K39" s="176"/>
      <c r="L39" s="176"/>
      <c r="M39" s="176"/>
      <c r="N39" s="176"/>
    </row>
    <row r="40" spans="1:15" ht="16.5">
      <c r="A40" s="85"/>
      <c r="B40" s="90"/>
      <c r="C40" s="91"/>
      <c r="D40" s="176"/>
      <c r="E40" s="176"/>
      <c r="F40" s="176"/>
      <c r="G40" s="176"/>
      <c r="H40" s="176"/>
      <c r="I40" s="176"/>
      <c r="J40" s="176"/>
      <c r="K40" s="176"/>
      <c r="L40" s="176"/>
      <c r="M40" s="176"/>
      <c r="N40" s="176"/>
    </row>
    <row r="41" spans="1:15">
      <c r="A41" s="98" t="s">
        <v>89</v>
      </c>
      <c r="B41" s="100">
        <f>SUM(B26:B39)</f>
        <v>3339.4384251820939</v>
      </c>
      <c r="C41" s="101" t="s">
        <v>82</v>
      </c>
      <c r="D41" s="176"/>
      <c r="E41" s="176"/>
      <c r="F41" s="176"/>
      <c r="G41" s="176"/>
      <c r="H41" s="176"/>
      <c r="I41" s="176"/>
      <c r="J41" s="176"/>
      <c r="K41" s="176"/>
      <c r="L41" s="176"/>
      <c r="M41" s="176"/>
      <c r="N41" s="176"/>
    </row>
    <row r="42" spans="1:15" ht="16.5">
      <c r="A42" s="85"/>
      <c r="B42" s="90"/>
      <c r="C42" s="86"/>
      <c r="D42" s="176"/>
      <c r="E42" s="176"/>
      <c r="F42" s="176"/>
      <c r="G42" s="176"/>
      <c r="H42" s="176"/>
      <c r="I42" s="176"/>
      <c r="J42" s="176"/>
      <c r="K42" s="176"/>
      <c r="L42" s="176"/>
      <c r="M42" s="176"/>
      <c r="N42" s="176"/>
    </row>
    <row r="43" spans="1:15">
      <c r="A43" s="84" t="s">
        <v>90</v>
      </c>
      <c r="B43" s="142">
        <f>10*LOG((POWER(10,6)*0.32*B7)/B41)</f>
        <v>37.036990022296166</v>
      </c>
      <c r="C43" s="102" t="s">
        <v>0</v>
      </c>
      <c r="D43" s="177" t="s">
        <v>295</v>
      </c>
      <c r="E43" s="174"/>
      <c r="F43" s="174"/>
      <c r="G43" s="174"/>
      <c r="H43" s="174"/>
      <c r="I43" s="174"/>
      <c r="J43" s="174"/>
    </row>
    <row r="44" spans="1:15" ht="16.5" customHeight="1">
      <c r="A44" s="171" t="s">
        <v>91</v>
      </c>
      <c r="B44" s="171"/>
      <c r="C44" s="171"/>
      <c r="D44" s="174"/>
      <c r="E44" s="174"/>
      <c r="F44" s="174"/>
      <c r="G44" s="174"/>
      <c r="H44" s="174"/>
      <c r="I44" s="174"/>
      <c r="J44" s="174"/>
    </row>
    <row r="45" spans="1:15">
      <c r="A45" s="171"/>
      <c r="B45" s="171"/>
      <c r="C45" s="171"/>
      <c r="D45" s="172" t="s">
        <v>300</v>
      </c>
      <c r="E45" s="172"/>
      <c r="F45" s="172"/>
      <c r="G45" s="172"/>
      <c r="H45" s="172"/>
      <c r="I45" s="172"/>
      <c r="J45" s="172"/>
      <c r="K45" s="172"/>
      <c r="L45" s="172"/>
      <c r="M45" s="172"/>
      <c r="N45" s="172"/>
    </row>
    <row r="46" spans="1:15">
      <c r="D46" s="172"/>
      <c r="E46" s="172"/>
      <c r="F46" s="172"/>
      <c r="G46" s="172"/>
      <c r="H46" s="172"/>
      <c r="I46" s="172"/>
      <c r="J46" s="172"/>
      <c r="K46" s="172"/>
      <c r="L46" s="172"/>
      <c r="M46" s="172"/>
      <c r="N46" s="172"/>
    </row>
  </sheetData>
  <mergeCells count="13">
    <mergeCell ref="B1:C1"/>
    <mergeCell ref="A5:C5"/>
    <mergeCell ref="A23:C23"/>
    <mergeCell ref="A44:C45"/>
    <mergeCell ref="D45:N46"/>
    <mergeCell ref="D37:M38"/>
    <mergeCell ref="D39:N42"/>
    <mergeCell ref="D43:J44"/>
    <mergeCell ref="D24:L25"/>
    <mergeCell ref="D31:L32"/>
    <mergeCell ref="D26:O27"/>
    <mergeCell ref="D28:O30"/>
    <mergeCell ref="D33:O36"/>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A92"/>
  <sheetViews>
    <sheetView topLeftCell="A64" workbookViewId="0">
      <selection activeCell="A90" sqref="A90:A92"/>
    </sheetView>
  </sheetViews>
  <sheetFormatPr baseColWidth="10" defaultRowHeight="15"/>
  <cols>
    <col min="1" max="1" width="22.42578125" style="108" customWidth="1"/>
    <col min="2" max="2" width="27.5703125" style="108" customWidth="1"/>
    <col min="3" max="3" width="39.42578125" style="108" customWidth="1"/>
    <col min="4" max="16384" width="11.42578125" style="108"/>
  </cols>
  <sheetData>
    <row r="1" spans="1:24">
      <c r="A1" s="194" t="s">
        <v>268</v>
      </c>
      <c r="B1" s="183"/>
      <c r="C1" s="183"/>
      <c r="D1" s="183"/>
      <c r="E1" s="183"/>
      <c r="F1" s="183"/>
      <c r="G1" s="183"/>
      <c r="H1" s="183"/>
      <c r="I1" s="183"/>
    </row>
    <row r="2" spans="1:24">
      <c r="A2" s="183"/>
      <c r="B2" s="183"/>
      <c r="C2" s="183"/>
      <c r="D2" s="183"/>
      <c r="E2" s="183"/>
      <c r="F2" s="183"/>
      <c r="G2" s="183"/>
      <c r="H2" s="183"/>
      <c r="I2" s="183"/>
    </row>
    <row r="3" spans="1:24">
      <c r="A3" s="188" t="s">
        <v>269</v>
      </c>
      <c r="B3" s="189"/>
      <c r="C3" s="189"/>
      <c r="D3" s="189"/>
      <c r="E3" s="189"/>
      <c r="F3" s="189"/>
    </row>
    <row r="4" spans="1:24">
      <c r="A4" s="189"/>
      <c r="B4" s="189"/>
      <c r="C4" s="189"/>
      <c r="D4" s="189"/>
      <c r="E4" s="189"/>
      <c r="F4" s="189"/>
    </row>
    <row r="5" spans="1:24" ht="15.75" customHeight="1">
      <c r="A5" s="109" t="s">
        <v>270</v>
      </c>
      <c r="B5" s="109" t="s">
        <v>226</v>
      </c>
      <c r="C5" s="109" t="s">
        <v>271</v>
      </c>
      <c r="D5" s="184" t="s">
        <v>280</v>
      </c>
      <c r="E5" s="185" t="s">
        <v>282</v>
      </c>
      <c r="F5" s="185"/>
      <c r="G5" s="185"/>
      <c r="H5" s="185"/>
      <c r="I5" s="185"/>
      <c r="J5" s="185"/>
      <c r="K5" s="185"/>
      <c r="L5" s="185"/>
      <c r="M5" s="185"/>
      <c r="N5" s="185"/>
    </row>
    <row r="6" spans="1:24" ht="18.75">
      <c r="A6" s="109" t="s">
        <v>272</v>
      </c>
      <c r="B6" s="107">
        <v>67</v>
      </c>
      <c r="C6" s="110"/>
      <c r="D6" s="184"/>
      <c r="E6" s="185"/>
      <c r="F6" s="185"/>
      <c r="G6" s="185"/>
      <c r="H6" s="185"/>
      <c r="I6" s="185"/>
      <c r="J6" s="185"/>
      <c r="K6" s="185"/>
      <c r="L6" s="185"/>
      <c r="M6" s="185"/>
      <c r="N6" s="185"/>
    </row>
    <row r="7" spans="1:24" ht="18.75">
      <c r="A7" s="109" t="s">
        <v>273</v>
      </c>
      <c r="B7" s="107">
        <v>12</v>
      </c>
      <c r="C7" s="110"/>
      <c r="D7" s="184"/>
      <c r="E7" s="185"/>
      <c r="F7" s="185"/>
      <c r="G7" s="185"/>
      <c r="H7" s="185"/>
      <c r="I7" s="185"/>
      <c r="J7" s="185"/>
      <c r="K7" s="185"/>
      <c r="L7" s="185"/>
      <c r="M7" s="185"/>
      <c r="N7" s="185"/>
    </row>
    <row r="8" spans="1:24" ht="18.75">
      <c r="A8" s="109" t="s">
        <v>274</v>
      </c>
      <c r="B8" s="107">
        <v>24</v>
      </c>
      <c r="C8" s="110"/>
      <c r="D8" s="184"/>
      <c r="E8" s="185"/>
      <c r="F8" s="185"/>
      <c r="G8" s="185"/>
      <c r="H8" s="185"/>
      <c r="I8" s="185"/>
      <c r="J8" s="185"/>
      <c r="K8" s="185"/>
      <c r="L8" s="185"/>
      <c r="M8" s="185"/>
      <c r="N8" s="185"/>
    </row>
    <row r="9" spans="1:24" ht="18.75">
      <c r="A9" s="109" t="s">
        <v>275</v>
      </c>
      <c r="B9" s="107">
        <v>1</v>
      </c>
      <c r="C9" s="110"/>
      <c r="D9" s="184"/>
      <c r="E9" s="185"/>
      <c r="F9" s="185"/>
      <c r="G9" s="185"/>
      <c r="H9" s="185"/>
      <c r="I9" s="185"/>
      <c r="J9" s="185"/>
      <c r="K9" s="185"/>
      <c r="L9" s="185"/>
      <c r="M9" s="185"/>
      <c r="N9" s="185"/>
    </row>
    <row r="10" spans="1:24" ht="18.75">
      <c r="A10" s="109" t="s">
        <v>49</v>
      </c>
      <c r="B10" s="107">
        <f>5-B11+(B12/10)</f>
        <v>5</v>
      </c>
      <c r="C10" s="111" t="s">
        <v>229</v>
      </c>
      <c r="D10" s="184"/>
      <c r="E10" s="185"/>
      <c r="F10" s="185"/>
      <c r="G10" s="185"/>
      <c r="H10" s="185"/>
      <c r="I10" s="185"/>
      <c r="J10" s="185"/>
      <c r="K10" s="185"/>
      <c r="L10" s="185"/>
      <c r="M10" s="185"/>
      <c r="N10" s="185"/>
    </row>
    <row r="11" spans="1:24" ht="18.75" customHeight="1">
      <c r="A11" s="109" t="s">
        <v>222</v>
      </c>
      <c r="B11" s="107">
        <v>2</v>
      </c>
      <c r="C11" s="110"/>
      <c r="D11" s="184"/>
      <c r="P11" s="112"/>
      <c r="Q11" s="112"/>
      <c r="R11" s="112"/>
      <c r="S11" s="112"/>
      <c r="T11" s="112"/>
      <c r="U11" s="112"/>
      <c r="V11" s="112"/>
      <c r="W11" s="112"/>
      <c r="X11" s="112"/>
    </row>
    <row r="12" spans="1:24" ht="18.75">
      <c r="A12" s="109" t="s">
        <v>223</v>
      </c>
      <c r="B12" s="107">
        <v>20</v>
      </c>
      <c r="C12" s="110"/>
      <c r="D12" s="184"/>
      <c r="P12" s="112"/>
      <c r="Q12" s="112"/>
      <c r="R12" s="112"/>
      <c r="S12" s="112"/>
      <c r="T12" s="112"/>
      <c r="U12" s="112"/>
      <c r="V12" s="112"/>
      <c r="W12" s="112"/>
      <c r="X12" s="112"/>
    </row>
    <row r="13" spans="1:24" ht="15" customHeight="1">
      <c r="A13" s="109" t="s">
        <v>276</v>
      </c>
      <c r="B13" s="118">
        <f xml:space="preserve"> B6-B7+15-10*LOG10(B8)+B10+B9</f>
        <v>62.197887582883936</v>
      </c>
      <c r="C13" s="111" t="s">
        <v>277</v>
      </c>
      <c r="D13" s="184"/>
      <c r="P13" s="112"/>
      <c r="Q13" s="112"/>
      <c r="R13" s="112"/>
      <c r="S13" s="112"/>
      <c r="T13" s="112"/>
      <c r="U13" s="112"/>
      <c r="V13" s="112"/>
      <c r="W13" s="112"/>
      <c r="X13" s="112"/>
    </row>
    <row r="14" spans="1:24">
      <c r="A14" s="113"/>
      <c r="D14" s="114"/>
      <c r="P14" s="112"/>
      <c r="Q14" s="112"/>
      <c r="R14" s="112"/>
      <c r="S14" s="112"/>
      <c r="T14" s="112"/>
      <c r="U14" s="112"/>
      <c r="V14" s="112"/>
      <c r="W14" s="112"/>
      <c r="X14" s="112"/>
    </row>
    <row r="15" spans="1:24" ht="15" customHeight="1">
      <c r="A15" s="195" t="s">
        <v>236</v>
      </c>
      <c r="B15" s="165" t="s">
        <v>278</v>
      </c>
      <c r="C15" s="165"/>
      <c r="D15" s="165"/>
      <c r="E15" s="165"/>
      <c r="F15" s="165"/>
      <c r="G15" s="165"/>
      <c r="H15" s="165"/>
      <c r="I15" s="165"/>
      <c r="J15" s="165"/>
      <c r="K15" s="165"/>
      <c r="L15" s="165"/>
      <c r="M15" s="165"/>
    </row>
    <row r="16" spans="1:24">
      <c r="A16" s="195"/>
      <c r="B16" s="165"/>
      <c r="C16" s="165"/>
      <c r="D16" s="165"/>
      <c r="E16" s="165"/>
      <c r="F16" s="165"/>
      <c r="G16" s="165"/>
      <c r="H16" s="165"/>
      <c r="I16" s="165"/>
      <c r="J16" s="165"/>
      <c r="K16" s="165"/>
      <c r="L16" s="165"/>
      <c r="M16" s="165"/>
    </row>
    <row r="17" spans="1:27">
      <c r="A17" s="195"/>
      <c r="B17" s="165"/>
      <c r="C17" s="165"/>
      <c r="D17" s="165"/>
      <c r="E17" s="165"/>
      <c r="F17" s="165"/>
      <c r="G17" s="165"/>
      <c r="H17" s="165"/>
      <c r="I17" s="165"/>
      <c r="J17" s="165"/>
      <c r="K17" s="165"/>
      <c r="L17" s="165"/>
      <c r="M17" s="165"/>
    </row>
    <row r="18" spans="1:27">
      <c r="A18" s="195"/>
      <c r="B18" s="165"/>
      <c r="C18" s="165"/>
      <c r="D18" s="165"/>
      <c r="E18" s="165"/>
      <c r="F18" s="165"/>
      <c r="G18" s="165"/>
      <c r="H18" s="165"/>
      <c r="I18" s="165"/>
      <c r="J18" s="165"/>
      <c r="K18" s="165"/>
      <c r="L18" s="165"/>
      <c r="M18" s="165"/>
    </row>
    <row r="19" spans="1:27">
      <c r="A19" s="195"/>
      <c r="B19" s="165"/>
      <c r="C19" s="165"/>
      <c r="D19" s="165"/>
      <c r="E19" s="165"/>
      <c r="F19" s="165"/>
      <c r="G19" s="165"/>
      <c r="H19" s="165"/>
      <c r="I19" s="165"/>
      <c r="J19" s="165"/>
      <c r="K19" s="165"/>
      <c r="L19" s="165"/>
      <c r="M19" s="165"/>
    </row>
    <row r="20" spans="1:27">
      <c r="A20" s="195"/>
    </row>
    <row r="21" spans="1:27">
      <c r="A21" s="195"/>
    </row>
    <row r="22" spans="1:27">
      <c r="A22" s="195"/>
      <c r="N22" s="186" t="s">
        <v>289</v>
      </c>
      <c r="O22" s="186"/>
      <c r="P22" s="186"/>
      <c r="Q22" s="186"/>
      <c r="R22" s="186"/>
      <c r="S22" s="186"/>
    </row>
    <row r="23" spans="1:27">
      <c r="A23" s="195"/>
      <c r="N23" s="186"/>
      <c r="O23" s="186"/>
      <c r="P23" s="186"/>
      <c r="Q23" s="186"/>
      <c r="R23" s="186"/>
      <c r="S23" s="186"/>
    </row>
    <row r="24" spans="1:27">
      <c r="A24" s="195"/>
      <c r="N24" s="186"/>
      <c r="O24" s="186"/>
      <c r="P24" s="186"/>
      <c r="Q24" s="186"/>
      <c r="R24" s="186"/>
      <c r="S24" s="186"/>
    </row>
    <row r="25" spans="1:27">
      <c r="A25" s="195"/>
      <c r="N25" s="186"/>
      <c r="O25" s="186"/>
      <c r="P25" s="186"/>
      <c r="Q25" s="186"/>
      <c r="R25" s="186"/>
      <c r="S25" s="186"/>
    </row>
    <row r="26" spans="1:27">
      <c r="A26" s="195"/>
      <c r="N26" s="186"/>
      <c r="O26" s="186"/>
      <c r="P26" s="186"/>
      <c r="Q26" s="186"/>
      <c r="R26" s="186"/>
      <c r="S26" s="186"/>
    </row>
    <row r="27" spans="1:27">
      <c r="A27" s="195"/>
      <c r="P27" s="187" t="s">
        <v>288</v>
      </c>
      <c r="Q27" s="187"/>
      <c r="R27" s="187"/>
      <c r="S27" s="187"/>
      <c r="T27" s="187"/>
      <c r="U27" s="187"/>
      <c r="V27" s="187"/>
      <c r="W27" s="187"/>
      <c r="X27" s="187"/>
      <c r="Y27" s="187"/>
      <c r="Z27" s="187"/>
      <c r="AA27" s="187"/>
    </row>
    <row r="28" spans="1:27" ht="15" customHeight="1">
      <c r="A28" s="195"/>
      <c r="P28" s="187"/>
      <c r="Q28" s="187"/>
      <c r="R28" s="187"/>
      <c r="S28" s="187"/>
      <c r="T28" s="187"/>
      <c r="U28" s="187"/>
      <c r="V28" s="187"/>
      <c r="W28" s="187"/>
      <c r="X28" s="187"/>
      <c r="Y28" s="187"/>
      <c r="Z28" s="187"/>
      <c r="AA28" s="187"/>
    </row>
    <row r="29" spans="1:27" ht="15" customHeight="1">
      <c r="A29" s="195"/>
      <c r="P29" s="187"/>
      <c r="Q29" s="187"/>
      <c r="R29" s="187"/>
      <c r="S29" s="187"/>
      <c r="T29" s="187"/>
      <c r="U29" s="187"/>
      <c r="V29" s="187"/>
      <c r="W29" s="187"/>
      <c r="X29" s="187"/>
      <c r="Y29" s="187"/>
      <c r="Z29" s="187"/>
      <c r="AA29" s="187"/>
    </row>
    <row r="30" spans="1:27" ht="15" customHeight="1">
      <c r="A30" s="195"/>
      <c r="P30" s="187"/>
      <c r="Q30" s="187"/>
      <c r="R30" s="187"/>
      <c r="S30" s="187"/>
      <c r="T30" s="187"/>
      <c r="U30" s="187"/>
      <c r="V30" s="187"/>
      <c r="W30" s="187"/>
      <c r="X30" s="187"/>
      <c r="Y30" s="187"/>
      <c r="Z30" s="187"/>
      <c r="AA30" s="187"/>
    </row>
    <row r="31" spans="1:27" ht="15" customHeight="1">
      <c r="A31" s="195"/>
      <c r="P31" s="187"/>
      <c r="Q31" s="187"/>
      <c r="R31" s="187"/>
      <c r="S31" s="187"/>
      <c r="T31" s="187"/>
      <c r="U31" s="187"/>
      <c r="V31" s="187"/>
      <c r="W31" s="187"/>
      <c r="X31" s="187"/>
      <c r="Y31" s="187"/>
      <c r="Z31" s="187"/>
      <c r="AA31" s="187"/>
    </row>
    <row r="32" spans="1:27" ht="15" customHeight="1">
      <c r="A32" s="195"/>
      <c r="P32" s="187"/>
      <c r="Q32" s="187"/>
      <c r="R32" s="187"/>
      <c r="S32" s="187"/>
      <c r="T32" s="187"/>
      <c r="U32" s="187"/>
      <c r="V32" s="187"/>
      <c r="W32" s="187"/>
      <c r="X32" s="187"/>
      <c r="Y32" s="187"/>
      <c r="Z32" s="187"/>
      <c r="AA32" s="187"/>
    </row>
    <row r="33" spans="1:27" ht="15" customHeight="1">
      <c r="A33" s="195"/>
      <c r="P33" s="187"/>
      <c r="Q33" s="187"/>
      <c r="R33" s="187"/>
      <c r="S33" s="187"/>
      <c r="T33" s="187"/>
      <c r="U33" s="187"/>
      <c r="V33" s="187"/>
      <c r="W33" s="187"/>
      <c r="X33" s="187"/>
      <c r="Y33" s="187"/>
      <c r="Z33" s="187"/>
      <c r="AA33" s="187"/>
    </row>
    <row r="34" spans="1:27">
      <c r="A34" s="195"/>
    </row>
    <row r="35" spans="1:27">
      <c r="A35" s="195"/>
    </row>
    <row r="36" spans="1:27">
      <c r="A36" s="195"/>
    </row>
    <row r="37" spans="1:27">
      <c r="A37" s="195"/>
    </row>
    <row r="38" spans="1:27">
      <c r="A38" s="195"/>
    </row>
    <row r="39" spans="1:27">
      <c r="A39" s="195"/>
    </row>
    <row r="40" spans="1:27">
      <c r="A40" s="195"/>
    </row>
    <row r="42" spans="1:27" ht="15" customHeight="1">
      <c r="A42" s="166" t="s">
        <v>241</v>
      </c>
    </row>
    <row r="43" spans="1:27">
      <c r="A43" s="166"/>
    </row>
    <row r="44" spans="1:27">
      <c r="A44" s="166"/>
    </row>
    <row r="45" spans="1:27">
      <c r="A45" s="166"/>
    </row>
    <row r="46" spans="1:27">
      <c r="A46" s="166"/>
    </row>
    <row r="47" spans="1:27">
      <c r="A47" s="166"/>
    </row>
    <row r="48" spans="1:27">
      <c r="A48" s="166"/>
    </row>
    <row r="49" spans="1:6">
      <c r="A49" s="166"/>
    </row>
    <row r="50" spans="1:6">
      <c r="A50" s="166"/>
    </row>
    <row r="51" spans="1:6">
      <c r="A51" s="166"/>
    </row>
    <row r="52" spans="1:6">
      <c r="A52" s="166"/>
      <c r="B52" s="154" t="s">
        <v>279</v>
      </c>
      <c r="C52" s="154"/>
      <c r="D52" s="154"/>
      <c r="E52" s="154"/>
      <c r="F52" s="154"/>
    </row>
    <row r="53" spans="1:6">
      <c r="A53" s="166"/>
      <c r="B53" s="154"/>
      <c r="C53" s="154"/>
      <c r="D53" s="154"/>
      <c r="E53" s="154"/>
      <c r="F53" s="154"/>
    </row>
    <row r="54" spans="1:6">
      <c r="A54" s="166"/>
    </row>
    <row r="55" spans="1:6">
      <c r="A55" s="166"/>
    </row>
    <row r="56" spans="1:6">
      <c r="A56" s="166"/>
    </row>
    <row r="57" spans="1:6">
      <c r="A57" s="166"/>
    </row>
    <row r="58" spans="1:6">
      <c r="A58" s="166"/>
    </row>
    <row r="59" spans="1:6">
      <c r="A59" s="166"/>
    </row>
    <row r="60" spans="1:6">
      <c r="A60" s="166"/>
    </row>
    <row r="61" spans="1:6">
      <c r="A61" s="166"/>
      <c r="C61" s="115" t="s">
        <v>281</v>
      </c>
    </row>
    <row r="62" spans="1:6">
      <c r="A62" s="166"/>
    </row>
    <row r="63" spans="1:6">
      <c r="A63" s="166"/>
    </row>
    <row r="64" spans="1:6">
      <c r="A64" s="166"/>
    </row>
    <row r="65" spans="1:1">
      <c r="A65" s="166"/>
    </row>
    <row r="66" spans="1:1">
      <c r="A66" s="166"/>
    </row>
    <row r="67" spans="1:1">
      <c r="A67" s="166"/>
    </row>
    <row r="68" spans="1:1">
      <c r="A68" s="166"/>
    </row>
    <row r="69" spans="1:1">
      <c r="A69" s="166"/>
    </row>
    <row r="70" spans="1:1">
      <c r="A70" s="166"/>
    </row>
    <row r="71" spans="1:1">
      <c r="A71" s="166"/>
    </row>
    <row r="72" spans="1:1">
      <c r="A72" s="166"/>
    </row>
    <row r="73" spans="1:1">
      <c r="A73" s="166"/>
    </row>
    <row r="74" spans="1:1">
      <c r="A74" s="166"/>
    </row>
    <row r="75" spans="1:1">
      <c r="A75" s="166"/>
    </row>
    <row r="76" spans="1:1">
      <c r="A76" s="166"/>
    </row>
    <row r="77" spans="1:1">
      <c r="A77" s="166"/>
    </row>
    <row r="78" spans="1:1">
      <c r="A78" s="166"/>
    </row>
    <row r="79" spans="1:1">
      <c r="A79" s="166"/>
    </row>
    <row r="80" spans="1:1">
      <c r="A80" s="166"/>
    </row>
    <row r="82" spans="1:11">
      <c r="A82" s="188" t="s">
        <v>283</v>
      </c>
      <c r="B82" s="189"/>
      <c r="C82" s="189"/>
      <c r="D82" s="189"/>
      <c r="E82" s="189"/>
      <c r="F82" s="189"/>
    </row>
    <row r="83" spans="1:11">
      <c r="A83" s="189"/>
      <c r="B83" s="189"/>
      <c r="C83" s="189"/>
      <c r="D83" s="189"/>
      <c r="E83" s="189"/>
      <c r="F83" s="189"/>
    </row>
    <row r="84" spans="1:11" ht="15.75">
      <c r="A84" s="109" t="s">
        <v>270</v>
      </c>
      <c r="B84" s="109" t="s">
        <v>226</v>
      </c>
      <c r="C84" s="109" t="s">
        <v>271</v>
      </c>
    </row>
    <row r="85" spans="1:11" ht="18.75" customHeight="1">
      <c r="A85" s="179" t="s">
        <v>272</v>
      </c>
      <c r="B85" s="190">
        <v>55</v>
      </c>
      <c r="C85" s="192" t="s">
        <v>286</v>
      </c>
      <c r="F85" s="183" t="s">
        <v>287</v>
      </c>
      <c r="G85" s="183"/>
      <c r="H85" s="183"/>
      <c r="I85" s="183"/>
      <c r="J85" s="183"/>
      <c r="K85" s="183"/>
    </row>
    <row r="86" spans="1:11" ht="18.75" customHeight="1">
      <c r="A86" s="179"/>
      <c r="B86" s="191"/>
      <c r="C86" s="193"/>
      <c r="F86" s="183"/>
      <c r="G86" s="183"/>
      <c r="H86" s="183"/>
      <c r="I86" s="183"/>
      <c r="J86" s="183"/>
      <c r="K86" s="183"/>
    </row>
    <row r="87" spans="1:11" ht="18.75">
      <c r="A87" s="109" t="s">
        <v>274</v>
      </c>
      <c r="B87" s="107">
        <v>24</v>
      </c>
      <c r="C87" s="110"/>
    </row>
    <row r="88" spans="1:11" ht="120">
      <c r="A88" s="116" t="s">
        <v>275</v>
      </c>
      <c r="B88" s="107">
        <v>-30</v>
      </c>
      <c r="C88" s="117" t="s">
        <v>285</v>
      </c>
    </row>
    <row r="89" spans="1:11" ht="18.75">
      <c r="A89" s="116" t="s">
        <v>49</v>
      </c>
      <c r="B89" s="107">
        <v>3</v>
      </c>
      <c r="C89" s="111"/>
    </row>
    <row r="90" spans="1:11" ht="18.75" customHeight="1">
      <c r="A90" s="179" t="s">
        <v>276</v>
      </c>
      <c r="B90" s="180">
        <f>B85+15-10*LOG10(B87)+B89+B88</f>
        <v>29.197887582883936</v>
      </c>
      <c r="C90" s="110"/>
    </row>
    <row r="91" spans="1:11" ht="18.75" customHeight="1">
      <c r="A91" s="179"/>
      <c r="B91" s="181"/>
      <c r="C91" s="110"/>
    </row>
    <row r="92" spans="1:11" ht="15" customHeight="1">
      <c r="A92" s="179"/>
      <c r="B92" s="182"/>
      <c r="C92" s="111" t="s">
        <v>284</v>
      </c>
    </row>
  </sheetData>
  <sheetProtection sheet="1" objects="1" scenarios="1"/>
  <mergeCells count="17">
    <mergeCell ref="A1:I2"/>
    <mergeCell ref="A3:F4"/>
    <mergeCell ref="B15:M19"/>
    <mergeCell ref="A15:A40"/>
    <mergeCell ref="A90:A92"/>
    <mergeCell ref="B90:B92"/>
    <mergeCell ref="F85:K86"/>
    <mergeCell ref="B52:F53"/>
    <mergeCell ref="D5:D13"/>
    <mergeCell ref="A42:A80"/>
    <mergeCell ref="E5:N10"/>
    <mergeCell ref="N22:S26"/>
    <mergeCell ref="P27:AA33"/>
    <mergeCell ref="A82:F83"/>
    <mergeCell ref="B85:B86"/>
    <mergeCell ref="C85:C86"/>
    <mergeCell ref="A85:A86"/>
  </mergeCells>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R92"/>
  <sheetViews>
    <sheetView topLeftCell="O4" zoomScale="70" zoomScaleNormal="70" workbookViewId="0">
      <selection activeCell="R4" sqref="R4"/>
    </sheetView>
  </sheetViews>
  <sheetFormatPr baseColWidth="10" defaultColWidth="68.5703125" defaultRowHeight="34.5" customHeight="1"/>
  <cols>
    <col min="2" max="2" width="49.5703125" customWidth="1"/>
    <col min="3" max="3" width="105.7109375" customWidth="1"/>
    <col min="5" max="5" width="56.85546875" customWidth="1"/>
    <col min="6" max="6" width="68" customWidth="1"/>
    <col min="7" max="7" width="47.42578125" customWidth="1"/>
    <col min="8" max="8" width="64" customWidth="1"/>
    <col min="9" max="9" width="84.7109375" customWidth="1"/>
    <col min="10" max="10" width="56.85546875" customWidth="1"/>
    <col min="11" max="11" width="80.5703125" customWidth="1"/>
  </cols>
  <sheetData>
    <row r="1" spans="2:18" ht="34.5" customHeight="1">
      <c r="D1" s="196" t="s">
        <v>150</v>
      </c>
      <c r="E1" s="197"/>
      <c r="F1" s="197"/>
      <c r="G1" s="197"/>
      <c r="H1" s="197"/>
      <c r="I1" s="197"/>
      <c r="J1" s="198" t="s">
        <v>292</v>
      </c>
      <c r="K1" s="174"/>
      <c r="L1" s="174"/>
      <c r="M1" s="174"/>
    </row>
    <row r="2" spans="2:18" ht="34.5" customHeight="1">
      <c r="D2" s="197"/>
      <c r="E2" s="197"/>
      <c r="F2" s="197"/>
      <c r="G2" s="197"/>
      <c r="H2" s="197"/>
      <c r="I2" s="197"/>
      <c r="J2" s="199"/>
      <c r="K2" s="174"/>
      <c r="L2" s="174"/>
      <c r="M2" s="174"/>
    </row>
    <row r="3" spans="2:18" ht="34.5" customHeight="1">
      <c r="D3" s="68"/>
      <c r="E3" s="68"/>
      <c r="F3" s="68"/>
      <c r="G3" s="68"/>
      <c r="H3" s="79" t="s">
        <v>99</v>
      </c>
      <c r="I3" s="79" t="s">
        <v>100</v>
      </c>
      <c r="J3" s="200" t="s">
        <v>293</v>
      </c>
      <c r="K3" s="201"/>
      <c r="L3" s="201"/>
      <c r="M3" s="201"/>
      <c r="Q3" t="s">
        <v>309</v>
      </c>
      <c r="R3" t="s">
        <v>310</v>
      </c>
    </row>
    <row r="4" spans="2:18" ht="34.5" customHeight="1">
      <c r="C4" s="70" t="s">
        <v>291</v>
      </c>
      <c r="D4" s="70" t="s">
        <v>57</v>
      </c>
      <c r="E4" s="70" t="s">
        <v>95</v>
      </c>
      <c r="F4" s="70" t="s">
        <v>138</v>
      </c>
      <c r="G4" s="70" t="s">
        <v>96</v>
      </c>
      <c r="H4" s="70" t="s">
        <v>97</v>
      </c>
      <c r="I4" s="70" t="s">
        <v>98</v>
      </c>
      <c r="J4" s="202"/>
      <c r="K4" s="201"/>
      <c r="L4" s="201"/>
      <c r="M4" s="201"/>
      <c r="Q4" s="149" t="str">
        <f t="array" aca="1" ref="Q4" ca="1">IF(MIN(IF(Mat&lt;&gt;"",IF(COUNTIF(Q$1:Q3,Mat)=0,ROW(INDIRECT("1:"&amp;ROWS(Mat))))))&lt;&gt;0,
INDEX(Mat,MIN(IF(Mat&lt;&gt;"",IF(COUNTIF(Q$1:Q3,Mat)=0,ROW(INDIRECT("1:"&amp;ROWS(Mat))))))),0)</f>
        <v xml:space="preserve">Béton </v>
      </c>
      <c r="R4" s="261" t="str">
        <f t="array" aca="1" ref="R4" ca="1">IF(ROWS($Q$4:$R4)&lt;=COUNTIF(Mat,'Bruit aérien int '!$E$11),INDEX(épaisseur,SMALL(IF(Mat='Bruit aérien int '!$E$11,ROW(INDIRECT("1:"&amp;ROWS(épaisseur)))),ROWS($Q$4:$R4))),0)</f>
        <v>0.15</v>
      </c>
    </row>
    <row r="5" spans="2:18" ht="34.5" customHeight="1">
      <c r="B5" t="str">
        <f>D5&amp;E5</f>
        <v>Béton 0.1</v>
      </c>
      <c r="C5" s="105" t="str">
        <f>D5&amp;"_"&amp;E5</f>
        <v>Béton _0.1</v>
      </c>
      <c r="D5" s="103" t="s">
        <v>58</v>
      </c>
      <c r="E5" s="71" t="s">
        <v>101</v>
      </c>
      <c r="F5" s="71">
        <v>235</v>
      </c>
      <c r="G5" s="71">
        <v>48</v>
      </c>
      <c r="H5" s="71">
        <v>47</v>
      </c>
      <c r="I5" s="71">
        <v>42</v>
      </c>
      <c r="J5" s="202"/>
      <c r="K5" s="201"/>
      <c r="L5" s="201"/>
      <c r="M5" s="201"/>
      <c r="Q5" s="149" t="str">
        <f t="array" aca="1" ref="Q5" ca="1">IF(MIN(IF(Mat&lt;&gt;"",IF(COUNTIF(Q$1:Q4,Mat)=0,ROW(INDIRECT("1:"&amp;ROWS(Mat))))))&lt;&gt;0,
INDEX(Mat,MIN(IF(Mat&lt;&gt;"",IF(COUNTIF(Q$1:Q4,Mat)=0,ROW(INDIRECT("1:"&amp;ROWS(Mat))))))),0)</f>
        <v>Dalle alvéolée 160 U nue</v>
      </c>
      <c r="R5" s="261" t="str">
        <f t="array" aca="1" ref="R5" ca="1">IF(ROWS($Q$4:$R5)&lt;=COUNTIF(Mat,'Bruit aérien int '!$E$11),INDEX(épaisseur,SMALL(IF(Mat='Bruit aérien int '!$E$11,ROW(INDIRECT("1:"&amp;ROWS(épaisseur)))),ROWS($Q$4:$R5))),0)</f>
        <v>0.2</v>
      </c>
    </row>
    <row r="6" spans="2:18" ht="34.5" customHeight="1">
      <c r="B6" t="str">
        <f t="shared" ref="B6:B54" si="0">D6&amp;E6</f>
        <v>Béton 0.12</v>
      </c>
      <c r="C6" s="105" t="str">
        <f t="shared" ref="C6:C54" si="1">D6&amp;"_"&amp;E6</f>
        <v>Béton _0.12</v>
      </c>
      <c r="D6" s="103" t="s">
        <v>58</v>
      </c>
      <c r="E6" s="71" t="s">
        <v>102</v>
      </c>
      <c r="F6" s="71">
        <v>280</v>
      </c>
      <c r="G6" s="71">
        <v>51</v>
      </c>
      <c r="H6" s="71">
        <v>50</v>
      </c>
      <c r="I6" s="71">
        <v>45</v>
      </c>
      <c r="J6" s="202"/>
      <c r="K6" s="201"/>
      <c r="L6" s="201"/>
      <c r="M6" s="201"/>
      <c r="Q6" s="149" t="str">
        <f t="array" aca="1" ref="Q6" ca="1">IF(MIN(IF(Mat&lt;&gt;"",IF(COUNTIF(Q$1:Q5,Mat)=0,ROW(INDIRECT("1:"&amp;ROWS(Mat))))))&lt;&gt;0,
INDEX(Mat,MIN(IF(Mat&lt;&gt;"",IF(COUNTIF(Q$1:Q5,Mat)=0,ROW(INDIRECT("1:"&amp;ROWS(Mat))))))),0)</f>
        <v>Dalle alvéolée 265W nue</v>
      </c>
      <c r="R6" s="261" t="str">
        <f t="array" aca="1" ref="R6" ca="1">IF(ROWS($Q$4:$R6)&lt;=COUNTIF(Mat,'Bruit aérien int '!$E$11),INDEX(épaisseur,SMALL(IF(Mat='Bruit aérien int '!$E$11,ROW(INDIRECT("1:"&amp;ROWS(épaisseur)))),ROWS($Q$4:$R6))),0)</f>
        <v>0.25</v>
      </c>
    </row>
    <row r="7" spans="2:18" ht="34.5" customHeight="1">
      <c r="B7" t="str">
        <f t="shared" si="0"/>
        <v>Béton 0.14</v>
      </c>
      <c r="C7" s="105" t="str">
        <f t="shared" si="1"/>
        <v>Béton _0.14</v>
      </c>
      <c r="D7" s="103" t="s">
        <v>58</v>
      </c>
      <c r="E7" s="71" t="s">
        <v>103</v>
      </c>
      <c r="F7" s="71">
        <v>330</v>
      </c>
      <c r="G7" s="71">
        <v>54</v>
      </c>
      <c r="H7" s="71">
        <v>52</v>
      </c>
      <c r="I7" s="71">
        <v>48</v>
      </c>
      <c r="J7" s="202"/>
      <c r="K7" s="201"/>
      <c r="L7" s="201"/>
      <c r="M7" s="201"/>
      <c r="Q7" s="149" t="str">
        <f t="array" aca="1" ref="Q7" ca="1">IF(MIN(IF(Mat&lt;&gt;"",IF(COUNTIF(Q$1:Q6,Mat)=0,ROW(INDIRECT("1:"&amp;ROWS(Mat))))))&lt;&gt;0,
INDEX(Mat,MIN(IF(Mat&lt;&gt;"",IF(COUNTIF(Q$1:Q6,Mat)=0,ROW(INDIRECT("1:"&amp;ROWS(Mat))))))),0)</f>
        <v>Dalle alvéolée 200W+0.08</v>
      </c>
      <c r="R7" s="261">
        <f t="array" aca="1" ref="R7" ca="1">IF(ROWS($Q$4:$R7)&lt;=COUNTIF(Mat,'Bruit aérien int '!$E$11),INDEX(épaisseur,SMALL(IF(Mat='Bruit aérien int '!$E$11,ROW(INDIRECT("1:"&amp;ROWS(épaisseur)))),ROWS($Q$4:$R7))),0)</f>
        <v>0</v>
      </c>
    </row>
    <row r="8" spans="2:18" ht="34.5" customHeight="1">
      <c r="B8" t="str">
        <f t="shared" si="0"/>
        <v>Béton 0.15</v>
      </c>
      <c r="C8" s="105" t="str">
        <f t="shared" si="1"/>
        <v>Béton _0.15</v>
      </c>
      <c r="D8" s="103" t="s">
        <v>58</v>
      </c>
      <c r="E8" s="71" t="s">
        <v>106</v>
      </c>
      <c r="F8" s="71">
        <v>350</v>
      </c>
      <c r="G8" s="71">
        <v>55</v>
      </c>
      <c r="H8" s="71">
        <v>53</v>
      </c>
      <c r="I8" s="71">
        <v>49</v>
      </c>
      <c r="J8" s="202"/>
      <c r="K8" s="201"/>
      <c r="L8" s="201"/>
      <c r="M8" s="201"/>
      <c r="Q8" s="149" t="str">
        <f t="array" aca="1" ref="Q8" ca="1">IF(MIN(IF(Mat&lt;&gt;"",IF(COUNTIF(Q$1:Q7,Mat)=0,ROW(INDIRECT("1:"&amp;ROWS(Mat))))))&lt;&gt;0,
INDEX(Mat,MIN(IF(Mat&lt;&gt;"",IF(COUNTIF(Q$1:Q7,Mat)=0,ROW(INDIRECT("1:"&amp;ROWS(Mat))))))),0)</f>
        <v>Dalle alvéolée 265W+0.06</v>
      </c>
      <c r="R8" s="261">
        <f t="array" aca="1" ref="R8" ca="1">IF(ROWS($Q$4:$R8)&lt;=COUNTIF(Mat,'Bruit aérien int '!$E$11),INDEX(épaisseur,SMALL(IF(Mat='Bruit aérien int '!$E$11,ROW(INDIRECT("1:"&amp;ROWS(épaisseur)))),ROWS($Q$4:$R8))),0)</f>
        <v>0</v>
      </c>
    </row>
    <row r="9" spans="2:18" ht="34.5" customHeight="1">
      <c r="B9" t="str">
        <f t="shared" si="0"/>
        <v>Béton 0.16</v>
      </c>
      <c r="C9" s="105" t="str">
        <f t="shared" si="1"/>
        <v>Béton _0.16</v>
      </c>
      <c r="D9" s="103" t="s">
        <v>58</v>
      </c>
      <c r="E9" s="71" t="s">
        <v>104</v>
      </c>
      <c r="F9" s="71">
        <v>375</v>
      </c>
      <c r="G9" s="71">
        <v>57</v>
      </c>
      <c r="H9" s="71">
        <v>55</v>
      </c>
      <c r="I9" s="71">
        <v>51</v>
      </c>
      <c r="J9" s="202"/>
      <c r="K9" s="201"/>
      <c r="L9" s="201"/>
      <c r="M9" s="201"/>
      <c r="Q9" s="149" t="str">
        <f t="array" aca="1" ref="Q9" ca="1">IF(MIN(IF(Mat&lt;&gt;"",IF(COUNTIF(Q$1:Q8,Mat)=0,ROW(INDIRECT("1:"&amp;ROWS(Mat))))))&lt;&gt;0,
INDEX(Mat,MIN(IF(Mat&lt;&gt;"",IF(COUNTIF(Q$1:Q8,Mat)=0,ROW(INDIRECT("1:"&amp;ROWS(Mat))))))),0)</f>
        <v>Blocs de béton cellulaire</v>
      </c>
      <c r="R9" s="261">
        <f t="array" aca="1" ref="R9" ca="1">IF(ROWS($Q$4:$R9)&lt;=COUNTIF(Mat,'Bruit aérien int '!$E$11),INDEX(épaisseur,SMALL(IF(Mat='Bruit aérien int '!$E$11,ROW(INDIRECT("1:"&amp;ROWS(épaisseur)))),ROWS($Q$4:$R9))),0)</f>
        <v>0</v>
      </c>
    </row>
    <row r="10" spans="2:18" ht="34.5" customHeight="1">
      <c r="B10" t="str">
        <f t="shared" si="0"/>
        <v>Béton 0.17</v>
      </c>
      <c r="C10" s="105" t="str">
        <f t="shared" si="1"/>
        <v>Béton _0.17</v>
      </c>
      <c r="D10" s="103" t="s">
        <v>58</v>
      </c>
      <c r="E10" s="71" t="s">
        <v>105</v>
      </c>
      <c r="F10" s="71">
        <v>400</v>
      </c>
      <c r="G10" s="71">
        <v>58</v>
      </c>
      <c r="H10" s="71">
        <v>56</v>
      </c>
      <c r="I10" s="71">
        <v>52</v>
      </c>
      <c r="J10" s="202"/>
      <c r="K10" s="201"/>
      <c r="L10" s="201"/>
      <c r="M10" s="201"/>
      <c r="Q10" s="149" t="str">
        <f t="array" aca="1" ref="Q10" ca="1">IF(MIN(IF(Mat&lt;&gt;"",IF(COUNTIF(Q$1:Q9,Mat)=0,ROW(INDIRECT("1:"&amp;ROWS(Mat))))))&lt;&gt;0,
INDEX(Mat,MIN(IF(Mat&lt;&gt;"",IF(COUNTIF(Q$1:Q9,Mat)=0,ROW(INDIRECT("1:"&amp;ROWS(Mat))))))),0)</f>
        <v>Blocs de béton creux</v>
      </c>
      <c r="R10" s="261">
        <f t="array" aca="1" ref="R10" ca="1">IF(ROWS($Q$4:$R10)&lt;=COUNTIF(Mat,'Bruit aérien int '!$E$11),INDEX(épaisseur,SMALL(IF(Mat='Bruit aérien int '!$E$11,ROW(INDIRECT("1:"&amp;ROWS(épaisseur)))),ROWS($Q$4:$R10))),0)</f>
        <v>0</v>
      </c>
    </row>
    <row r="11" spans="2:18" ht="34.5" customHeight="1">
      <c r="B11" t="str">
        <f t="shared" si="0"/>
        <v>Béton 0.18</v>
      </c>
      <c r="C11" s="105" t="str">
        <f t="shared" si="1"/>
        <v>Béton _0.18</v>
      </c>
      <c r="D11" s="103" t="s">
        <v>58</v>
      </c>
      <c r="E11" s="71" t="s">
        <v>107</v>
      </c>
      <c r="F11" s="71">
        <v>423</v>
      </c>
      <c r="G11" s="71">
        <v>59</v>
      </c>
      <c r="H11" s="71">
        <v>57</v>
      </c>
      <c r="I11" s="71">
        <v>53</v>
      </c>
      <c r="Q11" s="149" t="str">
        <f t="array" aca="1" ref="Q11" ca="1">IF(MIN(IF(Mat&lt;&gt;"",IF(COUNTIF(Q$1:Q10,Mat)=0,ROW(INDIRECT("1:"&amp;ROWS(Mat))))))&lt;&gt;0,
INDEX(Mat,MIN(IF(Mat&lt;&gt;"",IF(COUNTIF(Q$1:Q10,Mat)=0,ROW(INDIRECT("1:"&amp;ROWS(Mat))))))),0)</f>
        <v>Blocs de béton pleins</v>
      </c>
      <c r="R11" s="261">
        <f t="array" aca="1" ref="R11" ca="1">IF(ROWS($Q$4:$R11)&lt;=COUNTIF(Mat,'Bruit aérien int '!$E$11),INDEX(épaisseur,SMALL(IF(Mat='Bruit aérien int '!$E$11,ROW(INDIRECT("1:"&amp;ROWS(épaisseur)))),ROWS($Q$4:$R11))),0)</f>
        <v>0</v>
      </c>
    </row>
    <row r="12" spans="2:18" ht="34.5" customHeight="1">
      <c r="B12" t="str">
        <f t="shared" si="0"/>
        <v>Béton 0.19</v>
      </c>
      <c r="C12" s="105" t="str">
        <f t="shared" si="1"/>
        <v>Béton _0.19</v>
      </c>
      <c r="D12" s="103" t="s">
        <v>58</v>
      </c>
      <c r="E12" s="71" t="s">
        <v>108</v>
      </c>
      <c r="F12" s="71">
        <v>445</v>
      </c>
      <c r="G12" s="71">
        <v>60</v>
      </c>
      <c r="H12" s="71">
        <v>58</v>
      </c>
      <c r="I12" s="71">
        <v>54</v>
      </c>
      <c r="Q12" s="149" t="str">
        <f t="array" aca="1" ref="Q12" ca="1">IF(MIN(IF(Mat&lt;&gt;"",IF(COUNTIF(Q$1:Q11,Mat)=0,ROW(INDIRECT("1:"&amp;ROWS(Mat))))))&lt;&gt;0,
INDEX(Mat,MIN(IF(Mat&lt;&gt;"",IF(COUNTIF(Q$1:Q11,Mat)=0,ROW(INDIRECT("1:"&amp;ROWS(Mat))))))),0)</f>
        <v>Blocs de béton plein ou pleins perforés</v>
      </c>
      <c r="R12" s="261">
        <f t="array" aca="1" ref="R12" ca="1">IF(ROWS($Q$4:$R12)&lt;=COUNTIF(Mat,'Bruit aérien int '!$E$11),INDEX(épaisseur,SMALL(IF(Mat='Bruit aérien int '!$E$11,ROW(INDIRECT("1:"&amp;ROWS(épaisseur)))),ROWS($Q$4:$R12))),0)</f>
        <v>0</v>
      </c>
    </row>
    <row r="13" spans="2:18" ht="34.5" customHeight="1">
      <c r="B13" t="str">
        <f t="shared" si="0"/>
        <v>Béton 0.20</v>
      </c>
      <c r="C13" s="105" t="str">
        <f t="shared" si="1"/>
        <v>Béton _0.20</v>
      </c>
      <c r="D13" s="103" t="s">
        <v>58</v>
      </c>
      <c r="E13" s="71" t="s">
        <v>109</v>
      </c>
      <c r="F13" s="71">
        <v>470</v>
      </c>
      <c r="G13" s="71">
        <v>60</v>
      </c>
      <c r="H13" s="71">
        <v>59</v>
      </c>
      <c r="I13" s="71">
        <v>54</v>
      </c>
      <c r="Q13" s="149" t="str">
        <f t="array" aca="1" ref="Q13" ca="1">IF(MIN(IF(Mat&lt;&gt;"",IF(COUNTIF(Q$1:Q12,Mat)=0,ROW(INDIRECT("1:"&amp;ROWS(Mat))))))&lt;&gt;0,
INDEX(Mat,MIN(IF(Mat&lt;&gt;"",IF(COUNTIF(Q$1:Q12,Mat)=0,ROW(INDIRECT("1:"&amp;ROWS(Mat))))))),0)</f>
        <v>Blocs pleins de béton léger</v>
      </c>
      <c r="R13" s="261">
        <f t="array" aca="1" ref="R13" ca="1">IF(ROWS($Q$4:$R13)&lt;=COUNTIF(Mat,'Bruit aérien int '!$E$11),INDEX(épaisseur,SMALL(IF(Mat='Bruit aérien int '!$E$11,ROW(INDIRECT("1:"&amp;ROWS(épaisseur)))),ROWS($Q$4:$R13))),0)</f>
        <v>0</v>
      </c>
    </row>
    <row r="14" spans="2:18" ht="34.5" customHeight="1">
      <c r="B14" t="str">
        <f t="shared" si="0"/>
        <v>Béton 0.21</v>
      </c>
      <c r="C14" s="105" t="str">
        <f t="shared" si="1"/>
        <v>Béton _0.21</v>
      </c>
      <c r="D14" s="103" t="s">
        <v>58</v>
      </c>
      <c r="E14" s="71" t="s">
        <v>110</v>
      </c>
      <c r="F14" s="71">
        <v>495</v>
      </c>
      <c r="G14" s="71">
        <v>61</v>
      </c>
      <c r="H14" s="71">
        <v>60</v>
      </c>
      <c r="I14" s="71">
        <v>55</v>
      </c>
      <c r="Q14" s="149" t="str">
        <f t="array" aca="1" ref="Q14" ca="1">IF(MIN(IF(Mat&lt;&gt;"",IF(COUNTIF(Q$1:Q13,Mat)=0,ROW(INDIRECT("1:"&amp;ROWS(Mat))))))&lt;&gt;0,
INDEX(Mat,MIN(IF(Mat&lt;&gt;"",IF(COUNTIF(Q$1:Q13,Mat)=0,ROW(INDIRECT("1:"&amp;ROWS(Mat))))))),0)</f>
        <v>Briques creuses</v>
      </c>
      <c r="R14" s="261">
        <f t="array" aca="1" ref="R14" ca="1">IF(ROWS($Q$4:$R14)&lt;=COUNTIF(Mat,'Bruit aérien int '!$E$11),INDEX(épaisseur,SMALL(IF(Mat='Bruit aérien int '!$E$11,ROW(INDIRECT("1:"&amp;ROWS(épaisseur)))),ROWS($Q$4:$R14))),0)</f>
        <v>0</v>
      </c>
    </row>
    <row r="15" spans="2:18" ht="34.5" customHeight="1">
      <c r="B15" t="str">
        <f t="shared" si="0"/>
        <v>Béton 0.22</v>
      </c>
      <c r="C15" s="105" t="str">
        <f t="shared" si="1"/>
        <v>Béton _0.22</v>
      </c>
      <c r="D15" s="103" t="s">
        <v>58</v>
      </c>
      <c r="E15" s="71" t="s">
        <v>111</v>
      </c>
      <c r="F15" s="71">
        <v>515</v>
      </c>
      <c r="G15" s="71">
        <v>62</v>
      </c>
      <c r="H15" s="71">
        <v>61</v>
      </c>
      <c r="I15" s="71">
        <v>56</v>
      </c>
      <c r="Q15" s="149" t="str">
        <f t="array" aca="1" ref="Q15" ca="1">IF(MIN(IF(Mat&lt;&gt;"",IF(COUNTIF(Q$1:Q14,Mat)=0,ROW(INDIRECT("1:"&amp;ROWS(Mat))))))&lt;&gt;0,
INDEX(Mat,MIN(IF(Mat&lt;&gt;"",IF(COUNTIF(Q$1:Q14,Mat)=0,ROW(INDIRECT("1:"&amp;ROWS(Mat))))))),0)</f>
        <v>Briques perforées</v>
      </c>
      <c r="R15" s="261">
        <f t="array" aca="1" ref="R15" ca="1">IF(ROWS($Q$4:$R15)&lt;=COUNTIF(Mat,'Bruit aérien int '!$E$11),INDEX(épaisseur,SMALL(IF(Mat='Bruit aérien int '!$E$11,ROW(INDIRECT("1:"&amp;ROWS(épaisseur)))),ROWS($Q$4:$R15))),0)</f>
        <v>0</v>
      </c>
    </row>
    <row r="16" spans="2:18" ht="34.5" customHeight="1">
      <c r="B16" t="str">
        <f t="shared" si="0"/>
        <v>Béton 0.23</v>
      </c>
      <c r="C16" s="105" t="str">
        <f t="shared" si="1"/>
        <v>Béton _0.23</v>
      </c>
      <c r="D16" s="103" t="s">
        <v>58</v>
      </c>
      <c r="E16" s="71" t="s">
        <v>112</v>
      </c>
      <c r="F16" s="71">
        <v>540</v>
      </c>
      <c r="G16" s="71">
        <v>63</v>
      </c>
      <c r="H16" s="71">
        <v>61</v>
      </c>
      <c r="I16" s="71">
        <v>57</v>
      </c>
      <c r="Q16" s="149" t="str">
        <f t="array" aca="1" ref="Q16" ca="1">IF(MIN(IF(Mat&lt;&gt;"",IF(COUNTIF(Q$1:Q15,Mat)=0,ROW(INDIRECT("1:"&amp;ROWS(Mat))))))&lt;&gt;0,
INDEX(Mat,MIN(IF(Mat&lt;&gt;"",IF(COUNTIF(Q$1:Q15,Mat)=0,ROW(INDIRECT("1:"&amp;ROWS(Mat))))))),0)</f>
        <v>Briques pleines</v>
      </c>
      <c r="R16" s="261">
        <f t="array" aca="1" ref="R16" ca="1">IF(ROWS($Q$4:$R16)&lt;=COUNTIF(Mat,'Bruit aérien int '!$E$11),INDEX(épaisseur,SMALL(IF(Mat='Bruit aérien int '!$E$11,ROW(INDIRECT("1:"&amp;ROWS(épaisseur)))),ROWS($Q$4:$R16))),0)</f>
        <v>0</v>
      </c>
    </row>
    <row r="17" spans="2:18" ht="34.5" customHeight="1">
      <c r="B17" t="str">
        <f t="shared" si="0"/>
        <v>Béton 0.24</v>
      </c>
      <c r="C17" s="105" t="str">
        <f t="shared" si="1"/>
        <v>Béton _0.24</v>
      </c>
      <c r="D17" s="103" t="s">
        <v>58</v>
      </c>
      <c r="E17" s="71" t="s">
        <v>113</v>
      </c>
      <c r="F17" s="71">
        <v>565</v>
      </c>
      <c r="G17" s="71">
        <v>64</v>
      </c>
      <c r="H17" s="71">
        <v>63</v>
      </c>
      <c r="I17" s="71">
        <v>58</v>
      </c>
      <c r="Q17" s="149" t="str">
        <f t="array" aca="1" ref="Q17" ca="1">IF(MIN(IF(Mat&lt;&gt;"",IF(COUNTIF(Q$1:Q16,Mat)=0,ROW(INDIRECT("1:"&amp;ROWS(Mat))))))&lt;&gt;0,
INDEX(Mat,MIN(IF(Mat&lt;&gt;"",IF(COUNTIF(Q$1:Q16,Mat)=0,ROW(INDIRECT("1:"&amp;ROWS(Mat))))))),0)</f>
        <v xml:space="preserve">Briques plâtrières </v>
      </c>
      <c r="R17" s="261">
        <f t="array" aca="1" ref="R17" ca="1">IF(ROWS($Q$4:$R17)&lt;=COUNTIF(Mat,'Bruit aérien int '!$E$11),INDEX(épaisseur,SMALL(IF(Mat='Bruit aérien int '!$E$11,ROW(INDIRECT("1:"&amp;ROWS(épaisseur)))),ROWS($Q$4:$R17))),0)</f>
        <v>0</v>
      </c>
    </row>
    <row r="18" spans="2:18" ht="34.5" customHeight="1">
      <c r="B18" t="str">
        <f t="shared" si="0"/>
        <v>Béton 0.25</v>
      </c>
      <c r="C18" s="105" t="str">
        <f t="shared" si="1"/>
        <v>Béton _0.25</v>
      </c>
      <c r="D18" s="103" t="s">
        <v>58</v>
      </c>
      <c r="E18" s="71" t="s">
        <v>114</v>
      </c>
      <c r="F18" s="71">
        <v>590</v>
      </c>
      <c r="G18" s="71">
        <v>65</v>
      </c>
      <c r="H18" s="71">
        <v>63</v>
      </c>
      <c r="I18" s="71">
        <v>59</v>
      </c>
      <c r="Q18" s="149" t="str">
        <f t="array" aca="1" ref="Q18" ca="1">IF(MIN(IF(Mat&lt;&gt;"",IF(COUNTIF(Q$1:Q17,Mat)=0,ROW(INDIRECT("1:"&amp;ROWS(Mat))))))&lt;&gt;0,
INDEX(Mat,MIN(IF(Mat&lt;&gt;"",IF(COUNTIF(Q$1:Q17,Mat)=0,ROW(INDIRECT("1:"&amp;ROWS(Mat))))))),0)</f>
        <v>Carreaux de plâtre</v>
      </c>
      <c r="R18" s="261">
        <f t="array" aca="1" ref="R18" ca="1">IF(ROWS($Q$4:$R18)&lt;=COUNTIF(Mat,'Bruit aérien int '!$E$11),INDEX(épaisseur,SMALL(IF(Mat='Bruit aérien int '!$E$11,ROW(INDIRECT("1:"&amp;ROWS(épaisseur)))),ROWS($Q$4:$R18))),0)</f>
        <v>0</v>
      </c>
    </row>
    <row r="19" spans="2:18" ht="34.5" customHeight="1">
      <c r="B19" t="str">
        <f t="shared" si="0"/>
        <v>Dalle alvéolée 160 U nue0.16</v>
      </c>
      <c r="C19" s="105" t="str">
        <f t="shared" si="1"/>
        <v>Dalle alvéolée 160 U nue_0.16</v>
      </c>
      <c r="D19" s="69" t="s">
        <v>115</v>
      </c>
      <c r="E19" s="72" t="s">
        <v>104</v>
      </c>
      <c r="F19" s="72">
        <v>283</v>
      </c>
      <c r="G19" s="72">
        <v>56</v>
      </c>
      <c r="H19" s="72">
        <v>54</v>
      </c>
      <c r="I19" s="72">
        <v>50</v>
      </c>
      <c r="Q19" s="149" t="str">
        <f t="array" aca="1" ref="Q19" ca="1">IF(MIN(IF(Mat&lt;&gt;"",IF(COUNTIF(Q$1:Q18,Mat)=0,ROW(INDIRECT("1:"&amp;ROWS(Mat))))))&lt;&gt;0,
INDEX(Mat,MIN(IF(Mat&lt;&gt;"",IF(COUNTIF(Q$1:Q18,Mat)=0,ROW(INDIRECT("1:"&amp;ROWS(Mat))))))),0)</f>
        <v>Tôle d'acier</v>
      </c>
      <c r="R19" s="261">
        <f t="array" aca="1" ref="R19" ca="1">IF(ROWS($Q$4:$R19)&lt;=COUNTIF(Mat,'Bruit aérien int '!$E$11),INDEX(épaisseur,SMALL(IF(Mat='Bruit aérien int '!$E$11,ROW(INDIRECT("1:"&amp;ROWS(épaisseur)))),ROWS($Q$4:$R19))),0)</f>
        <v>0</v>
      </c>
    </row>
    <row r="20" spans="2:18" ht="34.5" customHeight="1">
      <c r="B20" t="str">
        <f t="shared" si="0"/>
        <v>Dalle alvéolée 265W nue0.265</v>
      </c>
      <c r="C20" s="105" t="str">
        <f t="shared" si="1"/>
        <v>Dalle alvéolée 265W nue_0.265</v>
      </c>
      <c r="D20" s="69" t="s">
        <v>116</v>
      </c>
      <c r="E20" s="72" t="s">
        <v>129</v>
      </c>
      <c r="F20" s="72">
        <v>350</v>
      </c>
      <c r="G20" s="72">
        <v>59</v>
      </c>
      <c r="H20" s="72">
        <v>58</v>
      </c>
      <c r="I20" s="72">
        <v>55</v>
      </c>
      <c r="J20" s="207"/>
      <c r="K20" s="203" t="s">
        <v>200</v>
      </c>
      <c r="L20" s="203"/>
      <c r="M20" s="204"/>
      <c r="Q20" s="149" t="str">
        <f t="array" aca="1" ref="Q20" ca="1">IF(MIN(IF(Mat&lt;&gt;"",IF(COUNTIF(Q$1:Q19,Mat)=0,ROW(INDIRECT("1:"&amp;ROWS(Mat))))))&lt;&gt;0,
INDEX(Mat,MIN(IF(Mat&lt;&gt;"",IF(COUNTIF(Q$1:Q19,Mat)=0,ROW(INDIRECT("1:"&amp;ROWS(Mat))))))),0)</f>
        <v>Tôle d'aluminium</v>
      </c>
      <c r="R20" s="261">
        <f t="array" aca="1" ref="R20" ca="1">IF(ROWS($Q$4:$R20)&lt;=COUNTIF(Mat,'Bruit aérien int '!$E$11),INDEX(épaisseur,SMALL(IF(Mat='Bruit aérien int '!$E$11,ROW(INDIRECT("1:"&amp;ROWS(épaisseur)))),ROWS($Q$4:$R20))),0)</f>
        <v>0</v>
      </c>
    </row>
    <row r="21" spans="2:18" ht="34.5" customHeight="1">
      <c r="B21" t="str">
        <f t="shared" si="0"/>
        <v>Dalle alvéolée 200W+0.080.28</v>
      </c>
      <c r="C21" s="105" t="str">
        <f t="shared" si="1"/>
        <v>Dalle alvéolée 200W+0.08_0.28</v>
      </c>
      <c r="D21" s="69" t="s">
        <v>117</v>
      </c>
      <c r="E21" s="72" t="s">
        <v>130</v>
      </c>
      <c r="F21" s="72">
        <v>430</v>
      </c>
      <c r="G21" s="72">
        <v>64</v>
      </c>
      <c r="H21" s="72">
        <v>63</v>
      </c>
      <c r="I21" s="72">
        <v>59</v>
      </c>
      <c r="J21" s="207"/>
      <c r="K21" s="203"/>
      <c r="L21" s="203"/>
      <c r="M21" s="204"/>
      <c r="Q21" s="149" t="str">
        <f t="array" aca="1" ref="Q21" ca="1">IF(MIN(IF(Mat&lt;&gt;"",IF(COUNTIF(Q$1:Q20,Mat)=0,ROW(INDIRECT("1:"&amp;ROWS(Mat))))))&lt;&gt;0,
INDEX(Mat,MIN(IF(Mat&lt;&gt;"",IF(COUNTIF(Q$1:Q20,Mat)=0,ROW(INDIRECT("1:"&amp;ROWS(Mat))))))),0)</f>
        <v>Plaques de plâtre</v>
      </c>
      <c r="R21" s="261">
        <f t="array" aca="1" ref="R21" ca="1">IF(ROWS($Q$4:$R21)&lt;=COUNTIF(Mat,'Bruit aérien int '!$E$11),INDEX(épaisseur,SMALL(IF(Mat='Bruit aérien int '!$E$11,ROW(INDIRECT("1:"&amp;ROWS(épaisseur)))),ROWS($Q$4:$R21))),0)</f>
        <v>0</v>
      </c>
    </row>
    <row r="22" spans="2:18" ht="34.5" customHeight="1">
      <c r="B22" t="str">
        <f t="shared" si="0"/>
        <v>Dalle alvéolée 265W+0.060.325</v>
      </c>
      <c r="C22" s="105" t="str">
        <f t="shared" si="1"/>
        <v>Dalle alvéolée 265W+0.06_0.325</v>
      </c>
      <c r="D22" s="69" t="s">
        <v>118</v>
      </c>
      <c r="E22" s="72" t="s">
        <v>131</v>
      </c>
      <c r="F22" s="72">
        <v>500</v>
      </c>
      <c r="G22" s="72">
        <v>63</v>
      </c>
      <c r="H22" s="72">
        <v>62</v>
      </c>
      <c r="I22" s="72">
        <v>58</v>
      </c>
      <c r="J22" s="207"/>
      <c r="K22" s="83"/>
      <c r="L22" s="70" t="s">
        <v>201</v>
      </c>
      <c r="M22" s="70" t="s">
        <v>206</v>
      </c>
      <c r="Q22" s="149">
        <f t="array" aca="1" ref="Q22" ca="1">IF(MIN(IF(Mat&lt;&gt;"",IF(COUNTIF(Q$1:Q21,Mat)=0,ROW(INDIRECT("1:"&amp;ROWS(Mat))))))&lt;&gt;0,
INDEX(Mat,MIN(IF(Mat&lt;&gt;"",IF(COUNTIF(Q$1:Q21,Mat)=0,ROW(INDIRECT("1:"&amp;ROWS(Mat))))))),0)</f>
        <v>0</v>
      </c>
      <c r="R22" s="261">
        <f t="array" aca="1" ref="R22" ca="1">IF(ROWS($Q$4:$R22)&lt;=COUNTIF(Mat,'Bruit aérien int '!$E$11),INDEX(épaisseur,SMALL(IF(Mat='Bruit aérien int '!$E$11,ROW(INDIRECT("1:"&amp;ROWS(épaisseur)))),ROWS($Q$4:$R22))),0)</f>
        <v>0</v>
      </c>
    </row>
    <row r="23" spans="2:18" ht="34.5" customHeight="1">
      <c r="B23" t="str">
        <f t="shared" si="0"/>
        <v>Blocs de béton cellulaire0.15</v>
      </c>
      <c r="C23" s="105" t="str">
        <f t="shared" si="1"/>
        <v>Blocs de béton cellulaire_0.15</v>
      </c>
      <c r="D23" s="103" t="s">
        <v>119</v>
      </c>
      <c r="E23" s="73" t="s">
        <v>106</v>
      </c>
      <c r="F23" s="73">
        <v>110</v>
      </c>
      <c r="G23" s="73">
        <v>40</v>
      </c>
      <c r="H23" s="73">
        <v>39</v>
      </c>
      <c r="I23" s="73">
        <v>36</v>
      </c>
      <c r="J23" s="205" t="s">
        <v>207</v>
      </c>
      <c r="K23" s="81" t="s">
        <v>202</v>
      </c>
      <c r="L23" s="82" t="s">
        <v>208</v>
      </c>
      <c r="M23" s="82" t="s">
        <v>214</v>
      </c>
      <c r="Q23" s="149">
        <f t="array" aca="1" ref="Q23" ca="1">IF(MIN(IF(Mat&lt;&gt;"",IF(COUNTIF(Q$1:Q22,Mat)=0,ROW(INDIRECT("1:"&amp;ROWS(Mat))))))&lt;&gt;0,
INDEX(Mat,MIN(IF(Mat&lt;&gt;"",IF(COUNTIF(Q$1:Q22,Mat)=0,ROW(INDIRECT("1:"&amp;ROWS(Mat))))))),0)</f>
        <v>0</v>
      </c>
      <c r="R23" s="261">
        <f t="array" aca="1" ref="R23" ca="1">IF(ROWS($Q$4:$R23)&lt;=COUNTIF(Mat,'Bruit aérien int '!$E$11),INDEX(épaisseur,SMALL(IF(Mat='Bruit aérien int '!$E$11,ROW(INDIRECT("1:"&amp;ROWS(épaisseur)))),ROWS($Q$4:$R23))),0)</f>
        <v>0</v>
      </c>
    </row>
    <row r="24" spans="2:18" ht="36.75" customHeight="1">
      <c r="B24" t="str">
        <f t="shared" si="0"/>
        <v>Blocs de béton cellulaire0.2</v>
      </c>
      <c r="C24" s="105" t="str">
        <f>D24&amp;"_"&amp;E24</f>
        <v>Blocs de béton cellulaire_0.2</v>
      </c>
      <c r="D24" s="103" t="s">
        <v>119</v>
      </c>
      <c r="E24" s="73" t="s">
        <v>132</v>
      </c>
      <c r="F24" s="73">
        <v>145</v>
      </c>
      <c r="G24" s="73">
        <v>44</v>
      </c>
      <c r="H24" s="73">
        <v>43</v>
      </c>
      <c r="I24" s="73">
        <v>41</v>
      </c>
      <c r="J24" s="206"/>
      <c r="K24" s="81" t="s">
        <v>203</v>
      </c>
      <c r="L24" s="82" t="s">
        <v>209</v>
      </c>
      <c r="M24" s="82" t="s">
        <v>211</v>
      </c>
      <c r="Q24" s="149">
        <f t="array" aca="1" ref="Q24" ca="1">IF(MIN(IF(Mat&lt;&gt;"",IF(COUNTIF(Q$1:Q23,Mat)=0,ROW(INDIRECT("1:"&amp;ROWS(Mat))))))&lt;&gt;0,
INDEX(Mat,MIN(IF(Mat&lt;&gt;"",IF(COUNTIF(Q$1:Q23,Mat)=0,ROW(INDIRECT("1:"&amp;ROWS(Mat))))))),0)</f>
        <v>0</v>
      </c>
      <c r="R24" s="261">
        <f t="array" aca="1" ref="R24" ca="1">IF(ROWS($Q$4:$R24)&lt;=COUNTIF(Mat,'Bruit aérien int '!$E$11),INDEX(épaisseur,SMALL(IF(Mat='Bruit aérien int '!$E$11,ROW(INDIRECT("1:"&amp;ROWS(épaisseur)))),ROWS($Q$4:$R24))),0)</f>
        <v>0</v>
      </c>
    </row>
    <row r="25" spans="2:18" ht="33.75" customHeight="1">
      <c r="B25" t="str">
        <f t="shared" si="0"/>
        <v>Blocs de béton cellulaire0.25</v>
      </c>
      <c r="C25" s="105" t="str">
        <f t="shared" si="1"/>
        <v>Blocs de béton cellulaire_0.25</v>
      </c>
      <c r="D25" s="103" t="s">
        <v>119</v>
      </c>
      <c r="E25" s="73" t="s">
        <v>114</v>
      </c>
      <c r="F25" s="73">
        <v>180</v>
      </c>
      <c r="G25" s="73">
        <v>48</v>
      </c>
      <c r="H25" s="73">
        <v>47</v>
      </c>
      <c r="I25" s="73">
        <v>44</v>
      </c>
      <c r="J25" s="206"/>
      <c r="K25" s="69" t="s">
        <v>204</v>
      </c>
      <c r="L25" s="73" t="s">
        <v>210</v>
      </c>
      <c r="M25" s="73"/>
      <c r="Q25" s="149">
        <f t="array" aca="1" ref="Q25" ca="1">IF(MIN(IF(Mat&lt;&gt;"",IF(COUNTIF(Q$1:Q24,Mat)=0,ROW(INDIRECT("1:"&amp;ROWS(Mat))))))&lt;&gt;0,
INDEX(Mat,MIN(IF(Mat&lt;&gt;"",IF(COUNTIF(Q$1:Q24,Mat)=0,ROW(INDIRECT("1:"&amp;ROWS(Mat))))))),0)</f>
        <v>0</v>
      </c>
      <c r="R25" s="261">
        <f t="array" aca="1" ref="R25" ca="1">IF(ROWS($Q$4:$R25)&lt;=COUNTIF(Mat,'Bruit aérien int '!$E$11),INDEX(épaisseur,SMALL(IF(Mat='Bruit aérien int '!$E$11,ROW(INDIRECT("1:"&amp;ROWS(épaisseur)))),ROWS($Q$4:$R25))),0)</f>
        <v>0</v>
      </c>
    </row>
    <row r="26" spans="2:18" ht="39.75" customHeight="1">
      <c r="B26" t="str">
        <f t="shared" si="0"/>
        <v>Blocs de béton creux0.1</v>
      </c>
      <c r="C26" s="105" t="str">
        <f t="shared" si="1"/>
        <v>Blocs de béton creux_0.1</v>
      </c>
      <c r="D26" s="103" t="s">
        <v>120</v>
      </c>
      <c r="E26" s="73" t="s">
        <v>101</v>
      </c>
      <c r="F26" s="73">
        <v>150</v>
      </c>
      <c r="G26" s="73">
        <v>43</v>
      </c>
      <c r="H26" s="73">
        <v>42</v>
      </c>
      <c r="I26" s="73">
        <v>40</v>
      </c>
      <c r="J26" s="206"/>
      <c r="K26" s="69" t="s">
        <v>205</v>
      </c>
      <c r="L26" s="73" t="s">
        <v>210</v>
      </c>
      <c r="M26" s="73" t="s">
        <v>212</v>
      </c>
      <c r="Q26" s="149">
        <f t="array" aca="1" ref="Q26" ca="1">IF(MIN(IF(Mat&lt;&gt;"",IF(COUNTIF(Q$1:Q25,Mat)=0,ROW(INDIRECT("1:"&amp;ROWS(Mat))))))&lt;&gt;0,
INDEX(Mat,MIN(IF(Mat&lt;&gt;"",IF(COUNTIF(Q$1:Q25,Mat)=0,ROW(INDIRECT("1:"&amp;ROWS(Mat))))))),0)</f>
        <v>0</v>
      </c>
      <c r="R26" s="261">
        <f t="array" aca="1" ref="R26" ca="1">IF(ROWS($Q$4:$R26)&lt;=COUNTIF(Mat,'Bruit aérien int '!$E$11),INDEX(épaisseur,SMALL(IF(Mat='Bruit aérien int '!$E$11,ROW(INDIRECT("1:"&amp;ROWS(épaisseur)))),ROWS($Q$4:$R26))),0)</f>
        <v>0</v>
      </c>
    </row>
    <row r="27" spans="2:18" ht="34.5" customHeight="1">
      <c r="B27" t="str">
        <f t="shared" si="0"/>
        <v>Blocs de béton creux0.125</v>
      </c>
      <c r="C27" s="105" t="str">
        <f t="shared" si="1"/>
        <v>Blocs de béton creux_0.125</v>
      </c>
      <c r="D27" s="103" t="s">
        <v>120</v>
      </c>
      <c r="E27" s="73" t="s">
        <v>133</v>
      </c>
      <c r="F27" s="73">
        <v>185</v>
      </c>
      <c r="G27" s="73">
        <v>45</v>
      </c>
      <c r="H27" s="73">
        <v>44</v>
      </c>
      <c r="I27" s="73">
        <v>42</v>
      </c>
      <c r="Q27" s="149">
        <f t="array" aca="1" ref="Q27" ca="1">IF(MIN(IF(Mat&lt;&gt;"",IF(COUNTIF(Q$1:Q26,Mat)=0,ROW(INDIRECT("1:"&amp;ROWS(Mat))))))&lt;&gt;0,
INDEX(Mat,MIN(IF(Mat&lt;&gt;"",IF(COUNTIF(Q$1:Q26,Mat)=0,ROW(INDIRECT("1:"&amp;ROWS(Mat))))))),0)</f>
        <v>0</v>
      </c>
      <c r="R27" s="261">
        <f t="array" aca="1" ref="R27" ca="1">IF(ROWS($Q$4:$R27)&lt;=COUNTIF(Mat,'Bruit aérien int '!$E$11),INDEX(épaisseur,SMALL(IF(Mat='Bruit aérien int '!$E$11,ROW(INDIRECT("1:"&amp;ROWS(épaisseur)))),ROWS($Q$4:$R27))),0)</f>
        <v>0</v>
      </c>
    </row>
    <row r="28" spans="2:18" ht="34.5" customHeight="1">
      <c r="B28" t="str">
        <f t="shared" si="0"/>
        <v>Blocs de béton creux0.15</v>
      </c>
      <c r="C28" s="105" t="str">
        <f t="shared" si="1"/>
        <v>Blocs de béton creux_0.15</v>
      </c>
      <c r="D28" s="103" t="s">
        <v>120</v>
      </c>
      <c r="E28" s="73" t="s">
        <v>106</v>
      </c>
      <c r="F28" s="73">
        <v>220</v>
      </c>
      <c r="G28" s="73">
        <v>48</v>
      </c>
      <c r="H28" s="73">
        <v>47</v>
      </c>
      <c r="I28" s="73">
        <v>45</v>
      </c>
      <c r="Q28" s="149">
        <f t="array" aca="1" ref="Q28" ca="1">IF(MIN(IF(Mat&lt;&gt;"",IF(COUNTIF(Q$1:Q27,Mat)=0,ROW(INDIRECT("1:"&amp;ROWS(Mat))))))&lt;&gt;0,
INDEX(Mat,MIN(IF(Mat&lt;&gt;"",IF(COUNTIF(Q$1:Q27,Mat)=0,ROW(INDIRECT("1:"&amp;ROWS(Mat))))))),0)</f>
        <v>0</v>
      </c>
      <c r="R28" s="261">
        <f t="array" aca="1" ref="R28" ca="1">IF(ROWS($Q$4:$R28)&lt;=COUNTIF(Mat,'Bruit aérien int '!$E$11),INDEX(épaisseur,SMALL(IF(Mat='Bruit aérien int '!$E$11,ROW(INDIRECT("1:"&amp;ROWS(épaisseur)))),ROWS($Q$4:$R28))),0)</f>
        <v>0</v>
      </c>
    </row>
    <row r="29" spans="2:18" ht="34.5" customHeight="1">
      <c r="B29" t="str">
        <f t="shared" si="0"/>
        <v>Blocs de béton creux0.175</v>
      </c>
      <c r="C29" s="105" t="str">
        <f t="shared" si="1"/>
        <v>Blocs de béton creux_0.175</v>
      </c>
      <c r="D29" s="103" t="s">
        <v>120</v>
      </c>
      <c r="E29" s="73" t="s">
        <v>134</v>
      </c>
      <c r="F29" s="73">
        <v>250</v>
      </c>
      <c r="G29" s="73">
        <v>52</v>
      </c>
      <c r="H29" s="73">
        <v>51</v>
      </c>
      <c r="I29" s="73">
        <v>48</v>
      </c>
      <c r="K29" s="208"/>
      <c r="L29" s="174"/>
      <c r="M29" s="174"/>
      <c r="Q29" s="149">
        <f t="array" aca="1" ref="Q29" ca="1">IF(MIN(IF(Mat&lt;&gt;"",IF(COUNTIF(Q$1:Q28,Mat)=0,ROW(INDIRECT("1:"&amp;ROWS(Mat))))))&lt;&gt;0,
INDEX(Mat,MIN(IF(Mat&lt;&gt;"",IF(COUNTIF(Q$1:Q28,Mat)=0,ROW(INDIRECT("1:"&amp;ROWS(Mat))))))),0)</f>
        <v>0</v>
      </c>
      <c r="R29" s="261">
        <f t="array" aca="1" ref="R29" ca="1">IF(ROWS($Q$4:$R29)&lt;=COUNTIF(Mat,'Bruit aérien int '!$E$11),INDEX(épaisseur,SMALL(IF(Mat='Bruit aérien int '!$E$11,ROW(INDIRECT("1:"&amp;ROWS(épaisseur)))),ROWS($Q$4:$R29))),0)</f>
        <v>0</v>
      </c>
    </row>
    <row r="30" spans="2:18" ht="34.5" customHeight="1">
      <c r="B30" t="str">
        <f t="shared" si="0"/>
        <v>Blocs de béton creux0.2</v>
      </c>
      <c r="C30" s="105" t="str">
        <f t="shared" si="1"/>
        <v>Blocs de béton creux_0.2</v>
      </c>
      <c r="D30" s="103" t="s">
        <v>120</v>
      </c>
      <c r="E30" s="73" t="s">
        <v>132</v>
      </c>
      <c r="F30" s="73">
        <v>275</v>
      </c>
      <c r="G30" s="73">
        <v>55</v>
      </c>
      <c r="H30" s="73">
        <v>54</v>
      </c>
      <c r="I30" s="73">
        <v>51</v>
      </c>
      <c r="K30" s="174"/>
      <c r="L30" s="174"/>
      <c r="M30" s="174"/>
      <c r="Q30" s="149">
        <f t="array" aca="1" ref="Q30" ca="1">IF(MIN(IF(Mat&lt;&gt;"",IF(COUNTIF(Q$1:Q29,Mat)=0,ROW(INDIRECT("1:"&amp;ROWS(Mat))))))&lt;&gt;0,
INDEX(Mat,MIN(IF(Mat&lt;&gt;"",IF(COUNTIF(Q$1:Q29,Mat)=0,ROW(INDIRECT("1:"&amp;ROWS(Mat))))))),0)</f>
        <v>0</v>
      </c>
      <c r="R30" s="261">
        <f t="array" aca="1" ref="R30" ca="1">IF(ROWS($Q$4:$R30)&lt;=COUNTIF(Mat,'Bruit aérien int '!$E$11),INDEX(épaisseur,SMALL(IF(Mat='Bruit aérien int '!$E$11,ROW(INDIRECT("1:"&amp;ROWS(épaisseur)))),ROWS($Q$4:$R30))),0)</f>
        <v>0</v>
      </c>
    </row>
    <row r="31" spans="2:18" ht="34.5" customHeight="1">
      <c r="B31" t="str">
        <f t="shared" si="0"/>
        <v>Blocs de béton pleins0.1</v>
      </c>
      <c r="C31" s="105" t="str">
        <f>D31&amp;"_"&amp;E31</f>
        <v>Blocs de béton pleins_0.1</v>
      </c>
      <c r="D31" s="103" t="s">
        <v>121</v>
      </c>
      <c r="E31" s="73" t="s">
        <v>101</v>
      </c>
      <c r="F31" s="73">
        <v>240</v>
      </c>
      <c r="G31" s="73">
        <v>50</v>
      </c>
      <c r="H31" s="73">
        <v>49</v>
      </c>
      <c r="I31" s="73">
        <v>46</v>
      </c>
    </row>
    <row r="32" spans="2:18" ht="34.5" customHeight="1">
      <c r="B32" t="str">
        <f t="shared" si="0"/>
        <v>Blocs de béton pleins0.125</v>
      </c>
      <c r="C32" s="105" t="str">
        <f t="shared" si="1"/>
        <v>Blocs de béton pleins_0.125</v>
      </c>
      <c r="D32" s="103" t="s">
        <v>121</v>
      </c>
      <c r="E32" s="73" t="s">
        <v>133</v>
      </c>
      <c r="F32" s="73">
        <v>285</v>
      </c>
      <c r="G32" s="73">
        <v>53</v>
      </c>
      <c r="H32" s="73">
        <v>52</v>
      </c>
      <c r="I32" s="73">
        <v>49</v>
      </c>
    </row>
    <row r="33" spans="2:9" ht="34.5" customHeight="1">
      <c r="B33" t="str">
        <f t="shared" si="0"/>
        <v>Blocs de béton plein ou pleins perforés0.15</v>
      </c>
      <c r="C33" s="105" t="str">
        <f t="shared" si="1"/>
        <v>Blocs de béton plein ou pleins perforés_0.15</v>
      </c>
      <c r="D33" s="104" t="s">
        <v>122</v>
      </c>
      <c r="E33" s="73" t="s">
        <v>106</v>
      </c>
      <c r="F33" s="73">
        <v>330</v>
      </c>
      <c r="G33" s="73">
        <v>56</v>
      </c>
      <c r="H33" s="73">
        <v>55</v>
      </c>
      <c r="I33" s="73">
        <v>51</v>
      </c>
    </row>
    <row r="34" spans="2:9" ht="34.5" customHeight="1">
      <c r="B34" t="str">
        <f t="shared" si="0"/>
        <v>Blocs de béton plein ou pleins perforés0.2</v>
      </c>
      <c r="C34" s="105" t="str">
        <f t="shared" si="1"/>
        <v>Blocs de béton plein ou pleins perforés_0.2</v>
      </c>
      <c r="D34" s="104" t="s">
        <v>122</v>
      </c>
      <c r="E34" s="73" t="s">
        <v>132</v>
      </c>
      <c r="F34" s="73">
        <v>420</v>
      </c>
      <c r="G34" s="73">
        <v>62</v>
      </c>
      <c r="H34" s="73">
        <v>61</v>
      </c>
      <c r="I34" s="73">
        <v>57</v>
      </c>
    </row>
    <row r="35" spans="2:9" ht="34.5" customHeight="1">
      <c r="B35" t="str">
        <f t="shared" si="0"/>
        <v>Blocs pleins de béton léger0.15</v>
      </c>
      <c r="C35" s="105" t="str">
        <f t="shared" si="1"/>
        <v>Blocs pleins de béton léger_0.15</v>
      </c>
      <c r="D35" s="103" t="s">
        <v>123</v>
      </c>
      <c r="E35" s="73" t="s">
        <v>106</v>
      </c>
      <c r="F35" s="73">
        <v>250</v>
      </c>
      <c r="G35" s="73">
        <v>51</v>
      </c>
      <c r="H35" s="73">
        <v>50</v>
      </c>
      <c r="I35" s="73">
        <v>45</v>
      </c>
    </row>
    <row r="36" spans="2:9" ht="34.5" customHeight="1">
      <c r="B36" t="str">
        <f t="shared" si="0"/>
        <v>Blocs pleins de béton léger0.2</v>
      </c>
      <c r="C36" s="105" t="str">
        <f t="shared" si="1"/>
        <v>Blocs pleins de béton léger_0.2</v>
      </c>
      <c r="D36" s="103" t="s">
        <v>123</v>
      </c>
      <c r="E36" s="73" t="s">
        <v>132</v>
      </c>
      <c r="F36" s="73">
        <v>310</v>
      </c>
      <c r="G36" s="73">
        <v>54</v>
      </c>
      <c r="H36" s="73">
        <v>53</v>
      </c>
      <c r="I36" s="73">
        <v>49</v>
      </c>
    </row>
    <row r="37" spans="2:9" ht="34.5" customHeight="1">
      <c r="B37" t="str">
        <f t="shared" si="0"/>
        <v>Briques creuses0.15</v>
      </c>
      <c r="C37" s="105" t="str">
        <f t="shared" si="1"/>
        <v>Briques creuses_0.15</v>
      </c>
      <c r="D37" s="103" t="s">
        <v>124</v>
      </c>
      <c r="E37" s="75" t="s">
        <v>106</v>
      </c>
      <c r="F37" s="75">
        <v>200</v>
      </c>
      <c r="G37" s="75">
        <v>46</v>
      </c>
      <c r="H37" s="75">
        <v>45</v>
      </c>
      <c r="I37" s="75">
        <v>42</v>
      </c>
    </row>
    <row r="38" spans="2:9" ht="34.5" customHeight="1">
      <c r="B38" t="str">
        <f t="shared" si="0"/>
        <v>Briques creuses0.2</v>
      </c>
      <c r="C38" s="105" t="str">
        <f t="shared" si="1"/>
        <v>Briques creuses_0.2</v>
      </c>
      <c r="D38" s="103" t="s">
        <v>124</v>
      </c>
      <c r="E38" s="75" t="s">
        <v>132</v>
      </c>
      <c r="F38" s="75">
        <v>250</v>
      </c>
      <c r="G38" s="75">
        <v>52</v>
      </c>
      <c r="H38" s="75">
        <v>51</v>
      </c>
      <c r="I38" s="75">
        <v>49</v>
      </c>
    </row>
    <row r="39" spans="2:9" ht="34.5" customHeight="1">
      <c r="B39" t="str">
        <f t="shared" si="0"/>
        <v>Briques perforées0.22</v>
      </c>
      <c r="C39" s="105" t="str">
        <f t="shared" si="1"/>
        <v>Briques perforées_0.22</v>
      </c>
      <c r="D39" s="69" t="s">
        <v>125</v>
      </c>
      <c r="E39" s="75" t="s">
        <v>111</v>
      </c>
      <c r="F39" s="75">
        <v>330</v>
      </c>
      <c r="G39" s="75">
        <v>55</v>
      </c>
      <c r="H39" s="75">
        <v>54</v>
      </c>
      <c r="I39" s="75">
        <v>51</v>
      </c>
    </row>
    <row r="40" spans="2:9" ht="34.5" customHeight="1">
      <c r="B40" t="str">
        <f t="shared" si="0"/>
        <v>Briques pleines0.11</v>
      </c>
      <c r="C40" s="105" t="str">
        <f t="shared" si="1"/>
        <v>Briques pleines_0.11</v>
      </c>
      <c r="D40" s="103" t="s">
        <v>126</v>
      </c>
      <c r="E40" s="75" t="s">
        <v>135</v>
      </c>
      <c r="F40" s="75">
        <v>210</v>
      </c>
      <c r="G40" s="75">
        <v>45</v>
      </c>
      <c r="H40" s="75">
        <v>44</v>
      </c>
      <c r="I40" s="75">
        <v>42</v>
      </c>
    </row>
    <row r="41" spans="2:9" ht="34.5" customHeight="1">
      <c r="B41" t="str">
        <f t="shared" si="0"/>
        <v>Briques pleines0.22</v>
      </c>
      <c r="C41" s="105" t="str">
        <f t="shared" si="1"/>
        <v>Briques pleines_0.22</v>
      </c>
      <c r="D41" s="103" t="s">
        <v>126</v>
      </c>
      <c r="E41" s="75" t="s">
        <v>111</v>
      </c>
      <c r="F41" s="75">
        <v>410</v>
      </c>
      <c r="G41" s="75">
        <v>59</v>
      </c>
      <c r="H41" s="75">
        <v>58</v>
      </c>
      <c r="I41" s="75">
        <v>55</v>
      </c>
    </row>
    <row r="42" spans="2:9" ht="34.5" customHeight="1">
      <c r="B42" t="str">
        <f t="shared" si="0"/>
        <v>Briques plâtrières 0.05</v>
      </c>
      <c r="C42" s="105" t="str">
        <f t="shared" si="1"/>
        <v>Briques plâtrières _0.05</v>
      </c>
      <c r="D42" s="103" t="s">
        <v>127</v>
      </c>
      <c r="E42" s="75" t="s">
        <v>136</v>
      </c>
      <c r="F42" s="75">
        <v>60</v>
      </c>
      <c r="G42" s="75">
        <v>32</v>
      </c>
      <c r="H42" s="75">
        <v>32</v>
      </c>
      <c r="I42" s="75">
        <v>31</v>
      </c>
    </row>
    <row r="43" spans="2:9" ht="34.5" customHeight="1">
      <c r="B43" t="str">
        <f t="shared" si="0"/>
        <v>Briques plâtrières 0.07</v>
      </c>
      <c r="C43" s="105" t="str">
        <f t="shared" si="1"/>
        <v>Briques plâtrières _0.07</v>
      </c>
      <c r="D43" s="103" t="s">
        <v>127</v>
      </c>
      <c r="E43" s="75" t="s">
        <v>137</v>
      </c>
      <c r="F43" s="75">
        <v>70</v>
      </c>
      <c r="G43" s="75">
        <v>34</v>
      </c>
      <c r="H43" s="75">
        <v>34</v>
      </c>
      <c r="I43" s="75">
        <v>32</v>
      </c>
    </row>
    <row r="44" spans="2:9" ht="34.5" customHeight="1">
      <c r="B44" t="str">
        <f t="shared" si="0"/>
        <v>Carreaux de plâtre0.05</v>
      </c>
      <c r="C44" s="105" t="str">
        <f t="shared" si="1"/>
        <v>Carreaux de plâtre_0.05</v>
      </c>
      <c r="D44" s="103" t="s">
        <v>128</v>
      </c>
      <c r="E44" s="74" t="s">
        <v>136</v>
      </c>
      <c r="F44" s="74">
        <v>50</v>
      </c>
      <c r="G44" s="74">
        <v>32</v>
      </c>
      <c r="H44" s="74">
        <v>32</v>
      </c>
      <c r="I44" s="74">
        <v>30</v>
      </c>
    </row>
    <row r="45" spans="2:9" ht="34.5" customHeight="1">
      <c r="B45" t="str">
        <f t="shared" si="0"/>
        <v>Carreaux de plâtre0.07</v>
      </c>
      <c r="C45" s="105" t="str">
        <f t="shared" si="1"/>
        <v>Carreaux de plâtre_0.07</v>
      </c>
      <c r="D45" s="103" t="s">
        <v>128</v>
      </c>
      <c r="E45" s="74" t="s">
        <v>137</v>
      </c>
      <c r="F45" s="74">
        <v>70</v>
      </c>
      <c r="G45" s="74">
        <v>35</v>
      </c>
      <c r="H45" s="74">
        <v>34</v>
      </c>
      <c r="I45" s="74">
        <v>33</v>
      </c>
    </row>
    <row r="46" spans="2:9" ht="34.5" customHeight="1">
      <c r="B46" t="str">
        <f t="shared" si="0"/>
        <v>Carreaux de plâtre0.1</v>
      </c>
      <c r="C46" s="105" t="str">
        <f t="shared" si="1"/>
        <v>Carreaux de plâtre_0.1</v>
      </c>
      <c r="D46" s="103" t="s">
        <v>128</v>
      </c>
      <c r="E46" s="74" t="s">
        <v>101</v>
      </c>
      <c r="F46" s="74">
        <v>100</v>
      </c>
      <c r="G46" s="74">
        <v>38</v>
      </c>
      <c r="H46" s="74">
        <v>37</v>
      </c>
      <c r="I46" s="74">
        <v>35</v>
      </c>
    </row>
    <row r="47" spans="2:9" ht="34.5" customHeight="1">
      <c r="B47" t="str">
        <f t="shared" si="0"/>
        <v>Tôle d'acier0.001</v>
      </c>
      <c r="C47" s="105" t="str">
        <f t="shared" si="1"/>
        <v>Tôle d'acier_0.001</v>
      </c>
      <c r="D47" s="103" t="s">
        <v>147</v>
      </c>
      <c r="E47" s="76" t="s">
        <v>139</v>
      </c>
      <c r="F47" s="76">
        <v>8</v>
      </c>
      <c r="G47" s="76">
        <v>32</v>
      </c>
      <c r="H47" s="68"/>
      <c r="I47" s="68"/>
    </row>
    <row r="48" spans="2:9" ht="34.5" customHeight="1">
      <c r="B48" t="str">
        <f t="shared" si="0"/>
        <v>Tôle d'acier0.0035</v>
      </c>
      <c r="C48" s="105" t="str">
        <f t="shared" si="1"/>
        <v>Tôle d'acier_0.0035</v>
      </c>
      <c r="D48" s="103" t="s">
        <v>147</v>
      </c>
      <c r="E48" s="76" t="s">
        <v>140</v>
      </c>
      <c r="F48" s="76">
        <v>28</v>
      </c>
      <c r="G48" s="76">
        <v>39</v>
      </c>
      <c r="H48" s="68"/>
      <c r="I48" s="68"/>
    </row>
    <row r="49" spans="2:11" ht="34.5" customHeight="1">
      <c r="B49" t="str">
        <f t="shared" si="0"/>
        <v>Tôle d'acier0.007</v>
      </c>
      <c r="C49" s="105" t="str">
        <f t="shared" si="1"/>
        <v>Tôle d'acier_0.007</v>
      </c>
      <c r="D49" s="103" t="s">
        <v>147</v>
      </c>
      <c r="E49" s="76" t="s">
        <v>141</v>
      </c>
      <c r="F49" s="76">
        <v>55</v>
      </c>
      <c r="G49" s="76">
        <v>35</v>
      </c>
      <c r="H49" s="68"/>
      <c r="I49" s="68"/>
    </row>
    <row r="50" spans="2:11" ht="34.5" customHeight="1">
      <c r="B50" t="str">
        <f t="shared" si="0"/>
        <v>Tôle d'aluminium0.0005</v>
      </c>
      <c r="C50" s="105" t="str">
        <f t="shared" si="1"/>
        <v>Tôle d'aluminium_0.0005</v>
      </c>
      <c r="D50" s="103" t="s">
        <v>148</v>
      </c>
      <c r="E50" s="77" t="s">
        <v>142</v>
      </c>
      <c r="F50" s="77">
        <v>1</v>
      </c>
      <c r="G50" s="77">
        <v>19</v>
      </c>
      <c r="H50" s="68"/>
      <c r="I50" s="68"/>
    </row>
    <row r="51" spans="2:11" ht="34.5" customHeight="1">
      <c r="B51" t="str">
        <f t="shared" si="0"/>
        <v>Tôle d'aluminium0.002</v>
      </c>
      <c r="C51" s="105" t="str">
        <f t="shared" si="1"/>
        <v>Tôle d'aluminium_0.002</v>
      </c>
      <c r="D51" s="103" t="s">
        <v>148</v>
      </c>
      <c r="E51" s="77" t="s">
        <v>143</v>
      </c>
      <c r="F51" s="77">
        <v>5</v>
      </c>
      <c r="G51" s="77">
        <v>24</v>
      </c>
      <c r="H51" s="68"/>
      <c r="I51" s="68"/>
    </row>
    <row r="52" spans="2:11" ht="34.5" customHeight="1">
      <c r="B52" t="str">
        <f t="shared" si="0"/>
        <v>Tôle d'aluminium0.0095</v>
      </c>
      <c r="C52" s="105" t="str">
        <f t="shared" si="1"/>
        <v>Tôle d'aluminium_0.0095</v>
      </c>
      <c r="D52" s="103" t="s">
        <v>148</v>
      </c>
      <c r="E52" s="77" t="s">
        <v>144</v>
      </c>
      <c r="F52" s="77">
        <v>9</v>
      </c>
      <c r="G52" s="77">
        <v>29</v>
      </c>
      <c r="H52" s="68"/>
      <c r="I52" s="68"/>
    </row>
    <row r="53" spans="2:11" ht="34.5" customHeight="1">
      <c r="B53" t="str">
        <f t="shared" si="0"/>
        <v>Plaques de plâtre0.0125</v>
      </c>
      <c r="C53" s="105" t="str">
        <f t="shared" si="1"/>
        <v>Plaques de plâtre_0.0125</v>
      </c>
      <c r="D53" s="103" t="s">
        <v>149</v>
      </c>
      <c r="E53" s="78" t="s">
        <v>145</v>
      </c>
      <c r="F53" s="78">
        <v>11</v>
      </c>
      <c r="G53" s="78">
        <v>30</v>
      </c>
      <c r="H53" s="68"/>
      <c r="I53" s="68"/>
    </row>
    <row r="54" spans="2:11" ht="34.5" customHeight="1">
      <c r="B54" t="str">
        <f t="shared" si="0"/>
        <v>Plaques de plâtre0.018</v>
      </c>
      <c r="C54" s="105" t="str">
        <f t="shared" si="1"/>
        <v>Plaques de plâtre_0.018</v>
      </c>
      <c r="D54" s="103" t="s">
        <v>149</v>
      </c>
      <c r="E54" s="78" t="s">
        <v>146</v>
      </c>
      <c r="F54" s="78">
        <v>16</v>
      </c>
      <c r="G54" s="78">
        <v>31</v>
      </c>
      <c r="H54" s="68"/>
      <c r="I54" s="68"/>
    </row>
    <row r="57" spans="2:11" ht="34.5" customHeight="1">
      <c r="D57" s="196" t="s">
        <v>151</v>
      </c>
      <c r="E57" s="196"/>
      <c r="F57" s="196"/>
      <c r="G57" s="196"/>
      <c r="H57" s="196"/>
      <c r="I57" s="196"/>
      <c r="J57" s="196"/>
      <c r="K57" s="196"/>
    </row>
    <row r="58" spans="2:11" ht="34.5" customHeight="1">
      <c r="D58" s="196"/>
      <c r="E58" s="196"/>
      <c r="F58" s="196"/>
      <c r="G58" s="196"/>
      <c r="H58" s="196"/>
      <c r="I58" s="196"/>
      <c r="J58" s="196"/>
      <c r="K58" s="196"/>
    </row>
    <row r="59" spans="2:11" ht="34.5" customHeight="1">
      <c r="D59" s="69" t="s">
        <v>152</v>
      </c>
      <c r="E59" s="69" t="s">
        <v>153</v>
      </c>
      <c r="F59" s="69" t="s">
        <v>154</v>
      </c>
      <c r="G59" s="69" t="s">
        <v>155</v>
      </c>
      <c r="H59" s="69" t="s">
        <v>156</v>
      </c>
      <c r="I59" s="69" t="s">
        <v>157</v>
      </c>
      <c r="J59" s="69" t="s">
        <v>96</v>
      </c>
      <c r="K59" s="69" t="s">
        <v>158</v>
      </c>
    </row>
    <row r="60" spans="2:11" ht="34.5" customHeight="1">
      <c r="D60" s="69" t="s">
        <v>159</v>
      </c>
      <c r="E60" s="73">
        <v>1</v>
      </c>
      <c r="F60" s="73" t="s">
        <v>183</v>
      </c>
      <c r="G60" s="73" t="s">
        <v>183</v>
      </c>
      <c r="H60" s="73" t="s">
        <v>189</v>
      </c>
      <c r="I60" s="73">
        <v>36</v>
      </c>
      <c r="J60" s="80">
        <v>37</v>
      </c>
      <c r="K60" s="80">
        <v>35</v>
      </c>
    </row>
    <row r="61" spans="2:11" ht="34.5" customHeight="1">
      <c r="D61" s="69" t="s">
        <v>160</v>
      </c>
      <c r="E61" s="73">
        <v>1</v>
      </c>
      <c r="F61" s="73" t="s">
        <v>183</v>
      </c>
      <c r="G61" s="73" t="s">
        <v>183</v>
      </c>
      <c r="H61" s="73" t="s">
        <v>189</v>
      </c>
      <c r="I61" s="73">
        <v>36</v>
      </c>
      <c r="J61" s="80">
        <v>44</v>
      </c>
      <c r="K61" s="80">
        <v>41</v>
      </c>
    </row>
    <row r="62" spans="2:11" ht="34.5" customHeight="1">
      <c r="D62" s="69" t="s">
        <v>161</v>
      </c>
      <c r="E62" s="73">
        <v>1</v>
      </c>
      <c r="F62" s="73" t="s">
        <v>184</v>
      </c>
      <c r="G62" s="73" t="s">
        <v>184</v>
      </c>
      <c r="H62" s="73" t="s">
        <v>189</v>
      </c>
      <c r="I62" s="73">
        <v>24</v>
      </c>
      <c r="J62" s="80">
        <v>34</v>
      </c>
      <c r="K62" s="80">
        <v>33</v>
      </c>
    </row>
    <row r="63" spans="2:11" ht="34.5" customHeight="1">
      <c r="D63" s="69" t="s">
        <v>162</v>
      </c>
      <c r="E63" s="73">
        <v>1</v>
      </c>
      <c r="F63" s="73" t="s">
        <v>184</v>
      </c>
      <c r="G63" s="73" t="s">
        <v>184</v>
      </c>
      <c r="H63" s="73" t="s">
        <v>189</v>
      </c>
      <c r="I63" s="73">
        <v>24</v>
      </c>
      <c r="J63" s="80">
        <v>42</v>
      </c>
      <c r="K63" s="80">
        <v>39</v>
      </c>
    </row>
    <row r="64" spans="2:11" ht="34.5" customHeight="1">
      <c r="D64" s="69" t="s">
        <v>163</v>
      </c>
      <c r="E64" s="73">
        <v>1</v>
      </c>
      <c r="F64" s="73" t="s">
        <v>183</v>
      </c>
      <c r="G64" s="73" t="s">
        <v>183</v>
      </c>
      <c r="H64" s="73" t="s">
        <v>190</v>
      </c>
      <c r="I64" s="73">
        <v>36</v>
      </c>
      <c r="J64" s="80">
        <v>38</v>
      </c>
      <c r="K64" s="80">
        <v>36</v>
      </c>
    </row>
    <row r="65" spans="4:11" ht="34.5" customHeight="1">
      <c r="D65" s="69" t="s">
        <v>164</v>
      </c>
      <c r="E65" s="73">
        <v>1</v>
      </c>
      <c r="F65" s="73" t="s">
        <v>183</v>
      </c>
      <c r="G65" s="73" t="s">
        <v>183</v>
      </c>
      <c r="H65" s="73" t="s">
        <v>190</v>
      </c>
      <c r="I65" s="73">
        <v>36</v>
      </c>
      <c r="J65" s="80">
        <v>44</v>
      </c>
      <c r="K65" s="80">
        <v>42</v>
      </c>
    </row>
    <row r="66" spans="4:11" ht="34.5" customHeight="1">
      <c r="D66" s="69" t="s">
        <v>165</v>
      </c>
      <c r="E66" s="73">
        <v>1</v>
      </c>
      <c r="F66" s="73" t="s">
        <v>183</v>
      </c>
      <c r="G66" s="73" t="s">
        <v>183</v>
      </c>
      <c r="H66" s="73" t="s">
        <v>191</v>
      </c>
      <c r="I66" s="73">
        <v>36</v>
      </c>
      <c r="J66" s="80">
        <v>40</v>
      </c>
      <c r="K66" s="80">
        <v>38</v>
      </c>
    </row>
    <row r="67" spans="4:11" ht="34.5" customHeight="1">
      <c r="D67" s="69" t="s">
        <v>166</v>
      </c>
      <c r="E67" s="73">
        <v>1</v>
      </c>
      <c r="F67" s="73" t="s">
        <v>183</v>
      </c>
      <c r="G67" s="73" t="s">
        <v>183</v>
      </c>
      <c r="H67" s="73" t="s">
        <v>191</v>
      </c>
      <c r="I67" s="73">
        <v>36</v>
      </c>
      <c r="J67" s="80">
        <v>47</v>
      </c>
      <c r="K67" s="80">
        <v>44</v>
      </c>
    </row>
    <row r="68" spans="4:11" ht="34.5" customHeight="1">
      <c r="D68" s="69" t="s">
        <v>167</v>
      </c>
      <c r="E68" s="73">
        <v>1</v>
      </c>
      <c r="F68" s="73" t="s">
        <v>185</v>
      </c>
      <c r="G68" s="73" t="s">
        <v>185</v>
      </c>
      <c r="H68" s="73" t="s">
        <v>192</v>
      </c>
      <c r="I68" s="73">
        <v>48</v>
      </c>
      <c r="J68" s="80">
        <v>42</v>
      </c>
      <c r="K68" s="80">
        <v>40</v>
      </c>
    </row>
    <row r="69" spans="4:11" ht="34.5" customHeight="1">
      <c r="D69" s="69" t="s">
        <v>168</v>
      </c>
      <c r="E69" s="73">
        <v>1</v>
      </c>
      <c r="F69" s="73" t="s">
        <v>185</v>
      </c>
      <c r="G69" s="73" t="s">
        <v>185</v>
      </c>
      <c r="H69" s="73" t="s">
        <v>192</v>
      </c>
      <c r="I69" s="73">
        <v>48</v>
      </c>
      <c r="J69" s="80">
        <v>49</v>
      </c>
      <c r="K69" s="80">
        <v>47</v>
      </c>
    </row>
    <row r="70" spans="4:11" ht="34.5" customHeight="1">
      <c r="D70" s="69" t="s">
        <v>169</v>
      </c>
      <c r="E70" s="73">
        <v>1</v>
      </c>
      <c r="F70" s="73" t="s">
        <v>186</v>
      </c>
      <c r="G70" s="73" t="s">
        <v>186</v>
      </c>
      <c r="H70" s="73" t="s">
        <v>101</v>
      </c>
      <c r="I70" s="73">
        <v>30</v>
      </c>
      <c r="J70" s="80">
        <v>39</v>
      </c>
      <c r="K70" s="80">
        <v>37</v>
      </c>
    </row>
    <row r="71" spans="4:11" ht="34.5" customHeight="1">
      <c r="D71" s="69" t="s">
        <v>170</v>
      </c>
      <c r="E71" s="73">
        <v>1</v>
      </c>
      <c r="F71" s="73" t="s">
        <v>186</v>
      </c>
      <c r="G71" s="73" t="s">
        <v>186</v>
      </c>
      <c r="H71" s="73" t="s">
        <v>101</v>
      </c>
      <c r="I71" s="73">
        <v>30</v>
      </c>
      <c r="J71" s="80">
        <v>46</v>
      </c>
      <c r="K71" s="80">
        <v>43</v>
      </c>
    </row>
    <row r="72" spans="4:11" ht="34.5" customHeight="1">
      <c r="D72" s="69" t="s">
        <v>171</v>
      </c>
      <c r="E72" s="73">
        <v>1</v>
      </c>
      <c r="F72" s="73" t="s">
        <v>187</v>
      </c>
      <c r="G72" s="73" t="s">
        <v>187</v>
      </c>
      <c r="H72" s="73" t="s">
        <v>102</v>
      </c>
      <c r="I72" s="73">
        <v>48</v>
      </c>
      <c r="J72" s="80">
        <v>44</v>
      </c>
      <c r="K72" s="80">
        <v>43</v>
      </c>
    </row>
    <row r="73" spans="4:11" ht="34.5" customHeight="1">
      <c r="D73" s="69" t="s">
        <v>172</v>
      </c>
      <c r="E73" s="73">
        <v>1</v>
      </c>
      <c r="F73" s="73" t="s">
        <v>187</v>
      </c>
      <c r="G73" s="73" t="s">
        <v>187</v>
      </c>
      <c r="H73" s="73" t="s">
        <v>102</v>
      </c>
      <c r="I73" s="73">
        <v>48</v>
      </c>
      <c r="J73" s="80">
        <v>52</v>
      </c>
      <c r="K73" s="80">
        <v>50</v>
      </c>
    </row>
    <row r="74" spans="4:11" ht="34.5" customHeight="1">
      <c r="D74" s="69" t="s">
        <v>173</v>
      </c>
      <c r="E74" s="73">
        <v>1</v>
      </c>
      <c r="F74" s="73" t="s">
        <v>187</v>
      </c>
      <c r="G74" s="73" t="s">
        <v>187</v>
      </c>
      <c r="H74" s="73" t="s">
        <v>103</v>
      </c>
      <c r="I74" s="73">
        <v>48</v>
      </c>
      <c r="J74" s="80">
        <v>46</v>
      </c>
      <c r="K74" s="80">
        <v>45</v>
      </c>
    </row>
    <row r="75" spans="4:11" ht="34.5" customHeight="1">
      <c r="D75" s="69" t="s">
        <v>174</v>
      </c>
      <c r="E75" s="73">
        <v>1</v>
      </c>
      <c r="F75" s="73" t="s">
        <v>187</v>
      </c>
      <c r="G75" s="73" t="s">
        <v>187</v>
      </c>
      <c r="H75" s="73" t="s">
        <v>103</v>
      </c>
      <c r="I75" s="73">
        <v>48</v>
      </c>
      <c r="J75" s="80">
        <v>53</v>
      </c>
      <c r="K75" s="80">
        <v>51</v>
      </c>
    </row>
    <row r="76" spans="4:11" ht="34.5" customHeight="1">
      <c r="D76" s="69" t="s">
        <v>172</v>
      </c>
      <c r="E76" s="73">
        <v>2</v>
      </c>
      <c r="F76" s="73" t="s">
        <v>187</v>
      </c>
      <c r="G76" s="73" t="s">
        <v>187</v>
      </c>
      <c r="H76" s="73" t="s">
        <v>102</v>
      </c>
      <c r="I76" s="73">
        <v>48</v>
      </c>
      <c r="J76" s="80">
        <v>59</v>
      </c>
      <c r="K76" s="80">
        <v>57</v>
      </c>
    </row>
    <row r="77" spans="4:11" ht="34.5" customHeight="1">
      <c r="D77" s="69" t="s">
        <v>175</v>
      </c>
      <c r="E77" s="73">
        <v>2</v>
      </c>
      <c r="F77" s="73" t="s">
        <v>187</v>
      </c>
      <c r="G77" s="73" t="s">
        <v>187</v>
      </c>
      <c r="H77" s="73" t="s">
        <v>193</v>
      </c>
      <c r="I77" s="73">
        <v>48</v>
      </c>
      <c r="J77" s="80">
        <v>61</v>
      </c>
      <c r="K77" s="80">
        <v>58</v>
      </c>
    </row>
    <row r="78" spans="4:11" ht="34.5" customHeight="1">
      <c r="D78" s="69" t="s">
        <v>176</v>
      </c>
      <c r="E78" s="73">
        <v>2</v>
      </c>
      <c r="F78" s="73" t="s">
        <v>187</v>
      </c>
      <c r="G78" s="73" t="s">
        <v>187</v>
      </c>
      <c r="H78" s="73" t="s">
        <v>104</v>
      </c>
      <c r="I78" s="73">
        <v>48</v>
      </c>
      <c r="J78" s="80">
        <v>62</v>
      </c>
      <c r="K78" s="80">
        <v>59</v>
      </c>
    </row>
    <row r="79" spans="4:11" ht="34.5" customHeight="1">
      <c r="D79" s="69" t="s">
        <v>177</v>
      </c>
      <c r="E79" s="73">
        <v>2</v>
      </c>
      <c r="F79" s="73" t="s">
        <v>187</v>
      </c>
      <c r="G79" s="73" t="s">
        <v>187</v>
      </c>
      <c r="H79" s="73" t="s">
        <v>107</v>
      </c>
      <c r="I79" s="73">
        <v>48</v>
      </c>
      <c r="J79" s="80">
        <v>67</v>
      </c>
      <c r="K79" s="80">
        <v>64</v>
      </c>
    </row>
    <row r="80" spans="4:11" ht="34.5" customHeight="1">
      <c r="D80" s="69" t="s">
        <v>178</v>
      </c>
      <c r="E80" s="73">
        <v>2</v>
      </c>
      <c r="F80" s="73" t="s">
        <v>187</v>
      </c>
      <c r="G80" s="73" t="s">
        <v>187</v>
      </c>
      <c r="H80" s="73" t="s">
        <v>132</v>
      </c>
      <c r="I80" s="73">
        <v>48</v>
      </c>
      <c r="J80" s="80">
        <v>66</v>
      </c>
      <c r="K80" s="80">
        <v>64</v>
      </c>
    </row>
    <row r="81" spans="4:11" ht="34.5" customHeight="1">
      <c r="D81" s="69" t="s">
        <v>179</v>
      </c>
      <c r="E81" s="73">
        <v>2</v>
      </c>
      <c r="F81" s="73" t="s">
        <v>187</v>
      </c>
      <c r="G81" s="73" t="s">
        <v>187</v>
      </c>
      <c r="H81" s="73" t="s">
        <v>111</v>
      </c>
      <c r="I81" s="73">
        <v>48</v>
      </c>
      <c r="J81" s="80">
        <v>68</v>
      </c>
      <c r="K81" s="80">
        <v>65</v>
      </c>
    </row>
    <row r="82" spans="4:11" ht="34.5" customHeight="1">
      <c r="D82" s="69" t="s">
        <v>180</v>
      </c>
      <c r="E82" s="73">
        <v>2</v>
      </c>
      <c r="F82" s="73" t="s">
        <v>187</v>
      </c>
      <c r="G82" s="73" t="s">
        <v>187</v>
      </c>
      <c r="H82" s="73" t="s">
        <v>113</v>
      </c>
      <c r="I82" s="73">
        <v>48</v>
      </c>
      <c r="J82" s="80">
        <v>68</v>
      </c>
      <c r="K82" s="80">
        <v>67</v>
      </c>
    </row>
    <row r="83" spans="4:11" ht="34.5" customHeight="1">
      <c r="D83" s="69" t="s">
        <v>181</v>
      </c>
      <c r="E83" s="73">
        <v>2</v>
      </c>
      <c r="F83" s="73" t="s">
        <v>188</v>
      </c>
      <c r="G83" s="73" t="s">
        <v>187</v>
      </c>
      <c r="H83" s="73" t="s">
        <v>107</v>
      </c>
      <c r="I83" s="73">
        <v>60</v>
      </c>
      <c r="J83" s="80">
        <v>67</v>
      </c>
      <c r="K83" s="80">
        <v>64</v>
      </c>
    </row>
    <row r="84" spans="4:11" ht="34.5" customHeight="1">
      <c r="D84" s="69" t="s">
        <v>182</v>
      </c>
      <c r="E84" s="73">
        <v>2</v>
      </c>
      <c r="F84" s="73" t="s">
        <v>188</v>
      </c>
      <c r="G84" s="73" t="s">
        <v>188</v>
      </c>
      <c r="H84" s="73" t="s">
        <v>108</v>
      </c>
      <c r="I84" s="73">
        <v>72</v>
      </c>
      <c r="J84" s="80">
        <v>68</v>
      </c>
      <c r="K84" s="80">
        <v>66</v>
      </c>
    </row>
    <row r="88" spans="4:11" ht="34.5" customHeight="1">
      <c r="D88" s="196" t="s">
        <v>196</v>
      </c>
      <c r="E88" s="196"/>
      <c r="F88" s="196"/>
      <c r="G88" s="196"/>
    </row>
    <row r="89" spans="4:11" ht="34.5" customHeight="1">
      <c r="D89" s="196"/>
      <c r="E89" s="196"/>
      <c r="F89" s="196"/>
      <c r="G89" s="196"/>
    </row>
    <row r="90" spans="4:11" ht="34.5" customHeight="1">
      <c r="D90" s="69" t="s">
        <v>152</v>
      </c>
      <c r="E90" s="69" t="s">
        <v>199</v>
      </c>
      <c r="F90" s="69" t="s">
        <v>194</v>
      </c>
      <c r="G90" s="69" t="s">
        <v>195</v>
      </c>
    </row>
    <row r="91" spans="4:11" ht="34.5" customHeight="1">
      <c r="D91" s="69" t="s">
        <v>197</v>
      </c>
      <c r="E91" s="73" t="s">
        <v>136</v>
      </c>
      <c r="F91" s="73">
        <v>18</v>
      </c>
      <c r="G91" s="73">
        <v>31</v>
      </c>
    </row>
    <row r="92" spans="4:11" ht="34.5" customHeight="1">
      <c r="D92" s="69" t="s">
        <v>198</v>
      </c>
      <c r="E92" s="73" t="s">
        <v>137</v>
      </c>
      <c r="F92" s="73">
        <v>19</v>
      </c>
      <c r="G92" s="73">
        <v>32</v>
      </c>
    </row>
  </sheetData>
  <mergeCells count="9">
    <mergeCell ref="D1:I2"/>
    <mergeCell ref="D57:K58"/>
    <mergeCell ref="J1:M2"/>
    <mergeCell ref="J3:M10"/>
    <mergeCell ref="D88:G89"/>
    <mergeCell ref="K20:M21"/>
    <mergeCell ref="J23:J26"/>
    <mergeCell ref="J20:J22"/>
    <mergeCell ref="K29:M30"/>
  </mergeCells>
  <phoneticPr fontId="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65"/>
  <sheetViews>
    <sheetView workbookViewId="0">
      <selection activeCell="M33" sqref="M33:P33"/>
    </sheetView>
  </sheetViews>
  <sheetFormatPr baseColWidth="10" defaultRowHeight="15"/>
  <cols>
    <col min="3" max="3" width="11.42578125" customWidth="1"/>
    <col min="6" max="6" width="12.28515625" customWidth="1"/>
    <col min="7" max="7" width="7.7109375" bestFit="1" customWidth="1"/>
    <col min="11" max="11" width="10.85546875" bestFit="1" customWidth="1"/>
    <col min="12" max="12" width="15.7109375" bestFit="1" customWidth="1"/>
    <col min="13" max="13" width="12" bestFit="1" customWidth="1"/>
    <col min="14" max="15" width="10" bestFit="1" customWidth="1"/>
    <col min="16" max="16" width="10.42578125" bestFit="1" customWidth="1"/>
  </cols>
  <sheetData>
    <row r="1" spans="1:16" ht="15.75" thickBot="1"/>
    <row r="2" spans="1:16" ht="19.5" customHeight="1" thickBot="1">
      <c r="C2" s="221" t="s">
        <v>1</v>
      </c>
      <c r="D2" s="222"/>
      <c r="E2" s="222"/>
      <c r="F2" s="222"/>
      <c r="G2" s="222"/>
      <c r="H2" s="222"/>
      <c r="I2" s="222"/>
      <c r="J2" s="222"/>
      <c r="K2" s="222"/>
      <c r="L2" s="222"/>
      <c r="M2" s="222"/>
      <c r="N2" s="222"/>
      <c r="O2" s="222"/>
      <c r="P2" s="223"/>
    </row>
    <row r="3" spans="1:16">
      <c r="C3" s="229" t="s">
        <v>2</v>
      </c>
      <c r="D3" s="230"/>
      <c r="E3" s="230"/>
      <c r="F3" s="3" t="s">
        <v>3</v>
      </c>
      <c r="G3" s="14">
        <f>G4+10*LOG10(0.32*(G5/G6))-5+G8-(G9/10)-G7</f>
        <v>58.519374645445623</v>
      </c>
      <c r="H3" s="4"/>
      <c r="I3" s="4"/>
      <c r="J3" s="225" t="s">
        <v>20</v>
      </c>
      <c r="K3" s="225"/>
      <c r="L3" s="225"/>
      <c r="M3" s="4"/>
      <c r="N3" s="4"/>
      <c r="O3" s="4"/>
      <c r="P3" s="5"/>
    </row>
    <row r="4" spans="1:16">
      <c r="C4" s="231" t="s">
        <v>4</v>
      </c>
      <c r="D4" s="232"/>
      <c r="E4" s="232"/>
      <c r="F4" s="6" t="s">
        <v>5</v>
      </c>
      <c r="G4" s="4">
        <v>65</v>
      </c>
      <c r="H4" s="4"/>
      <c r="I4" s="4"/>
      <c r="J4" s="225"/>
      <c r="K4" s="225"/>
      <c r="L4" s="225"/>
      <c r="M4" s="4"/>
      <c r="N4" s="4"/>
      <c r="O4" s="4"/>
      <c r="P4" s="5"/>
    </row>
    <row r="5" spans="1:16" ht="19.5" customHeight="1">
      <c r="C5" s="229" t="s">
        <v>6</v>
      </c>
      <c r="D5" s="230"/>
      <c r="E5" s="230"/>
      <c r="F5" s="6" t="s">
        <v>7</v>
      </c>
      <c r="G5" s="4">
        <f>8*2.5</f>
        <v>20</v>
      </c>
      <c r="H5" s="4"/>
      <c r="I5" s="4"/>
      <c r="J5" s="225"/>
      <c r="K5" s="225"/>
      <c r="L5" s="225"/>
      <c r="M5" s="4">
        <f>L6-(10*LOG10(0.32*(G5/G6)))+5-G8+(G9/10)+G7</f>
        <v>46.480625354554377</v>
      </c>
      <c r="N5" s="4" t="s">
        <v>0</v>
      </c>
      <c r="O5" s="4"/>
      <c r="P5" s="5"/>
    </row>
    <row r="6" spans="1:16">
      <c r="A6" s="49"/>
      <c r="C6" s="229" t="s">
        <v>8</v>
      </c>
      <c r="D6" s="230"/>
      <c r="E6" s="230"/>
      <c r="F6" s="6" t="s">
        <v>9</v>
      </c>
      <c r="G6" s="14">
        <f>9</f>
        <v>9</v>
      </c>
      <c r="H6" s="4"/>
      <c r="I6" s="4"/>
      <c r="J6" s="4"/>
      <c r="K6" s="4" t="s">
        <v>22</v>
      </c>
      <c r="L6" s="4">
        <v>40</v>
      </c>
      <c r="M6" s="4"/>
      <c r="N6" s="4"/>
      <c r="O6" s="4"/>
      <c r="P6" s="5"/>
    </row>
    <row r="7" spans="1:16">
      <c r="A7" s="49"/>
      <c r="C7" s="236" t="s">
        <v>10</v>
      </c>
      <c r="D7" s="216"/>
      <c r="E7" s="216"/>
      <c r="F7" s="6" t="s">
        <v>21</v>
      </c>
      <c r="G7" s="4">
        <v>0</v>
      </c>
      <c r="H7" s="4"/>
      <c r="I7" s="4"/>
      <c r="J7" s="4"/>
      <c r="K7" s="4"/>
      <c r="L7" s="4"/>
      <c r="M7" s="4"/>
      <c r="N7" s="4"/>
      <c r="O7" s="4"/>
      <c r="P7" s="5"/>
    </row>
    <row r="8" spans="1:16" ht="29.25" customHeight="1">
      <c r="A8" s="49"/>
      <c r="C8" s="235" t="s">
        <v>12</v>
      </c>
      <c r="D8" s="201"/>
      <c r="E8" s="201"/>
      <c r="F8" s="6" t="s">
        <v>13</v>
      </c>
      <c r="G8" s="4">
        <v>0</v>
      </c>
      <c r="H8" s="4"/>
      <c r="I8" s="4"/>
      <c r="J8" s="4"/>
      <c r="K8" s="4"/>
      <c r="L8" s="4"/>
      <c r="M8" s="4"/>
      <c r="N8" s="4"/>
      <c r="O8" s="4"/>
      <c r="P8" s="5"/>
    </row>
    <row r="9" spans="1:16">
      <c r="A9" s="49"/>
      <c r="C9" s="236" t="s">
        <v>51</v>
      </c>
      <c r="D9" s="216"/>
      <c r="E9" s="216"/>
      <c r="F9" s="6" t="s">
        <v>14</v>
      </c>
      <c r="G9" s="4">
        <v>0</v>
      </c>
      <c r="H9" s="4"/>
      <c r="I9" s="4"/>
      <c r="J9" s="4"/>
      <c r="K9" s="4"/>
      <c r="L9" s="4"/>
      <c r="M9" s="4"/>
      <c r="N9" s="4"/>
      <c r="O9" s="4"/>
      <c r="P9" s="5"/>
    </row>
    <row r="10" spans="1:16">
      <c r="A10" s="49"/>
      <c r="C10" s="7"/>
      <c r="D10" s="4"/>
      <c r="E10" s="4"/>
      <c r="F10" s="4"/>
      <c r="G10" s="4"/>
      <c r="H10" s="216" t="s">
        <v>18</v>
      </c>
      <c r="I10" s="216"/>
      <c r="J10" s="216"/>
      <c r="K10" s="4"/>
      <c r="L10" s="4"/>
      <c r="M10" s="4"/>
      <c r="N10" s="4"/>
      <c r="O10" s="4"/>
      <c r="P10" s="5"/>
    </row>
    <row r="11" spans="1:16">
      <c r="A11" s="49"/>
      <c r="C11" s="235" t="s">
        <v>15</v>
      </c>
      <c r="D11" s="201"/>
      <c r="E11" s="201"/>
      <c r="F11" s="201"/>
      <c r="G11" s="201"/>
      <c r="H11" s="201"/>
      <c r="I11" s="201"/>
      <c r="J11" s="201"/>
      <c r="K11" s="201"/>
      <c r="L11" s="4"/>
      <c r="M11" s="4"/>
      <c r="N11" s="4"/>
      <c r="O11" s="4"/>
      <c r="P11" s="5"/>
    </row>
    <row r="12" spans="1:16">
      <c r="A12" s="49"/>
      <c r="C12" s="235"/>
      <c r="D12" s="201"/>
      <c r="E12" s="201"/>
      <c r="F12" s="201"/>
      <c r="G12" s="201"/>
      <c r="H12" s="201"/>
      <c r="I12" s="201"/>
      <c r="J12" s="201"/>
      <c r="K12" s="201"/>
      <c r="L12" s="4"/>
      <c r="M12" s="4"/>
      <c r="N12" s="4"/>
      <c r="O12" s="4"/>
      <c r="P12" s="5"/>
    </row>
    <row r="13" spans="1:16">
      <c r="A13" s="49"/>
      <c r="C13" s="7"/>
      <c r="D13" s="4"/>
      <c r="E13" s="4"/>
      <c r="F13" s="4"/>
      <c r="G13" s="4"/>
      <c r="H13" s="4"/>
      <c r="I13" s="4"/>
      <c r="J13" s="4"/>
      <c r="K13" s="4"/>
      <c r="L13" s="4"/>
      <c r="M13" s="4"/>
      <c r="N13" s="4"/>
      <c r="O13" s="4"/>
      <c r="P13" s="5"/>
    </row>
    <row r="14" spans="1:16">
      <c r="A14" s="49"/>
      <c r="C14" s="7"/>
      <c r="D14" s="4"/>
      <c r="E14" s="4"/>
      <c r="F14" s="4"/>
      <c r="G14" s="4"/>
      <c r="H14" s="4"/>
      <c r="I14" s="4"/>
      <c r="J14" s="4"/>
      <c r="K14" s="4"/>
      <c r="L14" s="4"/>
      <c r="M14" s="4"/>
      <c r="N14" s="4"/>
      <c r="O14" s="4"/>
      <c r="P14" s="5"/>
    </row>
    <row r="15" spans="1:16">
      <c r="C15" s="7"/>
      <c r="D15" s="4"/>
      <c r="E15" s="4"/>
      <c r="F15" s="4"/>
      <c r="G15" s="4"/>
      <c r="H15" s="4"/>
      <c r="I15" s="4"/>
      <c r="J15" s="4"/>
      <c r="K15" s="4"/>
      <c r="L15" s="4"/>
      <c r="M15" s="4"/>
      <c r="N15" s="4"/>
      <c r="O15" s="4"/>
      <c r="P15" s="5"/>
    </row>
    <row r="16" spans="1:16">
      <c r="C16" s="7"/>
      <c r="D16" s="4"/>
      <c r="E16" s="4"/>
      <c r="F16" s="4"/>
      <c r="G16" s="4"/>
      <c r="H16" s="4"/>
      <c r="I16" s="4"/>
      <c r="J16" s="4"/>
      <c r="K16" s="4"/>
      <c r="L16" s="4"/>
      <c r="M16" s="4"/>
      <c r="N16" s="4"/>
      <c r="O16" s="4"/>
      <c r="P16" s="5"/>
    </row>
    <row r="17" spans="3:16">
      <c r="C17" s="7"/>
      <c r="D17" s="4"/>
      <c r="E17" s="4"/>
      <c r="F17" s="4"/>
      <c r="G17" s="4"/>
      <c r="H17" s="4"/>
      <c r="I17" s="4"/>
      <c r="J17" s="4"/>
      <c r="K17" s="4"/>
      <c r="L17" s="4"/>
      <c r="M17" s="4"/>
      <c r="N17" s="4"/>
      <c r="O17" s="4"/>
      <c r="P17" s="5"/>
    </row>
    <row r="18" spans="3:16">
      <c r="C18" s="7"/>
      <c r="D18" s="4"/>
      <c r="E18" s="4"/>
      <c r="F18" s="4"/>
      <c r="G18" s="4"/>
      <c r="H18" s="4"/>
      <c r="I18" s="4"/>
      <c r="J18" s="4"/>
      <c r="K18" s="4"/>
      <c r="L18" s="4"/>
      <c r="M18" s="4"/>
      <c r="N18" s="4"/>
      <c r="O18" s="4"/>
      <c r="P18" s="5"/>
    </row>
    <row r="19" spans="3:16">
      <c r="C19" s="7"/>
      <c r="D19" s="4"/>
      <c r="E19" s="4"/>
      <c r="F19" s="4"/>
      <c r="G19" s="4"/>
      <c r="H19" s="4"/>
      <c r="I19" s="4"/>
      <c r="J19" s="4"/>
      <c r="K19" s="4"/>
      <c r="L19" s="4"/>
      <c r="M19" s="4"/>
      <c r="N19" s="4"/>
      <c r="O19" s="4"/>
      <c r="P19" s="5"/>
    </row>
    <row r="20" spans="3:16">
      <c r="C20" s="7"/>
      <c r="D20" s="4"/>
      <c r="E20" s="4"/>
      <c r="F20" s="4"/>
      <c r="G20" s="4"/>
      <c r="H20" s="4"/>
      <c r="I20" s="4"/>
      <c r="J20" s="4"/>
      <c r="K20" s="4"/>
      <c r="L20" s="4"/>
      <c r="M20" s="4"/>
      <c r="N20" s="4"/>
      <c r="O20" s="4"/>
      <c r="P20" s="5"/>
    </row>
    <row r="21" spans="3:16">
      <c r="C21" s="7"/>
      <c r="D21" s="4"/>
      <c r="E21" s="4"/>
      <c r="F21" s="4"/>
      <c r="G21" s="4"/>
      <c r="H21" s="4"/>
      <c r="I21" s="4"/>
      <c r="J21" s="4"/>
      <c r="K21" s="4"/>
      <c r="L21" s="4"/>
      <c r="M21" s="4"/>
      <c r="N21" s="4"/>
      <c r="O21" s="4"/>
      <c r="P21" s="5"/>
    </row>
    <row r="22" spans="3:16">
      <c r="C22" s="236" t="s">
        <v>16</v>
      </c>
      <c r="D22" s="216"/>
      <c r="E22" s="216"/>
      <c r="F22" s="237" t="s">
        <v>17</v>
      </c>
      <c r="G22" s="237"/>
      <c r="H22" s="237"/>
      <c r="I22" s="237"/>
      <c r="J22" s="237"/>
      <c r="K22" s="237"/>
      <c r="L22" s="237"/>
      <c r="M22" s="4"/>
      <c r="N22" s="4"/>
      <c r="O22" s="4"/>
      <c r="P22" s="5"/>
    </row>
    <row r="23" spans="3:16">
      <c r="C23" s="236"/>
      <c r="D23" s="216"/>
      <c r="E23" s="216"/>
      <c r="F23" s="237"/>
      <c r="G23" s="237"/>
      <c r="H23" s="237"/>
      <c r="I23" s="237"/>
      <c r="J23" s="237"/>
      <c r="K23" s="237"/>
      <c r="L23" s="237"/>
      <c r="M23" s="4"/>
      <c r="N23" s="4"/>
      <c r="O23" s="4"/>
      <c r="P23" s="5"/>
    </row>
    <row r="24" spans="3:16" ht="20.25" customHeight="1" thickBot="1">
      <c r="C24" s="233"/>
      <c r="D24" s="234"/>
      <c r="E24" s="234"/>
      <c r="F24" s="238"/>
      <c r="G24" s="238"/>
      <c r="H24" s="238"/>
      <c r="I24" s="238"/>
      <c r="J24" s="238"/>
      <c r="K24" s="238"/>
      <c r="L24" s="238"/>
      <c r="M24" s="8"/>
      <c r="N24" s="8"/>
      <c r="O24" s="8"/>
      <c r="P24" s="9"/>
    </row>
    <row r="26" spans="3:16" ht="15.75" thickBot="1"/>
    <row r="27" spans="3:16" ht="24" customHeight="1" thickBot="1">
      <c r="C27" s="226" t="s">
        <v>19</v>
      </c>
      <c r="D27" s="227"/>
      <c r="E27" s="227"/>
      <c r="F27" s="227"/>
      <c r="G27" s="228"/>
      <c r="L27" s="209" t="s">
        <v>23</v>
      </c>
      <c r="M27" s="210"/>
      <c r="N27" s="210"/>
      <c r="O27" s="210"/>
      <c r="P27" s="211"/>
    </row>
    <row r="28" spans="3:16">
      <c r="C28" s="229" t="s">
        <v>2</v>
      </c>
      <c r="D28" s="230"/>
      <c r="E28" s="230"/>
      <c r="F28" s="3" t="s">
        <v>3</v>
      </c>
      <c r="G28" s="5" t="e">
        <f>G29+10*LOG10(0.32*(G30/G31))-G32</f>
        <v>#DIV/0!</v>
      </c>
      <c r="L28" s="50"/>
      <c r="M28" s="53" t="s">
        <v>24</v>
      </c>
      <c r="N28" s="54" t="s">
        <v>25</v>
      </c>
      <c r="O28" s="53" t="s">
        <v>26</v>
      </c>
      <c r="P28" s="55" t="s">
        <v>27</v>
      </c>
    </row>
    <row r="29" spans="3:16" ht="30">
      <c r="C29" s="231" t="s">
        <v>4</v>
      </c>
      <c r="D29" s="232"/>
      <c r="E29" s="232"/>
      <c r="F29" s="6" t="s">
        <v>5</v>
      </c>
      <c r="G29" s="5"/>
      <c r="L29" s="51" t="s">
        <v>28</v>
      </c>
      <c r="M29" s="56" t="s">
        <v>33</v>
      </c>
      <c r="N29" s="57" t="s">
        <v>32</v>
      </c>
      <c r="O29" s="56"/>
      <c r="P29" s="58"/>
    </row>
    <row r="30" spans="3:16">
      <c r="C30" s="229" t="s">
        <v>6</v>
      </c>
      <c r="D30" s="230"/>
      <c r="E30" s="230"/>
      <c r="F30" s="6" t="s">
        <v>7</v>
      </c>
      <c r="G30" s="5"/>
      <c r="L30" s="51" t="s">
        <v>92</v>
      </c>
      <c r="M30" s="59">
        <v>39</v>
      </c>
      <c r="N30" s="60">
        <v>60</v>
      </c>
      <c r="O30" s="59"/>
      <c r="P30" s="61"/>
    </row>
    <row r="31" spans="3:16">
      <c r="C31" s="229" t="s">
        <v>8</v>
      </c>
      <c r="D31" s="230"/>
      <c r="E31" s="230"/>
      <c r="F31" s="6" t="s">
        <v>9</v>
      </c>
      <c r="G31" s="5"/>
      <c r="L31" s="51" t="s">
        <v>93</v>
      </c>
      <c r="M31" s="62">
        <f>0.9*2.1</f>
        <v>1.8900000000000001</v>
      </c>
      <c r="N31" s="63">
        <f>4.28*2.18</f>
        <v>9.3304000000000009</v>
      </c>
      <c r="O31" s="62"/>
      <c r="P31" s="64"/>
    </row>
    <row r="32" spans="3:16" ht="15.75" thickBot="1">
      <c r="C32" s="233" t="s">
        <v>10</v>
      </c>
      <c r="D32" s="234"/>
      <c r="E32" s="234"/>
      <c r="F32" s="10" t="s">
        <v>11</v>
      </c>
      <c r="G32" s="9"/>
      <c r="L32" s="52" t="s">
        <v>94</v>
      </c>
      <c r="M32" s="65">
        <f>M31*10^(-M30/10)</f>
        <v>2.3793690282909762E-4</v>
      </c>
      <c r="N32" s="66">
        <f>N31*10^(-N30/10)</f>
        <v>9.3304000000000013E-6</v>
      </c>
      <c r="O32" s="65">
        <f>O31*10^(-O30/10)</f>
        <v>0</v>
      </c>
      <c r="P32" s="67">
        <f>P31*10^(-P30/10)</f>
        <v>0</v>
      </c>
    </row>
    <row r="33" spans="2:16" ht="18">
      <c r="C33" s="174"/>
      <c r="D33" s="174"/>
      <c r="E33" s="174"/>
      <c r="L33" s="15" t="s">
        <v>29</v>
      </c>
      <c r="M33" s="216">
        <f>SUM(M31:P31)</f>
        <v>11.220400000000001</v>
      </c>
      <c r="N33" s="216"/>
      <c r="O33" s="216"/>
      <c r="P33" s="217"/>
    </row>
    <row r="34" spans="2:16" ht="18.75" thickBot="1">
      <c r="L34" s="16" t="s">
        <v>30</v>
      </c>
      <c r="M34" s="218">
        <f>SUM(M32:P32)</f>
        <v>2.4726730282909764E-4</v>
      </c>
      <c r="N34" s="219"/>
      <c r="O34" s="219"/>
      <c r="P34" s="220"/>
    </row>
    <row r="35" spans="2:16" ht="24.75" customHeight="1" thickBot="1">
      <c r="C35" s="11"/>
      <c r="D35" s="11"/>
      <c r="E35" s="11"/>
      <c r="F35" s="11"/>
      <c r="G35" s="11"/>
      <c r="H35" s="11"/>
      <c r="I35" s="11"/>
      <c r="J35" s="11"/>
      <c r="K35" s="11"/>
      <c r="L35" s="212" t="s">
        <v>31</v>
      </c>
      <c r="M35" s="213"/>
      <c r="N35" s="214">
        <f>10*LOG10(M33/M34)</f>
        <v>46.568416478982769</v>
      </c>
      <c r="O35" s="214"/>
      <c r="P35" s="215"/>
    </row>
    <row r="36" spans="2:16">
      <c r="B36" s="1"/>
      <c r="C36" s="1"/>
      <c r="D36" s="1"/>
      <c r="E36" s="1"/>
      <c r="F36" s="1"/>
      <c r="G36" s="1"/>
      <c r="H36" s="1"/>
      <c r="I36" s="1"/>
      <c r="J36" s="1"/>
      <c r="K36" s="1"/>
      <c r="L36" s="1"/>
      <c r="M36" s="1"/>
      <c r="N36" s="1"/>
      <c r="O36" s="1"/>
      <c r="P36" s="1"/>
    </row>
    <row r="37" spans="2:16">
      <c r="C37" s="1"/>
      <c r="D37" s="1"/>
      <c r="E37" s="1"/>
      <c r="F37" s="1"/>
      <c r="G37" s="1"/>
      <c r="H37" s="1"/>
      <c r="I37" s="1"/>
      <c r="J37" s="1"/>
      <c r="K37" s="1"/>
      <c r="L37" s="1"/>
      <c r="M37" s="2"/>
      <c r="N37" s="2"/>
      <c r="O37" s="2"/>
      <c r="P37" s="2"/>
    </row>
    <row r="38" spans="2:16">
      <c r="C38" s="1"/>
      <c r="D38" s="1"/>
    </row>
    <row r="39" spans="2:16">
      <c r="C39" s="1"/>
      <c r="D39" s="1"/>
    </row>
    <row r="40" spans="2:16">
      <c r="C40" s="1"/>
      <c r="D40" s="1"/>
    </row>
    <row r="41" spans="2:16">
      <c r="C41" s="1"/>
      <c r="D41" s="1"/>
    </row>
    <row r="42" spans="2:16">
      <c r="C42" s="1"/>
      <c r="D42" s="1"/>
    </row>
    <row r="43" spans="2:16">
      <c r="C43" s="1"/>
      <c r="D43" s="1"/>
    </row>
    <row r="44" spans="2:16">
      <c r="C44" s="1"/>
      <c r="D44" s="1"/>
    </row>
    <row r="45" spans="2:16">
      <c r="C45" s="1"/>
      <c r="D45" s="1"/>
    </row>
    <row r="46" spans="2:16">
      <c r="C46" s="1"/>
      <c r="D46" s="1"/>
    </row>
    <row r="47" spans="2:16" ht="15" customHeight="1">
      <c r="C47" s="12"/>
      <c r="D47" s="12"/>
      <c r="E47" s="12"/>
      <c r="F47" s="12"/>
      <c r="G47" s="12"/>
      <c r="H47" s="12"/>
      <c r="I47" s="12"/>
      <c r="J47" s="12"/>
      <c r="K47" s="12"/>
      <c r="L47" s="12"/>
    </row>
    <row r="48" spans="2:16">
      <c r="C48" s="12"/>
      <c r="D48" s="12"/>
      <c r="E48" s="12"/>
      <c r="F48" s="12"/>
      <c r="G48" s="12"/>
      <c r="H48" s="12"/>
      <c r="I48" s="12"/>
      <c r="J48" s="12"/>
      <c r="K48" s="12"/>
      <c r="L48" s="12"/>
    </row>
    <row r="49" spans="3:12">
      <c r="C49" s="12"/>
      <c r="D49" s="12"/>
      <c r="E49" s="12"/>
      <c r="F49" s="12"/>
      <c r="G49" s="12"/>
      <c r="H49" s="12"/>
      <c r="I49" s="12"/>
      <c r="J49" s="12"/>
      <c r="K49" s="12"/>
      <c r="L49" s="12"/>
    </row>
    <row r="50" spans="3:12">
      <c r="C50" s="12"/>
      <c r="D50" s="12"/>
      <c r="E50" s="12"/>
      <c r="F50" s="12"/>
      <c r="G50" s="12"/>
      <c r="H50" s="12"/>
      <c r="I50" s="12"/>
      <c r="J50" s="12"/>
      <c r="K50" s="12"/>
      <c r="L50" s="12"/>
    </row>
    <row r="51" spans="3:12" ht="15" customHeight="1">
      <c r="C51" s="1"/>
      <c r="D51" s="1"/>
      <c r="E51" s="13"/>
      <c r="F51" s="13"/>
      <c r="G51" s="13"/>
      <c r="H51" s="13"/>
      <c r="I51" s="13"/>
      <c r="J51" s="13"/>
      <c r="K51" s="13"/>
      <c r="L51" s="13"/>
    </row>
    <row r="52" spans="3:12">
      <c r="C52" s="1"/>
      <c r="D52" s="1"/>
      <c r="E52" s="13"/>
      <c r="F52" s="13"/>
      <c r="G52" s="13"/>
      <c r="H52" s="13"/>
      <c r="I52" s="13"/>
      <c r="J52" s="13"/>
      <c r="K52" s="13"/>
      <c r="L52" s="13"/>
    </row>
    <row r="53" spans="3:12">
      <c r="C53" s="1"/>
      <c r="D53" s="1"/>
      <c r="E53" s="13"/>
      <c r="F53" s="13"/>
      <c r="G53" s="13"/>
      <c r="H53" s="13"/>
      <c r="I53" s="13"/>
      <c r="J53" s="13"/>
      <c r="K53" s="13"/>
      <c r="L53" s="13"/>
    </row>
    <row r="54" spans="3:12">
      <c r="C54" s="1"/>
      <c r="D54" s="1"/>
      <c r="E54" s="1"/>
      <c r="F54" s="1"/>
      <c r="G54" s="1"/>
      <c r="H54" s="1"/>
      <c r="I54" s="1"/>
      <c r="J54" s="1"/>
      <c r="K54" s="1"/>
      <c r="L54" s="1"/>
    </row>
    <row r="55" spans="3:12" ht="15" customHeight="1">
      <c r="C55" s="12"/>
      <c r="D55" s="12"/>
    </row>
    <row r="56" spans="3:12">
      <c r="C56" s="12"/>
      <c r="D56" s="12"/>
    </row>
    <row r="57" spans="3:12">
      <c r="C57" s="12"/>
      <c r="D57" s="12"/>
    </row>
    <row r="58" spans="3:12">
      <c r="C58" s="12"/>
      <c r="D58" s="12"/>
    </row>
    <row r="59" spans="3:12">
      <c r="C59" s="12"/>
      <c r="D59" s="12"/>
    </row>
    <row r="60" spans="3:12">
      <c r="C60" s="12"/>
      <c r="D60" s="12"/>
    </row>
    <row r="61" spans="3:12">
      <c r="C61" s="12"/>
      <c r="D61" s="12"/>
      <c r="E61" s="224"/>
      <c r="F61" s="224"/>
      <c r="G61" s="224"/>
      <c r="H61" s="224"/>
      <c r="I61" s="224"/>
      <c r="J61" s="224"/>
      <c r="K61" s="224"/>
      <c r="L61" s="224"/>
    </row>
    <row r="62" spans="3:12">
      <c r="C62" s="12"/>
      <c r="D62" s="12"/>
    </row>
    <row r="63" spans="3:12">
      <c r="C63" s="12"/>
      <c r="D63" s="12"/>
    </row>
    <row r="64" spans="3:12">
      <c r="C64" s="12"/>
      <c r="D64" s="12"/>
    </row>
    <row r="65" spans="3:4">
      <c r="C65" s="12"/>
      <c r="D65" s="12"/>
    </row>
  </sheetData>
  <mergeCells count="26">
    <mergeCell ref="C7:E7"/>
    <mergeCell ref="C3:E3"/>
    <mergeCell ref="C4:E4"/>
    <mergeCell ref="C5:E5"/>
    <mergeCell ref="C6:E6"/>
    <mergeCell ref="H10:J10"/>
    <mergeCell ref="C2:P2"/>
    <mergeCell ref="E61:L61"/>
    <mergeCell ref="J3:L5"/>
    <mergeCell ref="C33:E33"/>
    <mergeCell ref="C27:G27"/>
    <mergeCell ref="C28:E28"/>
    <mergeCell ref="C29:E29"/>
    <mergeCell ref="C30:E30"/>
    <mergeCell ref="C31:E31"/>
    <mergeCell ref="C32:E32"/>
    <mergeCell ref="C8:E8"/>
    <mergeCell ref="C9:E9"/>
    <mergeCell ref="C11:K12"/>
    <mergeCell ref="F22:L24"/>
    <mergeCell ref="C22:E24"/>
    <mergeCell ref="L27:P27"/>
    <mergeCell ref="L35:M35"/>
    <mergeCell ref="N35:P35"/>
    <mergeCell ref="M33:P33"/>
    <mergeCell ref="M34:P34"/>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MJ45"/>
  <sheetViews>
    <sheetView topLeftCell="A10" workbookViewId="0">
      <selection activeCell="E39" sqref="E39"/>
    </sheetView>
  </sheetViews>
  <sheetFormatPr baseColWidth="10" defaultRowHeight="16.5"/>
  <cols>
    <col min="1" max="1" width="44.85546875" style="30" customWidth="1"/>
    <col min="2" max="2" width="16.7109375" style="31" customWidth="1"/>
    <col min="3" max="3" width="14.28515625" style="31" customWidth="1"/>
    <col min="4" max="7" width="12.28515625" style="29" customWidth="1"/>
    <col min="8" max="1024" width="12.28515625" style="30" customWidth="1"/>
    <col min="1025" max="16384" width="11.42578125" style="48"/>
  </cols>
  <sheetData>
    <row r="1" spans="1:3">
      <c r="A1" s="28" t="s">
        <v>59</v>
      </c>
      <c r="B1" s="239" t="s">
        <v>60</v>
      </c>
      <c r="C1" s="239"/>
    </row>
    <row r="3" spans="1:3">
      <c r="A3" s="28" t="s">
        <v>61</v>
      </c>
      <c r="B3" s="242" t="s">
        <v>213</v>
      </c>
      <c r="C3" s="243"/>
    </row>
    <row r="5" spans="1:3">
      <c r="A5" s="240" t="s">
        <v>62</v>
      </c>
      <c r="B5" s="240"/>
      <c r="C5" s="240"/>
    </row>
    <row r="7" spans="1:3">
      <c r="A7" s="33" t="s">
        <v>63</v>
      </c>
      <c r="B7" s="34">
        <f>11*2.5</f>
        <v>27.5</v>
      </c>
      <c r="C7" s="35" t="s">
        <v>64</v>
      </c>
    </row>
    <row r="9" spans="1:3" ht="18.75">
      <c r="A9" s="36" t="s">
        <v>65</v>
      </c>
      <c r="B9" s="37" t="s">
        <v>66</v>
      </c>
      <c r="C9" s="37" t="s">
        <v>67</v>
      </c>
    </row>
    <row r="10" spans="1:3">
      <c r="A10" s="30" t="s">
        <v>68</v>
      </c>
      <c r="B10" s="31">
        <f>24.375-B11</f>
        <v>22.89</v>
      </c>
      <c r="C10" s="38">
        <v>50</v>
      </c>
    </row>
    <row r="11" spans="1:3">
      <c r="A11" s="30" t="s">
        <v>69</v>
      </c>
      <c r="B11" s="31">
        <f>0.9*1.65</f>
        <v>1.4849999999999999</v>
      </c>
      <c r="C11" s="38">
        <v>36</v>
      </c>
    </row>
    <row r="12" spans="1:3">
      <c r="A12" s="30" t="s">
        <v>70</v>
      </c>
      <c r="B12" s="31">
        <v>0</v>
      </c>
      <c r="C12" s="38">
        <v>0</v>
      </c>
    </row>
    <row r="13" spans="1:3">
      <c r="A13" s="30" t="s">
        <v>71</v>
      </c>
      <c r="B13" s="31">
        <v>0</v>
      </c>
      <c r="C13" s="38">
        <v>0</v>
      </c>
    </row>
    <row r="14" spans="1:3">
      <c r="A14" s="39" t="s">
        <v>72</v>
      </c>
      <c r="B14" s="40">
        <v>0</v>
      </c>
      <c r="C14" s="41">
        <v>0</v>
      </c>
    </row>
    <row r="15" spans="1:3">
      <c r="A15" s="39" t="s">
        <v>73</v>
      </c>
      <c r="B15" s="40">
        <v>10</v>
      </c>
      <c r="C15" s="41">
        <v>55</v>
      </c>
    </row>
    <row r="16" spans="1:3">
      <c r="A16" s="39" t="s">
        <v>74</v>
      </c>
      <c r="B16" s="40">
        <v>10</v>
      </c>
      <c r="C16" s="41">
        <v>61</v>
      </c>
    </row>
    <row r="17" spans="1:3">
      <c r="A17" s="39" t="s">
        <v>75</v>
      </c>
      <c r="B17" s="40">
        <v>0</v>
      </c>
      <c r="C17" s="41">
        <v>0</v>
      </c>
    </row>
    <row r="19" spans="1:3">
      <c r="A19" s="42" t="s">
        <v>76</v>
      </c>
    </row>
    <row r="20" spans="1:3">
      <c r="A20" s="30" t="s">
        <v>77</v>
      </c>
      <c r="B20" s="38">
        <v>1</v>
      </c>
      <c r="C20" s="38">
        <v>43</v>
      </c>
    </row>
    <row r="21" spans="1:3">
      <c r="A21" s="30" t="s">
        <v>78</v>
      </c>
      <c r="B21" s="31">
        <f>0.9/1.4</f>
        <v>0.6428571428571429</v>
      </c>
      <c r="C21" s="38">
        <v>51</v>
      </c>
    </row>
    <row r="23" spans="1:3">
      <c r="A23" s="240" t="s">
        <v>79</v>
      </c>
      <c r="B23" s="240"/>
      <c r="C23" s="240"/>
    </row>
    <row r="25" spans="1:3">
      <c r="A25" s="42" t="s">
        <v>80</v>
      </c>
    </row>
    <row r="26" spans="1:3">
      <c r="A26" s="30" t="s">
        <v>81</v>
      </c>
      <c r="B26" s="34">
        <f>B10*POWER(10,-0.1*(C10))</f>
        <v>2.2890000000000003E-4</v>
      </c>
      <c r="C26" s="35" t="s">
        <v>82</v>
      </c>
    </row>
    <row r="27" spans="1:3">
      <c r="A27" s="30" t="s">
        <v>69</v>
      </c>
      <c r="B27" s="34">
        <f>B11*POWER(10,-0.1*C11)</f>
        <v>3.7301513507917222E-4</v>
      </c>
      <c r="C27" s="35" t="s">
        <v>82</v>
      </c>
    </row>
    <row r="28" spans="1:3">
      <c r="A28" s="30" t="s">
        <v>70</v>
      </c>
      <c r="B28" s="34">
        <f>B12*POWER(10,-0.1*C12)</f>
        <v>0</v>
      </c>
      <c r="C28" s="35" t="s">
        <v>82</v>
      </c>
    </row>
    <row r="29" spans="1:3">
      <c r="A29" s="30" t="s">
        <v>83</v>
      </c>
      <c r="B29" s="34">
        <f>B13*POWER(10,-0.1*C13)</f>
        <v>0</v>
      </c>
      <c r="C29" s="35" t="s">
        <v>82</v>
      </c>
    </row>
    <row r="30" spans="1:3">
      <c r="B30" s="34"/>
      <c r="C30" s="35"/>
    </row>
    <row r="31" spans="1:3">
      <c r="A31" s="28" t="s">
        <v>84</v>
      </c>
      <c r="B31" s="43"/>
      <c r="C31" s="32"/>
    </row>
    <row r="32" spans="1:3">
      <c r="A32" s="39" t="s">
        <v>72</v>
      </c>
      <c r="B32" s="43">
        <f>B14*POWER(10,(-0.1*(C14))-1)</f>
        <v>0</v>
      </c>
      <c r="C32" s="32" t="s">
        <v>82</v>
      </c>
    </row>
    <row r="33" spans="1:3">
      <c r="A33" s="39" t="s">
        <v>85</v>
      </c>
      <c r="B33" s="43">
        <f>B15*POWER(10,(-0.1*(C15))-1)</f>
        <v>3.1622776601683733E-6</v>
      </c>
      <c r="C33" s="32" t="s">
        <v>82</v>
      </c>
    </row>
    <row r="34" spans="1:3">
      <c r="A34" s="39" t="s">
        <v>86</v>
      </c>
      <c r="B34" s="43">
        <f>B16*POWER(10,(-0.1*(C16))-1)</f>
        <v>7.9432823472427891E-7</v>
      </c>
      <c r="C34" s="32" t="s">
        <v>82</v>
      </c>
    </row>
    <row r="35" spans="1:3">
      <c r="A35" s="39" t="s">
        <v>75</v>
      </c>
      <c r="B35" s="43">
        <f>B17*POWER(10,(-0.1*(C17))-1)</f>
        <v>0</v>
      </c>
      <c r="C35" s="32" t="s">
        <v>82</v>
      </c>
    </row>
    <row r="36" spans="1:3">
      <c r="B36" s="34"/>
      <c r="C36" s="35"/>
    </row>
    <row r="37" spans="1:3">
      <c r="A37" s="42" t="s">
        <v>87</v>
      </c>
      <c r="B37" s="34"/>
      <c r="C37" s="35"/>
    </row>
    <row r="38" spans="1:3">
      <c r="A38" s="30" t="s">
        <v>88</v>
      </c>
      <c r="B38" s="34">
        <f>POWER(10,-(0.1*(C20))+1)</f>
        <v>5.0118723362727209E-4</v>
      </c>
      <c r="C38" s="35" t="s">
        <v>82</v>
      </c>
    </row>
    <row r="39" spans="1:3">
      <c r="A39" s="30" t="s">
        <v>78</v>
      </c>
      <c r="B39" s="34">
        <f>POWER(10,(-0.1*(C21))+1)</f>
        <v>7.9432823472428018E-5</v>
      </c>
      <c r="C39" s="35" t="s">
        <v>82</v>
      </c>
    </row>
    <row r="40" spans="1:3">
      <c r="B40" s="34"/>
      <c r="C40" s="35"/>
    </row>
    <row r="41" spans="1:3">
      <c r="A41" s="42" t="s">
        <v>89</v>
      </c>
      <c r="B41" s="44">
        <f>SUM(B26:B39)</f>
        <v>1.1864917980737649E-3</v>
      </c>
      <c r="C41" s="45" t="s">
        <v>82</v>
      </c>
    </row>
    <row r="42" spans="1:3">
      <c r="B42" s="34"/>
    </row>
    <row r="43" spans="1:3">
      <c r="A43" s="28" t="s">
        <v>90</v>
      </c>
      <c r="B43" s="46">
        <f>10*LOG10((0.32*B7)/B41)</f>
        <v>38.702179317574654</v>
      </c>
      <c r="C43" s="47" t="s">
        <v>0</v>
      </c>
    </row>
    <row r="45" spans="1:3" ht="50.25" customHeight="1">
      <c r="A45" s="241" t="s">
        <v>91</v>
      </c>
      <c r="B45" s="241"/>
      <c r="C45" s="241"/>
    </row>
  </sheetData>
  <mergeCells count="5">
    <mergeCell ref="B1:C1"/>
    <mergeCell ref="A5:C5"/>
    <mergeCell ref="A23:C23"/>
    <mergeCell ref="A45:C45"/>
    <mergeCell ref="B3:C3"/>
  </mergeCells>
  <printOptions horizontalCentered="1" verticalCentered="1"/>
  <pageMargins left="0" right="0" top="0.39370078740157477" bottom="0.39370078740157477" header="0" footer="0"/>
  <headerFooter>
    <oddHeader>&amp;CCALCULS ACOUSTIQUES</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E3:R19"/>
  <sheetViews>
    <sheetView workbookViewId="0">
      <selection activeCell="D23" sqref="D23"/>
    </sheetView>
  </sheetViews>
  <sheetFormatPr baseColWidth="10" defaultRowHeight="15"/>
  <cols>
    <col min="7" max="7" width="30.7109375" customWidth="1"/>
  </cols>
  <sheetData>
    <row r="3" spans="5:18" ht="15.75" thickBot="1"/>
    <row r="4" spans="5:18" ht="19.5" thickBot="1">
      <c r="E4" s="17"/>
      <c r="F4" s="17"/>
      <c r="G4" s="17"/>
      <c r="H4" s="17"/>
      <c r="I4" s="244" t="s">
        <v>34</v>
      </c>
      <c r="J4" s="245"/>
      <c r="K4" s="245"/>
      <c r="L4" s="245"/>
      <c r="M4" s="245"/>
      <c r="N4" s="245"/>
      <c r="O4" s="245"/>
      <c r="P4" s="246"/>
      <c r="Q4" s="17"/>
      <c r="R4" s="17"/>
    </row>
    <row r="5" spans="5:18">
      <c r="E5" s="17"/>
      <c r="F5" s="17"/>
      <c r="G5" s="17"/>
      <c r="H5" s="17"/>
      <c r="I5" s="17"/>
      <c r="J5" s="17"/>
      <c r="K5" s="17"/>
      <c r="L5" s="17"/>
      <c r="M5" s="17"/>
      <c r="N5" s="17"/>
      <c r="O5" s="17"/>
      <c r="P5" s="17"/>
      <c r="Q5" s="17"/>
      <c r="R5" s="17"/>
    </row>
    <row r="6" spans="5:18">
      <c r="E6" s="18" t="s">
        <v>35</v>
      </c>
      <c r="F6" s="17"/>
      <c r="G6" s="17"/>
      <c r="H6" s="17"/>
      <c r="I6" s="17"/>
      <c r="J6" s="17"/>
      <c r="K6" s="17"/>
      <c r="L6" s="17"/>
      <c r="M6" s="17"/>
      <c r="N6" s="17"/>
      <c r="O6" s="17"/>
      <c r="P6" s="17"/>
      <c r="Q6" s="17"/>
      <c r="R6" s="17"/>
    </row>
    <row r="7" spans="5:18" ht="4.1500000000000004" customHeight="1">
      <c r="E7" s="17"/>
      <c r="F7" s="17"/>
      <c r="G7" s="17"/>
      <c r="H7" s="17"/>
      <c r="I7" s="17"/>
      <c r="J7" s="17"/>
      <c r="K7" s="17"/>
      <c r="L7" s="17"/>
      <c r="M7" s="17"/>
      <c r="N7" s="17"/>
      <c r="O7" s="17"/>
      <c r="P7" s="17"/>
      <c r="Q7" s="17"/>
      <c r="R7" s="17"/>
    </row>
    <row r="8" spans="5:18" ht="45">
      <c r="E8" s="247" t="s">
        <v>36</v>
      </c>
      <c r="F8" s="248"/>
      <c r="G8" s="19" t="s">
        <v>37</v>
      </c>
      <c r="H8" s="247" t="s">
        <v>38</v>
      </c>
      <c r="I8" s="248"/>
      <c r="J8" s="19" t="s">
        <v>39</v>
      </c>
      <c r="K8" s="247" t="s">
        <v>40</v>
      </c>
      <c r="L8" s="248"/>
      <c r="M8" s="19" t="s">
        <v>41</v>
      </c>
      <c r="N8" s="20" t="s">
        <v>42</v>
      </c>
      <c r="O8" s="249" t="s">
        <v>43</v>
      </c>
      <c r="P8" s="250"/>
      <c r="Q8" s="247" t="s">
        <v>44</v>
      </c>
      <c r="R8" s="248"/>
    </row>
    <row r="9" spans="5:18" ht="24" customHeight="1">
      <c r="E9" s="247" t="s">
        <v>45</v>
      </c>
      <c r="F9" s="248"/>
      <c r="G9" s="21" t="s">
        <v>49</v>
      </c>
      <c r="H9" s="259" t="s">
        <v>50</v>
      </c>
      <c r="I9" s="260"/>
      <c r="J9" s="22">
        <v>0.5</v>
      </c>
      <c r="K9" s="251">
        <f>0.6*N9</f>
        <v>83.399999999999991</v>
      </c>
      <c r="L9" s="252"/>
      <c r="M9" s="22">
        <f>J9*K9</f>
        <v>41.699999999999996</v>
      </c>
      <c r="N9" s="22">
        <v>139</v>
      </c>
      <c r="O9" s="251">
        <f>H18*N9</f>
        <v>0</v>
      </c>
      <c r="P9" s="252"/>
      <c r="Q9" s="253" t="str">
        <f>IF(M9&gt;=O9,"C","NC")</f>
        <v>C</v>
      </c>
      <c r="R9" s="254"/>
    </row>
    <row r="10" spans="5:18" ht="24" customHeight="1">
      <c r="E10" s="247" t="s">
        <v>46</v>
      </c>
      <c r="F10" s="248"/>
      <c r="G10" s="21" t="s">
        <v>49</v>
      </c>
      <c r="H10" s="257"/>
      <c r="I10" s="258"/>
      <c r="J10" s="22"/>
      <c r="K10" s="251"/>
      <c r="L10" s="252"/>
      <c r="M10" s="22">
        <f>J10*K10</f>
        <v>0</v>
      </c>
      <c r="N10" s="22"/>
      <c r="O10" s="251">
        <f>H18*N10</f>
        <v>0</v>
      </c>
      <c r="P10" s="252"/>
      <c r="Q10" s="253" t="str">
        <f>IF(M10&gt;=O10,"C","NC")</f>
        <v>C</v>
      </c>
      <c r="R10" s="254"/>
    </row>
    <row r="11" spans="5:18" ht="3" customHeight="1">
      <c r="E11" s="17"/>
      <c r="F11" s="17"/>
      <c r="G11" s="17"/>
      <c r="H11" s="17"/>
      <c r="I11" s="17"/>
      <c r="J11" s="17"/>
      <c r="K11" s="17"/>
      <c r="L11" s="17"/>
      <c r="M11" s="17"/>
      <c r="N11" s="17"/>
      <c r="O11" s="17"/>
      <c r="P11" s="17"/>
      <c r="Q11" s="17"/>
      <c r="R11" s="17"/>
    </row>
    <row r="12" spans="5:18" ht="18.75">
      <c r="E12" s="23" t="s">
        <v>47</v>
      </c>
      <c r="F12" s="17"/>
      <c r="G12" s="17"/>
      <c r="H12" s="17"/>
      <c r="I12" s="17"/>
      <c r="J12" s="17"/>
      <c r="K12" s="17"/>
      <c r="L12" s="17"/>
      <c r="M12" s="17"/>
      <c r="N12" s="17"/>
      <c r="O12" s="17"/>
      <c r="P12" s="17"/>
      <c r="Q12" s="17"/>
      <c r="R12" s="17"/>
    </row>
    <row r="13" spans="5:18" ht="18.75">
      <c r="E13" s="24" t="s">
        <v>48</v>
      </c>
      <c r="F13" s="17"/>
      <c r="G13" s="17"/>
      <c r="H13" s="17"/>
      <c r="I13" s="17"/>
      <c r="J13" s="17"/>
      <c r="K13" s="17"/>
      <c r="L13" s="17"/>
      <c r="M13" s="17"/>
      <c r="N13" s="17"/>
      <c r="O13" s="17"/>
      <c r="P13" s="17"/>
      <c r="Q13" s="17"/>
      <c r="R13" s="17"/>
    </row>
    <row r="17" spans="5:8" ht="15.75" thickBot="1"/>
    <row r="18" spans="5:8" ht="19.149999999999999" customHeight="1" thickBot="1">
      <c r="E18" s="255" t="s">
        <v>52</v>
      </c>
      <c r="F18" s="256"/>
      <c r="G18" s="27" t="s">
        <v>53</v>
      </c>
      <c r="H18" s="26"/>
    </row>
    <row r="19" spans="5:8">
      <c r="G19" s="25"/>
    </row>
  </sheetData>
  <mergeCells count="17">
    <mergeCell ref="K9:L9"/>
    <mergeCell ref="O9:P9"/>
    <mergeCell ref="Q9:R9"/>
    <mergeCell ref="E18:F18"/>
    <mergeCell ref="Q8:R8"/>
    <mergeCell ref="E10:F10"/>
    <mergeCell ref="H10:I10"/>
    <mergeCell ref="K10:L10"/>
    <mergeCell ref="O10:P10"/>
    <mergeCell ref="Q10:R10"/>
    <mergeCell ref="E9:F9"/>
    <mergeCell ref="H9:I9"/>
    <mergeCell ref="I4:P4"/>
    <mergeCell ref="E8:F8"/>
    <mergeCell ref="H8:I8"/>
    <mergeCell ref="K8:L8"/>
    <mergeCell ref="O8:P8"/>
  </mergeCells>
  <conditionalFormatting sqref="Q9:R10">
    <cfRule type="expression" dxfId="5" priority="5" stopIfTrue="1">
      <formula>$M9="NC"</formula>
    </cfRule>
    <cfRule type="expression" dxfId="4" priority="6" stopIfTrue="1">
      <formula>$M9="C"</formula>
    </cfRule>
  </conditionalFormatting>
  <conditionalFormatting sqref="Q9:R9">
    <cfRule type="expression" dxfId="3" priority="3">
      <formula>$Q$9="C"</formula>
    </cfRule>
    <cfRule type="expression" dxfId="2" priority="4">
      <formula>$Q$9="NC"</formula>
    </cfRule>
  </conditionalFormatting>
  <conditionalFormatting sqref="Q10:R10">
    <cfRule type="expression" dxfId="1" priority="1">
      <formula>$Q$10="C"</formula>
    </cfRule>
    <cfRule type="expression" dxfId="0" priority="2">
      <formula>$Q$10="NC"</formula>
    </cfRule>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'Feuille poubelle'!$D$7:$D$9</xm:f>
          </x14:formula1>
          <xm:sqref>G18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D6:E10"/>
  <sheetViews>
    <sheetView workbookViewId="0">
      <selection activeCell="E9" sqref="E9"/>
    </sheetView>
  </sheetViews>
  <sheetFormatPr baseColWidth="10" defaultRowHeight="15"/>
  <cols>
    <col min="4" max="4" width="23.85546875" customWidth="1"/>
  </cols>
  <sheetData>
    <row r="6" spans="4:5">
      <c r="E6" t="s">
        <v>52</v>
      </c>
    </row>
    <row r="7" spans="4:5">
      <c r="D7" t="s">
        <v>53</v>
      </c>
      <c r="E7">
        <v>0.25</v>
      </c>
    </row>
    <row r="8" spans="4:5">
      <c r="D8" t="s">
        <v>54</v>
      </c>
      <c r="E8">
        <v>0.5</v>
      </c>
    </row>
    <row r="9" spans="4:5">
      <c r="D9" t="s">
        <v>55</v>
      </c>
      <c r="E9">
        <v>0.75</v>
      </c>
    </row>
    <row r="10" spans="4:5">
      <c r="D10" t="s">
        <v>56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8</vt:i4>
      </vt:variant>
      <vt:variant>
        <vt:lpstr>Plages nommées</vt:lpstr>
      </vt:variant>
      <vt:variant>
        <vt:i4>17</vt:i4>
      </vt:variant>
    </vt:vector>
  </HeadingPairs>
  <TitlesOfParts>
    <vt:vector size="25" baseType="lpstr">
      <vt:lpstr>Bruit aérien int </vt:lpstr>
      <vt:lpstr>Bruit aérien ext</vt:lpstr>
      <vt:lpstr>bruit de chocs </vt:lpstr>
      <vt:lpstr>indice d'affaiblissement Paroi</vt:lpstr>
      <vt:lpstr>Bruit aérien int</vt:lpstr>
      <vt:lpstr>Bruit aérien ext AMH</vt:lpstr>
      <vt:lpstr>Circulations Communes </vt:lpstr>
      <vt:lpstr>Feuille poubelle</vt:lpstr>
      <vt:lpstr>ad</vt:lpstr>
      <vt:lpstr>base</vt:lpstr>
      <vt:lpstr>base_base_dallealvéolé</vt:lpstr>
      <vt:lpstr>base_béton</vt:lpstr>
      <vt:lpstr>base_blocs_de_béton_cellulaire</vt:lpstr>
      <vt:lpstr>base_blocs_de_béton_creux</vt:lpstr>
      <vt:lpstr>base_donnée</vt:lpstr>
      <vt:lpstr>béton</vt:lpstr>
      <vt:lpstr>blocsbétoncreux</vt:lpstr>
      <vt:lpstr>blocsdebétoncellulaire</vt:lpstr>
      <vt:lpstr>Blocsdebétonpleins</vt:lpstr>
      <vt:lpstr>dalle_alvéolée</vt:lpstr>
      <vt:lpstr>liste</vt:lpstr>
      <vt:lpstr>matériaux</vt:lpstr>
      <vt:lpstr>rr</vt:lpstr>
      <vt:lpstr>tableau_recherche</vt:lpstr>
      <vt:lpstr>tout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2020-05-14T18:38:55Z</dcterms:modified>
</cp:coreProperties>
</file>