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 PC\Downloads\"/>
    </mc:Choice>
  </mc:AlternateContent>
  <xr:revisionPtr revIDLastSave="0" documentId="13_ncr:1_{CEFFEC02-7A7B-4F18-BDAC-779CD4BB880D}" xr6:coauthVersionLast="45" xr6:coauthVersionMax="45" xr10:uidLastSave="{00000000-0000-0000-0000-000000000000}"/>
  <bookViews>
    <workbookView xWindow="-120" yWindow="-120" windowWidth="20730" windowHeight="11310" tabRatio="606" firstSheet="1" activeTab="2" xr2:uid="{00000000-000D-0000-FFFF-FFFF00000000}"/>
  </bookViews>
  <sheets>
    <sheet name="Feuil1" sheetId="1" r:id="rId1"/>
    <sheet name="Caisse" sheetId="8" r:id="rId2"/>
    <sheet name="Ventes" sheetId="2" r:id="rId3"/>
    <sheet name="Stocks" sheetId="4" r:id="rId4"/>
    <sheet name="Rechargements" sheetId="5" r:id="rId5"/>
    <sheet name="Créances et dettes" sheetId="3" r:id="rId6"/>
    <sheet name="Commandes" sheetId="6" r:id="rId7"/>
    <sheet name="Reprises" sheetId="7" r:id="rId8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G18" i="4"/>
  <c r="I18" i="4"/>
  <c r="J18" i="4"/>
  <c r="L18" i="4"/>
  <c r="M18" i="4"/>
  <c r="N18" i="4"/>
  <c r="G17" i="2"/>
  <c r="I17" i="2"/>
  <c r="M17" i="2" s="1"/>
  <c r="G17" i="4"/>
  <c r="I17" i="4"/>
  <c r="J17" i="4"/>
  <c r="L17" i="4"/>
  <c r="M17" i="4"/>
  <c r="G16" i="4"/>
  <c r="I16" i="4"/>
  <c r="J16" i="4"/>
  <c r="L16" i="4"/>
  <c r="M16" i="4"/>
  <c r="N16" i="4"/>
  <c r="G15" i="4"/>
  <c r="I15" i="4"/>
  <c r="J15" i="4"/>
  <c r="L15" i="4"/>
  <c r="M15" i="4"/>
  <c r="N15" i="4"/>
  <c r="G14" i="4"/>
  <c r="I14" i="4"/>
  <c r="J14" i="4"/>
  <c r="L14" i="4"/>
  <c r="M14" i="4"/>
  <c r="J16" i="2"/>
  <c r="G16" i="2"/>
  <c r="N17" i="4" s="1"/>
  <c r="I16" i="2"/>
  <c r="M16" i="2" s="1"/>
  <c r="O14" i="2"/>
  <c r="G15" i="2"/>
  <c r="I15" i="2"/>
  <c r="M15" i="2" s="1"/>
  <c r="G14" i="2"/>
  <c r="I14" i="2"/>
  <c r="M14" i="2" s="1"/>
  <c r="O13" i="2"/>
  <c r="G13" i="2"/>
  <c r="N14" i="4" s="1"/>
  <c r="I13" i="2"/>
  <c r="P13" i="2" s="1"/>
  <c r="G13" i="4"/>
  <c r="I13" i="4"/>
  <c r="J13" i="4"/>
  <c r="L13" i="4"/>
  <c r="M13" i="4"/>
  <c r="G12" i="4"/>
  <c r="I12" i="4"/>
  <c r="J12" i="4"/>
  <c r="L12" i="4"/>
  <c r="M12" i="4"/>
  <c r="G12" i="2"/>
  <c r="N13" i="4" s="1"/>
  <c r="I12" i="2"/>
  <c r="M12" i="2" s="1"/>
  <c r="G11" i="2"/>
  <c r="N12" i="4" s="1"/>
  <c r="I11" i="2"/>
  <c r="P11" i="2" s="1"/>
  <c r="M5" i="4"/>
  <c r="M6" i="4"/>
  <c r="M7" i="4"/>
  <c r="M8" i="4"/>
  <c r="M9" i="4"/>
  <c r="M10" i="4"/>
  <c r="M11" i="4"/>
  <c r="L5" i="4"/>
  <c r="L6" i="4"/>
  <c r="L7" i="4"/>
  <c r="L8" i="4"/>
  <c r="L9" i="4"/>
  <c r="L10" i="4"/>
  <c r="L11" i="4"/>
  <c r="G11" i="4"/>
  <c r="I11" i="4"/>
  <c r="J11" i="4"/>
  <c r="G10" i="4"/>
  <c r="I10" i="4"/>
  <c r="J10" i="4"/>
  <c r="G9" i="4"/>
  <c r="I9" i="4"/>
  <c r="J9" i="4"/>
  <c r="G8" i="4"/>
  <c r="I8" i="4"/>
  <c r="J8" i="4"/>
  <c r="J5" i="4"/>
  <c r="J6" i="4"/>
  <c r="J7" i="4"/>
  <c r="O1" i="4"/>
  <c r="I5" i="4"/>
  <c r="I6" i="4"/>
  <c r="I7" i="4"/>
  <c r="G5" i="4"/>
  <c r="G6" i="4"/>
  <c r="G7" i="4"/>
  <c r="G10" i="2"/>
  <c r="N11" i="4" s="1"/>
  <c r="I10" i="2"/>
  <c r="P10" i="2" s="1"/>
  <c r="P17" i="2" l="1"/>
  <c r="P16" i="2"/>
  <c r="P15" i="2"/>
  <c r="P14" i="2"/>
  <c r="M13" i="2"/>
  <c r="M11" i="2"/>
  <c r="P12" i="2"/>
  <c r="M10" i="2"/>
  <c r="S9" i="4"/>
  <c r="S6" i="4"/>
  <c r="S7" i="4"/>
  <c r="S11" i="4"/>
  <c r="G9" i="2"/>
  <c r="N10" i="4" s="1"/>
  <c r="S8" i="4" s="1"/>
  <c r="I9" i="2"/>
  <c r="P9" i="2" l="1"/>
  <c r="M9" i="2"/>
  <c r="G5" i="2"/>
  <c r="N6" i="4" s="1"/>
  <c r="I5" i="2"/>
  <c r="G6" i="2"/>
  <c r="N7" i="4" s="1"/>
  <c r="I6" i="2"/>
  <c r="G7" i="2"/>
  <c r="N8" i="4" s="1"/>
  <c r="I7" i="2"/>
  <c r="G8" i="2"/>
  <c r="N9" i="4" s="1"/>
  <c r="I8" i="2"/>
  <c r="G4" i="2"/>
  <c r="N5" i="4" s="1"/>
  <c r="S10" i="4" s="1"/>
  <c r="I4" i="2"/>
  <c r="B8" i="3"/>
  <c r="C8" i="3"/>
  <c r="B7" i="3"/>
  <c r="C7" i="3"/>
  <c r="M4" i="2" l="1"/>
  <c r="P4" i="2"/>
  <c r="M8" i="2"/>
  <c r="P8" i="2"/>
  <c r="P7" i="2"/>
  <c r="M7" i="2"/>
  <c r="M6" i="2"/>
  <c r="P6" i="2"/>
  <c r="P5" i="2"/>
  <c r="M5" i="2"/>
  <c r="S5" i="4"/>
  <c r="G8" i="3"/>
  <c r="D8" i="3"/>
  <c r="F6" i="7" l="1"/>
  <c r="E6" i="7"/>
  <c r="C6" i="7"/>
  <c r="D6" i="7"/>
  <c r="G7" i="3" l="1"/>
  <c r="D7" i="3"/>
  <c r="B6" i="3"/>
  <c r="C6" i="3"/>
  <c r="F5" i="7"/>
  <c r="G6" i="7"/>
  <c r="E5" i="7"/>
  <c r="D5" i="7"/>
  <c r="C5" i="7"/>
  <c r="B5" i="3"/>
  <c r="C5" i="3"/>
  <c r="G5" i="3" l="1"/>
  <c r="G6" i="3"/>
  <c r="D5" i="3"/>
  <c r="D6" i="3"/>
  <c r="G5" i="7"/>
  <c r="B4" i="3"/>
  <c r="C4" i="3"/>
  <c r="G4" i="3" l="1"/>
  <c r="D4" i="3"/>
  <c r="D12" i="1"/>
  <c r="D11" i="1"/>
  <c r="D10" i="1"/>
  <c r="D9" i="1"/>
  <c r="D8" i="1"/>
  <c r="D7" i="1"/>
  <c r="D6" i="1"/>
  <c r="D5" i="1"/>
  <c r="F9" i="1"/>
  <c r="F10" i="1"/>
  <c r="F11" i="1"/>
  <c r="F12" i="1"/>
  <c r="F8" i="1"/>
  <c r="F7" i="1"/>
  <c r="F6" i="1"/>
  <c r="F5" i="1"/>
</calcChain>
</file>

<file path=xl/sharedStrings.xml><?xml version="1.0" encoding="utf-8"?>
<sst xmlns="http://schemas.openxmlformats.org/spreadsheetml/2006/main" count="203" uniqueCount="102">
  <si>
    <t>TABLEAU DE SUIVI DE LIVRAISON</t>
  </si>
  <si>
    <t>ENTITE DE STAPLES</t>
  </si>
  <si>
    <t>PAYS</t>
  </si>
  <si>
    <t xml:space="preserve">Nombre de pièces </t>
  </si>
  <si>
    <t>Date envoi échantillon</t>
  </si>
  <si>
    <t>Transporteur</t>
  </si>
  <si>
    <t>Date de livraison</t>
  </si>
  <si>
    <t>PRESSEL GERMANY</t>
  </si>
  <si>
    <t>Allemagne</t>
  </si>
  <si>
    <t>BERNARD</t>
  </si>
  <si>
    <t>STAPLES PRODUCTOS DE OFICINA</t>
  </si>
  <si>
    <t>Espagne</t>
  </si>
  <si>
    <t>JPG</t>
  </si>
  <si>
    <t>SEC UK DELIVERY LTD</t>
  </si>
  <si>
    <t>Royaume-Uni</t>
  </si>
  <si>
    <t xml:space="preserve">PRESSEL VERSAND </t>
  </si>
  <si>
    <t>Autriche</t>
  </si>
  <si>
    <t>STAPLES BELGIUM</t>
  </si>
  <si>
    <t>BELGIQUE</t>
  </si>
  <si>
    <t>STAPLES SWEDEN</t>
  </si>
  <si>
    <t>SUEDE</t>
  </si>
  <si>
    <t>TNT INTERNATIONAL</t>
  </si>
  <si>
    <t>Transitaires</t>
  </si>
  <si>
    <t>TEPMARE</t>
  </si>
  <si>
    <t>TEPAMRE</t>
  </si>
  <si>
    <t>TRANSIBERICA</t>
  </si>
  <si>
    <t>TDL</t>
  </si>
  <si>
    <t>France</t>
  </si>
  <si>
    <t>Affretement</t>
  </si>
  <si>
    <t>Client</t>
  </si>
  <si>
    <t>Date</t>
  </si>
  <si>
    <t>B_Déposée</t>
  </si>
  <si>
    <t>B_Vendue</t>
  </si>
  <si>
    <t>Qté</t>
  </si>
  <si>
    <t>PETROCI</t>
  </si>
  <si>
    <t>PETRO IVOIRE</t>
  </si>
  <si>
    <t>RECHARGEMENT</t>
  </si>
  <si>
    <t>Famille</t>
  </si>
  <si>
    <t>Catégorie</t>
  </si>
  <si>
    <t>B12</t>
  </si>
  <si>
    <t>B_rechargée</t>
  </si>
  <si>
    <t>Etat</t>
  </si>
  <si>
    <t>Mt_encaissé</t>
  </si>
  <si>
    <t xml:space="preserve"> Qté</t>
  </si>
  <si>
    <t xml:space="preserve"> Date</t>
  </si>
  <si>
    <t xml:space="preserve"> Catégorie</t>
  </si>
  <si>
    <t xml:space="preserve">  Qté</t>
  </si>
  <si>
    <t xml:space="preserve">  Date</t>
  </si>
  <si>
    <t xml:space="preserve">   Catégorie</t>
  </si>
  <si>
    <t xml:space="preserve">    Qté</t>
  </si>
  <si>
    <t>Chargée</t>
  </si>
  <si>
    <t>Décaissé</t>
  </si>
  <si>
    <t>Prix Unitaire</t>
  </si>
  <si>
    <t>Prix total</t>
  </si>
  <si>
    <t>Observation</t>
  </si>
  <si>
    <t>REPRISE DES BOUTEILLES DE GAZ</t>
  </si>
  <si>
    <t>B6</t>
  </si>
  <si>
    <t xml:space="preserve"> Dette initiale</t>
  </si>
  <si>
    <t>Dette actuelle</t>
  </si>
  <si>
    <t>ORYX</t>
  </si>
  <si>
    <t>Nadje</t>
  </si>
  <si>
    <t>TOTAL</t>
  </si>
  <si>
    <t>Hoimian</t>
  </si>
  <si>
    <t>SHELL</t>
  </si>
  <si>
    <t>Duplex 3</t>
  </si>
  <si>
    <t>Date de facturation</t>
  </si>
  <si>
    <t xml:space="preserve"> Date de décaissement</t>
  </si>
  <si>
    <t>-</t>
  </si>
  <si>
    <t>Taio</t>
  </si>
  <si>
    <t>DETTES</t>
  </si>
  <si>
    <t>VENTES</t>
  </si>
  <si>
    <t xml:space="preserve"> Date d'encaissement</t>
  </si>
  <si>
    <t>Créance actuelle</t>
  </si>
  <si>
    <t>CREANCES</t>
  </si>
  <si>
    <t>Kouassi</t>
  </si>
  <si>
    <t>Matin</t>
  </si>
  <si>
    <t>SIMAM</t>
  </si>
  <si>
    <t xml:space="preserve">Mt_Décaissé </t>
  </si>
  <si>
    <t xml:space="preserve"> Mt_Encaissé</t>
  </si>
  <si>
    <t>B_Stockée</t>
  </si>
  <si>
    <t>Fournisseur</t>
  </si>
  <si>
    <t>SARA</t>
  </si>
  <si>
    <t>Vide</t>
  </si>
  <si>
    <t xml:space="preserve">Qté  </t>
  </si>
  <si>
    <t xml:space="preserve">Catégorie     </t>
  </si>
  <si>
    <t>STOCK INITIAL</t>
  </si>
  <si>
    <t>ENTREES</t>
  </si>
  <si>
    <t>SORTIES</t>
  </si>
  <si>
    <t>STOCK FINAL</t>
  </si>
  <si>
    <t xml:space="preserve">Qté </t>
  </si>
  <si>
    <t xml:space="preserve">Date  </t>
  </si>
  <si>
    <t xml:space="preserve">B_Stockée </t>
  </si>
  <si>
    <t xml:space="preserve">  Catégorie</t>
  </si>
  <si>
    <t>Qte</t>
  </si>
  <si>
    <t>Duplex 4</t>
  </si>
  <si>
    <t>Chinwa</t>
  </si>
  <si>
    <t>05/05; 07/05; 24/06</t>
  </si>
  <si>
    <t>Sauveur</t>
  </si>
  <si>
    <t>15/05; 15/06; 20/06</t>
  </si>
  <si>
    <t>Tretre</t>
  </si>
  <si>
    <t>B_Rechargée</t>
  </si>
  <si>
    <t>REPRISE DE BOUTEILLES DE 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</si>
</sst>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CFA&quot;_-;\-* #,##0\ &quot;CFA&quot;_-;_-* &quot;-&quot;\ &quot;CFA&quot;_-;_-@_-"/>
    <numFmt numFmtId="41" formatCode="_-* #,##0_-;\-* #,##0_-;_-* &quot;-&quot;_-;_-@_-"/>
    <numFmt numFmtId="43" formatCode="_-* #,##0.00_-;\-* #,##0.00_-;_-* &quot;-&quot;??_-;_-@_-"/>
    <numFmt numFmtId="164" formatCode="[$-40C]d\ mmmm\ yyyy;@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6" xfId="0" applyFont="1" applyFill="1" applyBorder="1"/>
    <xf numFmtId="0" fontId="9" fillId="0" borderId="0" xfId="0" applyFont="1" applyBorder="1"/>
    <xf numFmtId="0" fontId="8" fillId="7" borderId="0" xfId="0" applyFont="1" applyFill="1" applyBorder="1" applyAlignment="1">
      <alignment horizontal="center" vertical="center"/>
    </xf>
    <xf numFmtId="41" fontId="0" fillId="0" borderId="0" xfId="1" applyFont="1" applyBorder="1" applyAlignment="1">
      <alignment horizontal="left" vertical="center"/>
    </xf>
    <xf numFmtId="16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9" fillId="0" borderId="0" xfId="1" applyFont="1" applyFill="1" applyAlignment="1">
      <alignment horizontal="center" vertical="center"/>
    </xf>
    <xf numFmtId="3" fontId="9" fillId="0" borderId="0" xfId="1" applyNumberFormat="1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41" fontId="9" fillId="0" borderId="0" xfId="1" applyFont="1" applyAlignment="1">
      <alignment horizontal="right"/>
    </xf>
    <xf numFmtId="41" fontId="0" fillId="0" borderId="0" xfId="0" applyNumberFormat="1" applyAlignment="1">
      <alignment horizontal="right"/>
    </xf>
    <xf numFmtId="16" fontId="9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right" vertical="center"/>
    </xf>
    <xf numFmtId="41" fontId="9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165" fontId="0" fillId="0" borderId="0" xfId="2" applyNumberFormat="1" applyFont="1" applyAlignment="1"/>
    <xf numFmtId="41" fontId="9" fillId="0" borderId="0" xfId="1" applyNumberFormat="1" applyFont="1" applyAlignment="1">
      <alignment horizontal="right"/>
    </xf>
    <xf numFmtId="0" fontId="0" fillId="0" borderId="10" xfId="0" applyBorder="1" applyAlignment="1">
      <alignment horizontal="center" vertical="center"/>
    </xf>
    <xf numFmtId="16" fontId="0" fillId="0" borderId="10" xfId="0" applyNumberFormat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3" fontId="9" fillId="0" borderId="0" xfId="1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16" fontId="9" fillId="0" borderId="9" xfId="0" applyNumberFormat="1" applyFont="1" applyFill="1" applyBorder="1" applyAlignment="1">
      <alignment horizontal="center"/>
    </xf>
    <xf numFmtId="16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" fontId="9" fillId="0" borderId="0" xfId="0" applyNumberFormat="1" applyFont="1" applyFill="1" applyAlignment="1">
      <alignment horizontal="center"/>
    </xf>
    <xf numFmtId="0" fontId="9" fillId="0" borderId="7" xfId="0" applyFont="1" applyFill="1" applyBorder="1"/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16" fontId="9" fillId="0" borderId="0" xfId="0" applyNumberFormat="1" applyFont="1" applyFill="1"/>
    <xf numFmtId="0" fontId="6" fillId="4" borderId="0" xfId="0" applyFont="1" applyFill="1" applyAlignment="1">
      <alignment vertical="center"/>
    </xf>
    <xf numFmtId="0" fontId="9" fillId="11" borderId="12" xfId="0" applyFont="1" applyFill="1" applyBorder="1"/>
    <xf numFmtId="0" fontId="9" fillId="0" borderId="0" xfId="0" applyNumberFormat="1" applyFont="1" applyFill="1"/>
    <xf numFmtId="0" fontId="13" fillId="0" borderId="5" xfId="0" applyFont="1" applyFill="1" applyBorder="1" applyAlignment="1"/>
    <xf numFmtId="1" fontId="0" fillId="0" borderId="0" xfId="0" applyNumberFormat="1"/>
    <xf numFmtId="16" fontId="9" fillId="0" borderId="9" xfId="0" applyNumberFormat="1" applyFont="1" applyFill="1" applyBorder="1" applyAlignment="1"/>
    <xf numFmtId="16" fontId="9" fillId="0" borderId="0" xfId="0" applyNumberFormat="1" applyFont="1" applyFill="1" applyBorder="1" applyAlignment="1"/>
    <xf numFmtId="16" fontId="9" fillId="0" borderId="0" xfId="0" applyNumberFormat="1" applyFont="1" applyAlignment="1"/>
    <xf numFmtId="0" fontId="9" fillId="0" borderId="0" xfId="0" applyNumberFormat="1" applyFont="1" applyFill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41" fontId="9" fillId="0" borderId="9" xfId="1" applyFont="1" applyFill="1" applyBorder="1" applyAlignment="1"/>
    <xf numFmtId="41" fontId="9" fillId="0" borderId="0" xfId="1" applyFont="1" applyFill="1" applyBorder="1" applyAlignment="1"/>
    <xf numFmtId="41" fontId="9" fillId="0" borderId="0" xfId="1" applyFont="1" applyAlignment="1"/>
    <xf numFmtId="0" fontId="0" fillId="0" borderId="0" xfId="0" applyFill="1" applyAlignment="1"/>
    <xf numFmtId="0" fontId="9" fillId="0" borderId="6" xfId="0" applyFont="1" applyBorder="1" applyAlignment="1">
      <alignment horizontal="left" vertical="center" wrapText="1"/>
    </xf>
    <xf numFmtId="42" fontId="9" fillId="0" borderId="6" xfId="1" applyNumberFormat="1" applyFont="1" applyBorder="1" applyAlignment="1">
      <alignment horizontal="center" vertical="center"/>
    </xf>
    <xf numFmtId="42" fontId="9" fillId="0" borderId="6" xfId="0" applyNumberFormat="1" applyFont="1" applyBorder="1" applyAlignment="1">
      <alignment horizontal="center" vertical="center"/>
    </xf>
    <xf numFmtId="41" fontId="9" fillId="0" borderId="6" xfId="1" applyFont="1" applyFill="1" applyBorder="1" applyAlignment="1">
      <alignment horizontal="center" vertical="center"/>
    </xf>
    <xf numFmtId="41" fontId="9" fillId="0" borderId="6" xfId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14" fillId="12" borderId="11" xfId="0" applyFont="1" applyFill="1" applyBorder="1" applyAlignment="1"/>
    <xf numFmtId="0" fontId="14" fillId="4" borderId="8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/>
    </xf>
  </cellXfs>
  <cellStyles count="3">
    <cellStyle name="Milliers" xfId="2" builtinId="3"/>
    <cellStyle name="Milliers [0]" xfId="1" builtinId="6"/>
    <cellStyle name="Normal" xfId="0" builtinId="0"/>
  </cellStyles>
  <dxfs count="63"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1" formatCode="dd\-mmm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2" formatCode="_-* #,##0\ &quot;CFA&quot;_-;\-* #,##0\ &quot;CFA&quot;_-;_-* &quot;-&quot;\ &quot;CFA&quot;_-;_-@_-"/>
      <alignment horizontal="center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2" formatCode="_-* #,##0\ &quot;CFA&quot;_-;\-* #,##0\ &quot;CFA&quot;_-;_-* &quot;-&quot;\ &quot;CFA&quot;_-;_-@_-"/>
      <alignment horizontal="center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1" formatCode="dd\-mmm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-* #,##0_-;\-* #,##0_-;_-* &quot;-&quot;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1" formatCode="dd\-mmm"/>
      <alignment horizontal="center" vertical="center" textRotation="0" wrapText="0" indent="0" justifyLastLine="0" shrinkToFit="0" readingOrder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center" vertical="center" textRotation="0" wrapText="0" indent="0" justifyLastLine="0" shrinkToFit="0" readingOrder="0"/>
    </dxf>
    <dxf>
      <numFmt numFmtId="33" formatCode="_-* #,##0_-;\-* #,##0_-;_-* &quot;-&quot;_-;_-@_-"/>
      <alignment horizontal="right" vertical="bottom" textRotation="0" wrapText="0" indent="0" justifyLastLine="0" shrinkToFit="0" readingOrder="0"/>
    </dxf>
    <dxf>
      <numFmt numFmtId="165" formatCode="_-* #,##0_-;\-* #,##0_-;_-* &quot;-&quot;??_-;_-@_-"/>
      <alignment horizontal="general" vertical="bottom" textRotation="0" wrapText="0" indent="0" justifyLastLine="0" shrinkToFit="0" readingOrder="0"/>
    </dxf>
    <dxf>
      <numFmt numFmtId="21" formatCode="dd\-mmm"/>
      <alignment horizontal="center" vertical="bottom" textRotation="0" wrapText="0" indent="0" justifyLastLine="0" shrinkToFit="0" readingOrder="0"/>
      <border diagonalUp="0" diagonalDown="0" outline="0">
        <left style="thick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\-mmm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left style="medium">
          <color auto="1"/>
        </left>
        <right style="medium">
          <color auto="1"/>
        </right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2" formatCode="_-* #,##0\ &quot;CFA&quot;_-;\-* #,##0\ &quot;CFA&quot;_-;_-* &quot;-&quot;\ &quot;CFA&quot;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C17E4B-120A-40FE-AB47-94EDAE5C6616}" name="Tableau1" displayName="Tableau1" ref="A3:Q17" totalsRowShown="0" headerRowDxfId="0" dataDxfId="1">
  <autoFilter ref="A3:Q17" xr:uid="{FA84A92F-A8C0-44C6-8752-3E51794B6B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5594AAB5-D8C2-4293-BFAC-56428BC981AD}" name="Date" dataDxfId="2"/>
    <tableColumn id="2" xr3:uid="{9908F1B6-E491-4397-AC4C-F0BDAC9F84B8}" name="Famille" dataDxfId="62"/>
    <tableColumn id="3" xr3:uid="{46D43AC9-DA45-49E3-86F3-B71E7DCE2483}" name="B_Déposée" dataDxfId="61"/>
    <tableColumn id="4" xr3:uid="{39ADC401-121F-40D5-A55B-15B2C8F6353A}" name="Catégorie" dataDxfId="60"/>
    <tableColumn id="5" xr3:uid="{DBF9CA28-0848-49E4-8DF4-AE39714BB436}" name="Qté" dataDxfId="59"/>
    <tableColumn id="6" xr3:uid="{4710D0DF-5337-40B9-B222-A417C9C434B2}" name="B_Vendue" dataDxfId="58"/>
    <tableColumn id="7" xr3:uid="{6E033EB9-6443-4A1E-8BEC-1141F663CCEE}" name=" Qté" dataDxfId="57">
      <calculatedColumnFormula>Tableau1[[#This Row],[Qté]]</calculatedColumnFormula>
    </tableColumn>
    <tableColumn id="8" xr3:uid="{664CB8F4-407C-4A55-AB9D-B0CD9A70FA25}" name="Prix Unitaire" dataDxfId="56" dataCellStyle="Milliers [0]"/>
    <tableColumn id="22" xr3:uid="{C7D978A7-CA5A-4200-8949-51166E5FF104}" name="Prix total" dataDxfId="55" dataCellStyle="Milliers [0]">
      <calculatedColumnFormula>Tableau1[[#This Row],[Prix Unitaire]]*Tableau1[[#This Row],[Qté]]</calculatedColumnFormula>
    </tableColumn>
    <tableColumn id="9" xr3:uid="{35A212A7-4871-415E-B1D9-D0B066E26D0E}" name="Mt_encaissé" dataDxfId="3" dataCellStyle="Milliers [0]"/>
    <tableColumn id="15" xr3:uid="{B42480BB-CD91-45FF-9C38-9ED552893DFE}" name=" Date de décaissement" dataDxfId="54"/>
    <tableColumn id="16" xr3:uid="{4DCAC849-BBAD-41D1-BBF7-E99889FD66EA}" name=" Mt_Encaissé" dataDxfId="53"/>
    <tableColumn id="17" xr3:uid="{935868B7-53E8-4700-A85B-334DA8EE32FA}" name="Créance actuelle" dataDxfId="5" dataCellStyle="Milliers [0]">
      <calculatedColumnFormula>IF(Tableau1[[#This Row],[Prix total]]&gt;Tableau1[[#This Row],[Mt_encaissé]],Tableau1[[#This Row],[Prix total]]-Tableau1[[#This Row],[Mt_encaissé]]-Tableau1[[#This Row],[ Mt_Encaissé]],"")</calculatedColumnFormula>
    </tableColumn>
    <tableColumn id="19" xr3:uid="{6159365B-88BC-47F7-82C5-9D90F71EA7FD}" name=" Date d'encaissement" dataDxfId="52"/>
    <tableColumn id="20" xr3:uid="{75187F38-5217-4D09-A3F6-1EB8B5373B35}" name="Mt_Décaissé " dataDxfId="21"/>
    <tableColumn id="21" xr3:uid="{8DFFB7A1-CF44-4486-90B4-01F638C0053B}" name="Dette actuelle" dataDxfId="4" dataCellStyle="Milliers [0]">
      <calculatedColumnFormula>IF(Tableau1[[#This Row],[Prix total]]&lt;Tableau1[[#This Row],[Mt_encaissé]],Tableau1[[#This Row],[Mt_encaissé]]-Tableau1[[#This Row],[Prix total]]-Tableau1[[#This Row],[Mt_Décaissé ]],"")</calculatedColumnFormula>
    </tableColumn>
    <tableColumn id="12" xr3:uid="{DE834730-28E9-40AC-8262-D4580902794A}" name="Observation" dataDxfId="6">
      <calculatedColumnFormula>IF(Tableau1[[#This Row],[B_Déposée]]&lt;&gt;Tableau1[[#This Row],[B_Vendue]],"La bouteille de gaz déposée sera reprise lors de la prochaine vente.","")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0352E4-8E51-480E-97A2-F7A6B02A36C8}" name="Tableau2" displayName="Tableau2" ref="A4:E18" totalsRowShown="0" headerRowDxfId="28" dataDxfId="27">
  <autoFilter ref="A4:E18" xr:uid="{5C939E3E-FED8-459F-B697-FD0E69B7E09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1F8BE9-F074-43A3-AFF0-D3C7EB8D21BB}" name=" Date" dataDxfId="26"/>
    <tableColumn id="2" xr3:uid="{14461ACA-C144-4BDE-A30C-E7857F166179}" name="B_Stockée" dataDxfId="25"/>
    <tableColumn id="3" xr3:uid="{B33180DA-C0DD-4F64-BE7B-1F7775C50EB5}" name=" Catégorie" dataDxfId="24"/>
    <tableColumn id="4" xr3:uid="{831B5BB5-710E-438B-9C85-0BE7B3EBEB65}" name="  Qté" dataDxfId="23"/>
    <tableColumn id="5" xr3:uid="{E7C8A8C1-741A-4306-9D53-D389DF733733}" name="Etat" dataDxfId="22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960608-3BCE-4FFB-9A85-5AEFA67FA1B1}" name="Tableau24" displayName="Tableau24" ref="F4:Q18" totalsRowShown="0" headerRowDxfId="20" dataDxfId="19">
  <autoFilter ref="F4:Q18" xr:uid="{661454EE-4109-473B-94FA-FA28E573FB6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988D26F2-3072-4193-A28C-846897252F03}" name=" Date" dataDxfId="18"/>
    <tableColumn id="7" xr3:uid="{68A9890B-91B9-4C4E-9479-B1C87FC42C78}" name="B_Déposée" dataDxfId="17">
      <calculatedColumnFormula>Ventes!C4</calculatedColumnFormula>
    </tableColumn>
    <tableColumn id="19" xr3:uid="{992DB12D-4585-456A-9EE1-5032054B8EDE}" name="B_Rechargée" dataDxfId="16" dataCellStyle="Milliers [0]">
      <calculatedColumnFormula>Rechargements!$C5</calculatedColumnFormula>
    </tableColumn>
    <tableColumn id="9" xr3:uid="{AFB4CF94-4F12-4B6E-94C4-FD4724ACC928}" name=" Catégorie" dataDxfId="15">
      <calculatedColumnFormula>Ventes!D4</calculatedColumnFormula>
    </tableColumn>
    <tableColumn id="14" xr3:uid="{D6D51736-6860-4075-82E0-00A4461134BE}" name="Qté " dataDxfId="14">
      <calculatedColumnFormula>Ventes!E4</calculatedColumnFormula>
    </tableColumn>
    <tableColumn id="10" xr3:uid="{9C0E8027-0155-4800-AD4D-25F6DCDD7D46}" name="Date" dataDxfId="13"/>
    <tableColumn id="11" xr3:uid="{82680E79-0E6C-4076-9CC2-9FDFA8D63C0E}" name="B_Vendue" dataDxfId="12">
      <calculatedColumnFormula>Ventes!F4</calculatedColumnFormula>
    </tableColumn>
    <tableColumn id="13" xr3:uid="{246B3718-69DB-4C8D-8CFE-070E31A02E1A}" name="Catégorie     " dataDxfId="11">
      <calculatedColumnFormula>Ventes!D4</calculatedColumnFormula>
    </tableColumn>
    <tableColumn id="12" xr3:uid="{BE99BAF3-90F4-4628-AED5-3A7842FDB7A0}" name="Qté  " dataDxfId="10">
      <calculatedColumnFormula>Ventes!G4</calculatedColumnFormula>
    </tableColumn>
    <tableColumn id="15" xr3:uid="{F7C76596-97E3-4D96-80D3-999D3AB1183B}" name="Date  " dataDxfId="9"/>
    <tableColumn id="16" xr3:uid="{2B712405-D095-4B74-94DC-EDA57F8B4461}" name="B_Stockée " dataDxfId="8"/>
    <tableColumn id="17" xr3:uid="{69652802-4DF6-427D-83D4-081C561F794D}" name="  Catégorie" dataDxfId="7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46C13-68F5-46BD-B485-3D212A136C7C}" name="Tableau4" displayName="Tableau4" ref="B4:G5" totalsRowShown="0" headerRowDxfId="51" dataDxfId="50" tableBorderDxfId="49">
  <autoFilter ref="B4:G5" xr:uid="{04623190-D52B-42B9-95F2-049B59CF83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2C550C4-D577-4702-A77F-741A594465F6}" name="  Date" dataDxfId="48"/>
    <tableColumn id="2" xr3:uid="{F05DCB06-5AD6-4EF4-AFA0-320757676794}" name="B_rechargée" dataDxfId="47"/>
    <tableColumn id="3" xr3:uid="{2D8A2D87-B40F-4191-9278-FD9BEDFA9F74}" name="   Catégorie" dataDxfId="46"/>
    <tableColumn id="4" xr3:uid="{2014970F-A3C7-4CA8-B3F5-9FA1B3BA3486}" name="    Qté" dataDxfId="45"/>
    <tableColumn id="5" xr3:uid="{D9FF8AD8-7E90-4557-92D0-1B35C5510D33}" name="Décaissé" dataDxfId="44"/>
    <tableColumn id="6" xr3:uid="{6DFF0A6A-F099-40C5-83C9-8776DE54AE92}" name="Fournisseur" dataDxfId="29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5EFC335-4377-4257-B96B-CCDD77CD649E}" name="Tableau6" displayName="Tableau6" ref="B3:G8" totalsRowShown="0" headerRowDxfId="43">
  <autoFilter ref="B3:G8" xr:uid="{C769C61B-9D69-41D9-911B-A2FAD2FAE1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6C23087-4524-451F-9A53-9A22D4E6CD0D}" name="Date de facturation" dataDxfId="42">
      <calculatedColumnFormula>Tableau1[[#This Row],[Date]]</calculatedColumnFormula>
    </tableColumn>
    <tableColumn id="2" xr3:uid="{E51460E8-FE27-436B-B46E-7C810506CADD}" name="Famille" dataDxfId="41">
      <calculatedColumnFormula>Tableau1[[#This Row],[Famille]]</calculatedColumnFormula>
    </tableColumn>
    <tableColumn id="3" xr3:uid="{6C80C786-664C-4DCC-8AAA-94A212E02F8C}" name=" Dette initiale" dataDxfId="40" dataCellStyle="Milliers [0]">
      <calculatedColumnFormula>IF(Ventes!#REF!="","",MID(Ventes!#REF!,1,SEARCH(" frs",Ventes!#REF!)-1)) &amp; " frs"</calculatedColumnFormula>
    </tableColumn>
    <tableColumn id="4" xr3:uid="{CFE77512-9F05-4C6B-A02F-0696A28D40A4}" name=" Date de décaissement" dataDxfId="39"/>
    <tableColumn id="5" xr3:uid="{EDB069F8-4EE3-4DB3-8B78-010EFC811AA2}" name="Décaissé" dataDxfId="38" dataCellStyle="Milliers"/>
    <tableColumn id="7" xr3:uid="{848FE557-C0A3-4579-8DBA-B0C251085D13}" name="Dette actuelle" dataDxfId="37">
      <calculatedColumnFormula>MID(Ventes!#REF!,1,SEARCH(" frs",Ventes!#REF!)-1)-Tableau6[[#This Row],[Décaissé]]&amp;" frs"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B61A31-309E-4273-B11D-8F649CDD71F4}" name="Tableau5" displayName="Tableau5" ref="C4:G6" totalsRowShown="0" headerRowDxfId="36" tableBorderDxfId="35">
  <autoFilter ref="C4:G6" xr:uid="{3882D222-2830-4B9F-89D8-AF5753A0650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xr3:uid="{77A9C4DD-D0EB-42CF-9418-8A3614DE7ACC}" name="Date" dataDxfId="34" dataCellStyle="Milliers [0]">
      <calculatedColumnFormula>Ventes!$A4</calculatedColumnFormula>
    </tableColumn>
    <tableColumn id="1" xr3:uid="{D2D86344-6B8C-446F-AFEC-A5ECCF9F97ED}" name="Famille" dataDxfId="33" dataCellStyle="Milliers [0]">
      <calculatedColumnFormula>Ventes!$B4</calculatedColumnFormula>
    </tableColumn>
    <tableColumn id="2" xr3:uid="{A548743D-F292-4743-A1E6-29B7E76995C7}" name="B_Déposée" dataDxfId="32">
      <calculatedColumnFormula>Ventes!$C4</calculatedColumnFormula>
    </tableColumn>
    <tableColumn id="3" xr3:uid="{DD67D4CC-50F0-406A-B13B-596335C8DFAB}" name="B_Vendue" dataDxfId="31">
      <calculatedColumnFormula>Ventes!$F4</calculatedColumnFormula>
    </tableColumn>
    <tableColumn id="4" xr3:uid="{54483096-1201-445F-A7FD-50488BFDEEF2}" name="Observation" dataDxfId="30">
      <calculatedColumnFormula>IF(E5&lt;&gt;F5,"Bouteille déposée à reprendre lors du prochain rechargement.","Aucune reprise.")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J13"/>
  <sheetViews>
    <sheetView workbookViewId="0">
      <selection activeCell="J8" sqref="J8:J13"/>
    </sheetView>
  </sheetViews>
  <sheetFormatPr baseColWidth="10" defaultRowHeight="15" x14ac:dyDescent="0.25"/>
  <cols>
    <col min="1" max="1" width="29.5703125" customWidth="1"/>
    <col min="2" max="2" width="14" customWidth="1"/>
    <col min="4" max="4" width="17" customWidth="1"/>
    <col min="5" max="5" width="21.85546875" customWidth="1"/>
    <col min="6" max="6" width="15.140625" customWidth="1"/>
    <col min="7" max="7" width="15.42578125" customWidth="1"/>
    <col min="8" max="8" width="17.140625" customWidth="1"/>
  </cols>
  <sheetData>
    <row r="1" spans="1:10" x14ac:dyDescent="0.25">
      <c r="A1" s="43" t="s">
        <v>0</v>
      </c>
      <c r="B1" s="43"/>
      <c r="C1" s="43"/>
      <c r="D1" s="43"/>
      <c r="E1" s="43"/>
      <c r="F1" s="43"/>
      <c r="G1" s="43"/>
      <c r="H1" s="43"/>
    </row>
    <row r="2" spans="1:10" x14ac:dyDescent="0.25">
      <c r="A2" s="43"/>
      <c r="B2" s="43"/>
      <c r="C2" s="43"/>
      <c r="D2" s="43"/>
      <c r="E2" s="43"/>
      <c r="F2" s="43"/>
      <c r="G2" s="43"/>
      <c r="H2" s="43"/>
    </row>
    <row r="3" spans="1:10" x14ac:dyDescent="0.25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22</v>
      </c>
      <c r="H3" s="44" t="s">
        <v>28</v>
      </c>
    </row>
    <row r="4" spans="1:10" x14ac:dyDescent="0.25">
      <c r="A4" s="44"/>
      <c r="B4" s="44"/>
      <c r="C4" s="44"/>
      <c r="D4" s="44"/>
      <c r="E4" s="44"/>
      <c r="F4" s="44"/>
      <c r="G4" s="44"/>
      <c r="H4" s="44"/>
    </row>
    <row r="5" spans="1:10" x14ac:dyDescent="0.25">
      <c r="A5" s="1" t="s">
        <v>7</v>
      </c>
      <c r="B5" s="2" t="s">
        <v>8</v>
      </c>
      <c r="C5" s="2">
        <v>280</v>
      </c>
      <c r="D5" s="4">
        <f>DATE(2011,12,20)</f>
        <v>40897</v>
      </c>
      <c r="E5" s="1" t="s">
        <v>21</v>
      </c>
      <c r="F5" s="3">
        <f>DATE(2012,1,27)</f>
        <v>40935</v>
      </c>
      <c r="G5" s="2" t="s">
        <v>26</v>
      </c>
      <c r="H5" s="1"/>
    </row>
    <row r="6" spans="1:10" x14ac:dyDescent="0.25">
      <c r="A6" s="1" t="s">
        <v>9</v>
      </c>
      <c r="B6" s="2" t="s">
        <v>27</v>
      </c>
      <c r="C6" s="2">
        <v>7200</v>
      </c>
      <c r="D6" s="4">
        <f>DATE(2011,11,27)</f>
        <v>40874</v>
      </c>
      <c r="E6" s="1" t="s">
        <v>21</v>
      </c>
      <c r="F6" s="3">
        <f>DATE(2012,1,17)</f>
        <v>40925</v>
      </c>
      <c r="G6" s="2" t="s">
        <v>24</v>
      </c>
      <c r="H6" s="1"/>
    </row>
    <row r="7" spans="1:10" x14ac:dyDescent="0.25">
      <c r="A7" s="1" t="s">
        <v>10</v>
      </c>
      <c r="B7" s="2" t="s">
        <v>11</v>
      </c>
      <c r="C7" s="2">
        <v>1000</v>
      </c>
      <c r="D7" s="4">
        <f>DATE(2011,12,3)</f>
        <v>40880</v>
      </c>
      <c r="E7" s="1" t="s">
        <v>21</v>
      </c>
      <c r="F7" s="3">
        <f>DATE(2012,1,13)</f>
        <v>40921</v>
      </c>
      <c r="G7" s="2" t="s">
        <v>25</v>
      </c>
      <c r="H7" s="1"/>
    </row>
    <row r="8" spans="1:10" x14ac:dyDescent="0.25">
      <c r="A8" s="1" t="s">
        <v>12</v>
      </c>
      <c r="B8" s="2" t="s">
        <v>27</v>
      </c>
      <c r="C8" s="2">
        <v>5800</v>
      </c>
      <c r="D8" s="4">
        <f>DATE(2011,11,8)</f>
        <v>40855</v>
      </c>
      <c r="E8" s="1" t="s">
        <v>21</v>
      </c>
      <c r="F8" s="3">
        <f>DATE(2012,1,24)</f>
        <v>40932</v>
      </c>
      <c r="G8" s="2" t="s">
        <v>23</v>
      </c>
      <c r="H8" s="1"/>
      <c r="J8">
        <v>1</v>
      </c>
    </row>
    <row r="9" spans="1:10" x14ac:dyDescent="0.25">
      <c r="A9" s="1" t="s">
        <v>13</v>
      </c>
      <c r="B9" s="2" t="s">
        <v>14</v>
      </c>
      <c r="C9" s="2">
        <v>1200</v>
      </c>
      <c r="D9" s="4">
        <f>DATE(2012,12,20)</f>
        <v>41263</v>
      </c>
      <c r="E9" s="1" t="s">
        <v>21</v>
      </c>
      <c r="F9" s="3">
        <f>DATE(2012,1,28)</f>
        <v>40936</v>
      </c>
      <c r="G9" s="2" t="s">
        <v>23</v>
      </c>
      <c r="H9" s="1"/>
      <c r="J9">
        <v>1</v>
      </c>
    </row>
    <row r="10" spans="1:10" x14ac:dyDescent="0.25">
      <c r="A10" s="1" t="s">
        <v>15</v>
      </c>
      <c r="B10" s="2" t="s">
        <v>16</v>
      </c>
      <c r="C10" s="2">
        <v>220</v>
      </c>
      <c r="D10" s="4">
        <f>DATE(2011,12,20)</f>
        <v>40897</v>
      </c>
      <c r="E10" s="1" t="s">
        <v>21</v>
      </c>
      <c r="F10" s="3">
        <f>DATE(2012,1,27)</f>
        <v>40935</v>
      </c>
      <c r="G10" s="2" t="s">
        <v>23</v>
      </c>
      <c r="H10" s="1"/>
      <c r="J10">
        <v>1</v>
      </c>
    </row>
    <row r="11" spans="1:10" x14ac:dyDescent="0.25">
      <c r="A11" s="1" t="s">
        <v>17</v>
      </c>
      <c r="B11" s="2" t="s">
        <v>18</v>
      </c>
      <c r="C11" s="2">
        <v>1500</v>
      </c>
      <c r="D11" s="4">
        <f>DATE(2012,1,8)</f>
        <v>40916</v>
      </c>
      <c r="E11" s="1" t="s">
        <v>21</v>
      </c>
      <c r="F11" s="3">
        <f>DATE(2012,2,8)</f>
        <v>40947</v>
      </c>
      <c r="G11" s="2" t="s">
        <v>23</v>
      </c>
      <c r="H11" s="1"/>
      <c r="J11">
        <v>1</v>
      </c>
    </row>
    <row r="12" spans="1:10" x14ac:dyDescent="0.25">
      <c r="A12" s="1" t="s">
        <v>19</v>
      </c>
      <c r="B12" s="2" t="s">
        <v>20</v>
      </c>
      <c r="C12" s="2">
        <v>1200</v>
      </c>
      <c r="D12" s="4">
        <f>DATE(2011,11,14)</f>
        <v>40861</v>
      </c>
      <c r="E12" s="1" t="s">
        <v>21</v>
      </c>
      <c r="F12" s="3">
        <f>DATE(2012,2,10)</f>
        <v>40949</v>
      </c>
      <c r="G12" s="2" t="s">
        <v>23</v>
      </c>
      <c r="H12" s="1"/>
      <c r="J12">
        <v>1</v>
      </c>
    </row>
    <row r="13" spans="1:10" x14ac:dyDescent="0.25">
      <c r="J13">
        <v>1</v>
      </c>
    </row>
  </sheetData>
  <mergeCells count="9">
    <mergeCell ref="A1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DDD99-838F-4D78-A357-0F63A2F336C0}">
  <sheetPr codeName="Feuil3"/>
  <dimension ref="A1"/>
  <sheetViews>
    <sheetView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O17"/>
  <sheetViews>
    <sheetView tabSelected="1" zoomScale="80" zoomScaleNormal="80" workbookViewId="0">
      <selection activeCell="F6" sqref="F6"/>
    </sheetView>
  </sheetViews>
  <sheetFormatPr baseColWidth="10" defaultRowHeight="15" x14ac:dyDescent="0.25"/>
  <cols>
    <col min="2" max="2" width="13.28515625" bestFit="1" customWidth="1"/>
    <col min="3" max="3" width="16.7109375" bestFit="1" customWidth="1"/>
    <col min="4" max="4" width="14.140625" bestFit="1" customWidth="1"/>
    <col min="5" max="5" width="5.85546875" bestFit="1" customWidth="1"/>
    <col min="6" max="6" width="16" bestFit="1" customWidth="1"/>
    <col min="7" max="7" width="6.5703125" bestFit="1" customWidth="1"/>
    <col min="8" max="8" width="16.42578125" bestFit="1" customWidth="1"/>
    <col min="9" max="9" width="13" bestFit="1" customWidth="1"/>
    <col min="10" max="10" width="18.140625" bestFit="1" customWidth="1"/>
    <col min="11" max="11" width="19.85546875" bestFit="1" customWidth="1"/>
    <col min="12" max="12" width="19.140625" bestFit="1" customWidth="1"/>
    <col min="13" max="13" width="12.42578125" bestFit="1" customWidth="1"/>
    <col min="14" max="14" width="21.5703125" bestFit="1" customWidth="1"/>
    <col min="15" max="15" width="19.140625" bestFit="1" customWidth="1"/>
    <col min="16" max="16" width="12.85546875" bestFit="1" customWidth="1"/>
    <col min="17" max="17" width="47.85546875" bestFit="1" customWidth="1"/>
    <col min="19" max="19" width="15.42578125" bestFit="1" customWidth="1"/>
    <col min="22" max="22" width="13.140625" bestFit="1" customWidth="1"/>
  </cols>
  <sheetData>
    <row r="1" spans="1:41" ht="21.75" thickBot="1" x14ac:dyDescent="0.4"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ht="19.5" thickBot="1" x14ac:dyDescent="0.35">
      <c r="A2" s="100" t="s">
        <v>70</v>
      </c>
      <c r="B2" s="100"/>
      <c r="C2" s="100"/>
      <c r="D2" s="100"/>
      <c r="E2" s="100"/>
      <c r="F2" s="100"/>
      <c r="G2" s="100"/>
      <c r="H2" s="100"/>
      <c r="I2" s="100"/>
      <c r="J2" s="100"/>
      <c r="K2" s="46" t="s">
        <v>73</v>
      </c>
      <c r="L2" s="46"/>
      <c r="M2" s="46"/>
      <c r="N2" s="45" t="s">
        <v>69</v>
      </c>
      <c r="O2" s="45"/>
      <c r="P2" s="45"/>
      <c r="Q2" s="92" t="s">
        <v>101</v>
      </c>
      <c r="R2" s="85"/>
      <c r="S2" s="85"/>
      <c r="T2" s="85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  <c r="AG2" s="9"/>
      <c r="AH2" s="10"/>
      <c r="AI2" s="10"/>
      <c r="AJ2" s="10"/>
      <c r="AK2" s="10"/>
      <c r="AL2" s="10"/>
      <c r="AM2" s="10"/>
      <c r="AN2" s="10"/>
      <c r="AO2" s="10"/>
    </row>
    <row r="3" spans="1:41" ht="54" x14ac:dyDescent="0.25">
      <c r="A3" s="93" t="s">
        <v>30</v>
      </c>
      <c r="B3" s="94" t="s">
        <v>37</v>
      </c>
      <c r="C3" s="94" t="s">
        <v>31</v>
      </c>
      <c r="D3" s="94" t="s">
        <v>38</v>
      </c>
      <c r="E3" s="94" t="s">
        <v>33</v>
      </c>
      <c r="F3" s="94" t="s">
        <v>32</v>
      </c>
      <c r="G3" s="94" t="s">
        <v>43</v>
      </c>
      <c r="H3" s="94" t="s">
        <v>52</v>
      </c>
      <c r="I3" s="94" t="s">
        <v>53</v>
      </c>
      <c r="J3" s="95" t="s">
        <v>42</v>
      </c>
      <c r="K3" s="96" t="s">
        <v>66</v>
      </c>
      <c r="L3" s="97" t="s">
        <v>78</v>
      </c>
      <c r="M3" s="98" t="s">
        <v>72</v>
      </c>
      <c r="N3" s="96" t="s">
        <v>71</v>
      </c>
      <c r="O3" s="97" t="s">
        <v>77</v>
      </c>
      <c r="P3" s="98" t="s">
        <v>58</v>
      </c>
      <c r="Q3" s="99" t="s">
        <v>54</v>
      </c>
    </row>
    <row r="4" spans="1:41" ht="28.5" x14ac:dyDescent="0.25">
      <c r="A4" s="30">
        <v>43953</v>
      </c>
      <c r="B4" s="31" t="s">
        <v>29</v>
      </c>
      <c r="C4" s="31" t="s">
        <v>35</v>
      </c>
      <c r="D4" s="31" t="s">
        <v>39</v>
      </c>
      <c r="E4" s="31">
        <v>1</v>
      </c>
      <c r="F4" s="31" t="s">
        <v>34</v>
      </c>
      <c r="G4" s="31">
        <f>Tableau1[[#This Row],[Qté]]</f>
        <v>1</v>
      </c>
      <c r="H4" s="32">
        <v>2300</v>
      </c>
      <c r="I4" s="33">
        <f>Tableau1[[#This Row],[Prix Unitaire]]*Tableau1[[#This Row],[Qté]]</f>
        <v>2300</v>
      </c>
      <c r="J4" s="89">
        <v>2000</v>
      </c>
      <c r="K4" s="23">
        <v>43955</v>
      </c>
      <c r="L4" s="41">
        <v>200</v>
      </c>
      <c r="M4" s="87">
        <f>IF(Tableau1[[#This Row],[Prix total]]&gt;Tableau1[[#This Row],[Mt_encaissé]],Tableau1[[#This Row],[Prix total]]-Tableau1[[#This Row],[Mt_encaissé]]-Tableau1[[#This Row],[ Mt_Encaissé]],"")</f>
        <v>100</v>
      </c>
      <c r="N4" s="24"/>
      <c r="O4" s="24"/>
      <c r="P4" s="88" t="str">
        <f>IF(Tableau1[[#This Row],[Prix total]]&lt;Tableau1[[#This Row],[Mt_encaissé]],Tableau1[[#This Row],[Mt_encaissé]]-Tableau1[[#This Row],[Prix total]]-Tableau1[[#This Row],[Mt_Décaissé ]],"")</f>
        <v/>
      </c>
      <c r="Q4" s="86" t="str">
        <f>IF(Tableau1[[#This Row],[B_Déposée]]&lt;&gt;Tableau1[[#This Row],[B_Vendue]],"La bouteille de gaz déposée sera reprise lors de la prochaine vente.","")</f>
        <v>La bouteille de gaz déposée sera reprise lors de la prochaine vente.</v>
      </c>
    </row>
    <row r="5" spans="1:41" ht="28.5" x14ac:dyDescent="0.25">
      <c r="A5" s="91">
        <v>43954</v>
      </c>
      <c r="B5" s="34" t="s">
        <v>60</v>
      </c>
      <c r="C5" s="34" t="s">
        <v>59</v>
      </c>
      <c r="D5" s="34" t="s">
        <v>56</v>
      </c>
      <c r="E5" s="34">
        <v>1</v>
      </c>
      <c r="F5" s="34" t="s">
        <v>61</v>
      </c>
      <c r="G5" s="34">
        <f>Tableau1[[#This Row],[Qté]]</f>
        <v>1</v>
      </c>
      <c r="H5" s="42">
        <v>2300</v>
      </c>
      <c r="I5" s="33">
        <f>Tableau1[[#This Row],[Prix Unitaire]]*Tableau1[[#This Row],[Qté]]</f>
        <v>2300</v>
      </c>
      <c r="J5" s="90">
        <v>2500</v>
      </c>
      <c r="K5" s="24"/>
      <c r="L5" s="41"/>
      <c r="M5" s="87" t="str">
        <f>IF(Tableau1[[#This Row],[Prix total]]&gt;Tableau1[[#This Row],[Mt_encaissé]],Tableau1[[#This Row],[Prix total]]-Tableau1[[#This Row],[Mt_encaissé]]-Tableau1[[#This Row],[ Mt_Encaissé]],"")</f>
        <v/>
      </c>
      <c r="N5" s="23">
        <v>43966</v>
      </c>
      <c r="O5" s="24">
        <v>200</v>
      </c>
      <c r="P5" s="88">
        <f>IF(Tableau1[[#This Row],[Prix total]]&lt;Tableau1[[#This Row],[Mt_encaissé]],Tableau1[[#This Row],[Mt_encaissé]]-Tableau1[[#This Row],[Prix total]]-Tableau1[[#This Row],[Mt_Décaissé ]],"")</f>
        <v>0</v>
      </c>
      <c r="Q5" s="86" t="str">
        <f>IF(Tableau1[[#This Row],[B_Déposée]]&lt;&gt;Tableau1[[#This Row],[B_Vendue]],"La bouteille de gaz déposée sera reprise lors de la prochaine vente.","")</f>
        <v>La bouteille de gaz déposée sera reprise lors de la prochaine vente.</v>
      </c>
    </row>
    <row r="6" spans="1:41" x14ac:dyDescent="0.25">
      <c r="A6" s="91">
        <v>43955</v>
      </c>
      <c r="B6" s="34" t="s">
        <v>62</v>
      </c>
      <c r="C6" s="34" t="s">
        <v>63</v>
      </c>
      <c r="D6" s="34" t="s">
        <v>39</v>
      </c>
      <c r="E6" s="34">
        <v>1</v>
      </c>
      <c r="F6" s="34" t="s">
        <v>63</v>
      </c>
      <c r="G6" s="34">
        <f>Tableau1[[#This Row],[Qté]]</f>
        <v>1</v>
      </c>
      <c r="H6" s="42">
        <v>5000</v>
      </c>
      <c r="I6" s="33">
        <f>Tableau1[[#This Row],[Prix Unitaire]]*Tableau1[[#This Row],[Qté]]</f>
        <v>5000</v>
      </c>
      <c r="J6" s="90">
        <v>5000</v>
      </c>
      <c r="K6" s="24"/>
      <c r="L6" s="41"/>
      <c r="M6" s="87" t="str">
        <f>IF(Tableau1[[#This Row],[Prix total]]&gt;Tableau1[[#This Row],[Mt_encaissé]],Tableau1[[#This Row],[Prix total]]-Tableau1[[#This Row],[Mt_encaissé]]-Tableau1[[#This Row],[ Mt_Encaissé]],"")</f>
        <v/>
      </c>
      <c r="N6" s="24"/>
      <c r="O6" s="24"/>
      <c r="P6" s="88" t="str">
        <f>IF(Tableau1[[#This Row],[Prix total]]&lt;Tableau1[[#This Row],[Mt_encaissé]],Tableau1[[#This Row],[Mt_encaissé]]-Tableau1[[#This Row],[Prix total]]-Tableau1[[#This Row],[Mt_Décaissé ]],"")</f>
        <v/>
      </c>
      <c r="Q6" s="86" t="str">
        <f>IF(Tableau1[[#This Row],[B_Déposée]]&lt;&gt;Tableau1[[#This Row],[B_Vendue]],"La bouteille de gaz déposée sera reprise lors de la prochaine vente.","")</f>
        <v/>
      </c>
    </row>
    <row r="7" spans="1:41" x14ac:dyDescent="0.25">
      <c r="A7" s="91">
        <v>43955</v>
      </c>
      <c r="B7" s="24" t="s">
        <v>64</v>
      </c>
      <c r="C7" s="24" t="s">
        <v>35</v>
      </c>
      <c r="D7" s="24" t="s">
        <v>56</v>
      </c>
      <c r="E7" s="24">
        <v>1</v>
      </c>
      <c r="F7" s="24" t="s">
        <v>35</v>
      </c>
      <c r="G7" s="24">
        <f>Tableau1[[#This Row],[Qté]]</f>
        <v>1</v>
      </c>
      <c r="H7" s="26">
        <v>2300</v>
      </c>
      <c r="I7" s="25">
        <f>Tableau1[[#This Row],[Prix Unitaire]]*Tableau1[[#This Row],[Qté]]</f>
        <v>2300</v>
      </c>
      <c r="J7" s="90">
        <v>5000</v>
      </c>
      <c r="K7" s="24"/>
      <c r="L7" s="41"/>
      <c r="M7" s="87" t="str">
        <f>IF(Tableau1[[#This Row],[Prix total]]&gt;Tableau1[[#This Row],[Mt_encaissé]],Tableau1[[#This Row],[Prix total]]-Tableau1[[#This Row],[Mt_encaissé]]-Tableau1[[#This Row],[ Mt_Encaissé]],"")</f>
        <v/>
      </c>
      <c r="N7" s="23">
        <v>43955</v>
      </c>
      <c r="O7" s="24">
        <v>2000</v>
      </c>
      <c r="P7" s="88">
        <f>IF(Tableau1[[#This Row],[Prix total]]&lt;Tableau1[[#This Row],[Mt_encaissé]],Tableau1[[#This Row],[Mt_encaissé]]-Tableau1[[#This Row],[Prix total]]-Tableau1[[#This Row],[Mt_Décaissé ]],"")</f>
        <v>700</v>
      </c>
      <c r="Q7" s="86" t="str">
        <f>IF(Tableau1[[#This Row],[B_Déposée]]&lt;&gt;Tableau1[[#This Row],[B_Vendue]],"La bouteille de gaz déposée sera reprise lors de la prochaine vente.","")</f>
        <v/>
      </c>
    </row>
    <row r="8" spans="1:41" ht="28.5" x14ac:dyDescent="0.25">
      <c r="A8" s="91">
        <v>43955</v>
      </c>
      <c r="B8" s="24" t="s">
        <v>68</v>
      </c>
      <c r="C8" s="24" t="s">
        <v>63</v>
      </c>
      <c r="D8" s="24" t="s">
        <v>56</v>
      </c>
      <c r="E8" s="24">
        <v>1</v>
      </c>
      <c r="F8" s="24" t="s">
        <v>35</v>
      </c>
      <c r="G8" s="24">
        <f>Tableau1[[#This Row],[Qté]]</f>
        <v>1</v>
      </c>
      <c r="H8" s="26">
        <v>2300</v>
      </c>
      <c r="I8" s="25">
        <f>Tableau1[[#This Row],[Prix Unitaire]]*Tableau1[[#This Row],[Qté]]</f>
        <v>2300</v>
      </c>
      <c r="J8" s="90">
        <v>5000</v>
      </c>
      <c r="K8" s="24"/>
      <c r="L8" s="41"/>
      <c r="M8" s="87" t="str">
        <f>IF(Tableau1[[#This Row],[Prix total]]&gt;Tableau1[[#This Row],[Mt_encaissé]],Tableau1[[#This Row],[Prix total]]-Tableau1[[#This Row],[Mt_encaissé]]-Tableau1[[#This Row],[ Mt_Encaissé]],"")</f>
        <v/>
      </c>
      <c r="N8" s="24"/>
      <c r="O8" s="24"/>
      <c r="P8" s="88">
        <f>IF(Tableau1[[#This Row],[Prix total]]&lt;Tableau1[[#This Row],[Mt_encaissé]],Tableau1[[#This Row],[Mt_encaissé]]-Tableau1[[#This Row],[Prix total]]-Tableau1[[#This Row],[Mt_Décaissé ]],"")</f>
        <v>2700</v>
      </c>
      <c r="Q8" s="86" t="str">
        <f>IF(Tableau1[[#This Row],[B_Déposée]]&lt;&gt;Tableau1[[#This Row],[B_Vendue]],"La bouteille de gaz déposée sera reprise lors de la prochaine vente.","")</f>
        <v>La bouteille de gaz déposée sera reprise lors de la prochaine vente.</v>
      </c>
    </row>
    <row r="9" spans="1:41" x14ac:dyDescent="0.25">
      <c r="A9" s="91">
        <v>43955</v>
      </c>
      <c r="B9" s="24" t="s">
        <v>74</v>
      </c>
      <c r="C9" s="24" t="s">
        <v>59</v>
      </c>
      <c r="D9" s="24" t="s">
        <v>39</v>
      </c>
      <c r="E9" s="24">
        <v>1</v>
      </c>
      <c r="F9" s="24" t="s">
        <v>59</v>
      </c>
      <c r="G9" s="24">
        <f>Tableau1[[#This Row],[Qté]]</f>
        <v>1</v>
      </c>
      <c r="H9" s="26">
        <v>5500</v>
      </c>
      <c r="I9" s="25">
        <f>Tableau1[[#This Row],[Prix Unitaire]]*Tableau1[[#This Row],[Qté]]</f>
        <v>5500</v>
      </c>
      <c r="J9" s="90">
        <v>6000</v>
      </c>
      <c r="K9" s="24"/>
      <c r="L9" s="41"/>
      <c r="M9" s="87" t="str">
        <f>IF(Tableau1[[#This Row],[Prix total]]&gt;Tableau1[[#This Row],[Mt_encaissé]],Tableau1[[#This Row],[Prix total]]-Tableau1[[#This Row],[Mt_encaissé]]-Tableau1[[#This Row],[ Mt_Encaissé]],"")</f>
        <v/>
      </c>
      <c r="N9" s="24"/>
      <c r="O9" s="24"/>
      <c r="P9" s="88">
        <f>IF(Tableau1[[#This Row],[Prix total]]&lt;Tableau1[[#This Row],[Mt_encaissé]],Tableau1[[#This Row],[Mt_encaissé]]-Tableau1[[#This Row],[Prix total]]-Tableau1[[#This Row],[Mt_Décaissé ]],"")</f>
        <v>500</v>
      </c>
      <c r="Q9" s="86" t="str">
        <f>IF(Tableau1[[#This Row],[B_Déposée]]&lt;&gt;Tableau1[[#This Row],[B_Vendue]],"La bouteille de gaz déposée sera reprise lors de la prochaine vente.","")</f>
        <v/>
      </c>
    </row>
    <row r="10" spans="1:41" ht="28.5" x14ac:dyDescent="0.25">
      <c r="A10" s="91">
        <v>43956</v>
      </c>
      <c r="B10" s="24" t="s">
        <v>75</v>
      </c>
      <c r="C10" s="24" t="s">
        <v>35</v>
      </c>
      <c r="D10" s="24" t="s">
        <v>56</v>
      </c>
      <c r="E10" s="24">
        <v>1</v>
      </c>
      <c r="F10" s="24" t="s">
        <v>76</v>
      </c>
      <c r="G10" s="24">
        <f>Tableau1[[#This Row],[Qté]]</f>
        <v>1</v>
      </c>
      <c r="H10" s="26">
        <v>2300</v>
      </c>
      <c r="I10" s="25">
        <f>Tableau1[[#This Row],[Prix Unitaire]]*Tableau1[[#This Row],[Qté]]</f>
        <v>2300</v>
      </c>
      <c r="J10" s="90">
        <v>5000</v>
      </c>
      <c r="K10" s="23"/>
      <c r="L10" s="41"/>
      <c r="M10" s="87" t="str">
        <f>IF(Tableau1[[#This Row],[Prix total]]&gt;Tableau1[[#This Row],[Mt_encaissé]],Tableau1[[#This Row],[Prix total]]-Tableau1[[#This Row],[Mt_encaissé]]-Tableau1[[#This Row],[ Mt_Encaissé]],"")</f>
        <v/>
      </c>
      <c r="N10" s="24"/>
      <c r="O10" s="24"/>
      <c r="P10" s="87">
        <f>IF(Tableau1[[#This Row],[Prix total]]&lt;Tableau1[[#This Row],[Mt_encaissé]],Tableau1[[#This Row],[Mt_encaissé]]-Tableau1[[#This Row],[Prix total]]-Tableau1[[#This Row],[Mt_Décaissé ]],"")</f>
        <v>2700</v>
      </c>
      <c r="Q10" s="86" t="str">
        <f>IF(Tableau1[[#This Row],[B_Déposée]]&lt;&gt;Tableau1[[#This Row],[B_Vendue]],"La bouteille de gaz déposée sera reprise lors de la prochaine vente.","")</f>
        <v>La bouteille de gaz déposée sera reprise lors de la prochaine vente.</v>
      </c>
    </row>
    <row r="11" spans="1:41" x14ac:dyDescent="0.25">
      <c r="A11" s="91">
        <v>43956</v>
      </c>
      <c r="B11" s="24" t="s">
        <v>94</v>
      </c>
      <c r="C11" s="24" t="s">
        <v>63</v>
      </c>
      <c r="D11" s="24" t="s">
        <v>39</v>
      </c>
      <c r="E11" s="24">
        <v>1</v>
      </c>
      <c r="F11" s="24" t="s">
        <v>63</v>
      </c>
      <c r="G11" s="24">
        <f>Tableau1[[#This Row],[Qté]]</f>
        <v>1</v>
      </c>
      <c r="H11" s="26">
        <v>5500</v>
      </c>
      <c r="I11" s="25">
        <f>Tableau1[[#This Row],[Prix Unitaire]]*Tableau1[[#This Row],[Qté]]</f>
        <v>5500</v>
      </c>
      <c r="J11" s="90">
        <v>5500</v>
      </c>
      <c r="K11" s="23"/>
      <c r="L11" s="41"/>
      <c r="M11" s="87" t="str">
        <f>IF(Tableau1[[#This Row],[Prix total]]&gt;Tableau1[[#This Row],[Mt_encaissé]],Tableau1[[#This Row],[Prix total]]-Tableau1[[#This Row],[Mt_encaissé]]-Tableau1[[#This Row],[ Mt_Encaissé]],"")</f>
        <v/>
      </c>
      <c r="N11" s="24"/>
      <c r="O11" s="24"/>
      <c r="P11" s="87" t="str">
        <f>IF(Tableau1[[#This Row],[Prix total]]&lt;Tableau1[[#This Row],[Mt_encaissé]],Tableau1[[#This Row],[Mt_encaissé]]-Tableau1[[#This Row],[Prix total]]-Tableau1[[#This Row],[Mt_Décaissé ]],"")</f>
        <v/>
      </c>
      <c r="Q11" s="86" t="str">
        <f>IF(Tableau1[[#This Row],[B_Déposée]]&lt;&gt;Tableau1[[#This Row],[B_Vendue]],"La bouteille de gaz déposée sera reprise lors de la prochaine vente.","")</f>
        <v/>
      </c>
    </row>
    <row r="12" spans="1:41" ht="28.5" x14ac:dyDescent="0.25">
      <c r="A12" s="91">
        <v>43956</v>
      </c>
      <c r="B12" s="24" t="s">
        <v>94</v>
      </c>
      <c r="C12" s="24" t="s">
        <v>34</v>
      </c>
      <c r="D12" s="24" t="s">
        <v>39</v>
      </c>
      <c r="E12" s="24">
        <v>1</v>
      </c>
      <c r="F12" s="24" t="s">
        <v>35</v>
      </c>
      <c r="G12" s="24">
        <f>Tableau1[[#This Row],[Qté]]</f>
        <v>1</v>
      </c>
      <c r="H12" s="26">
        <v>5500</v>
      </c>
      <c r="I12" s="25">
        <f>Tableau1[[#This Row],[Prix Unitaire]]*Tableau1[[#This Row],[Qté]]</f>
        <v>5500</v>
      </c>
      <c r="J12" s="90">
        <v>5500</v>
      </c>
      <c r="K12" s="23"/>
      <c r="L12" s="41"/>
      <c r="M12" s="87" t="str">
        <f>IF(Tableau1[[#This Row],[Prix total]]&gt;Tableau1[[#This Row],[Mt_encaissé]],Tableau1[[#This Row],[Prix total]]-Tableau1[[#This Row],[Mt_encaissé]]-Tableau1[[#This Row],[ Mt_Encaissé]],"")</f>
        <v/>
      </c>
      <c r="N12" s="24"/>
      <c r="O12" s="24"/>
      <c r="P12" s="87" t="str">
        <f>IF(Tableau1[[#This Row],[Prix total]]&lt;Tableau1[[#This Row],[Mt_encaissé]],Tableau1[[#This Row],[Mt_encaissé]]-Tableau1[[#This Row],[Prix total]]-Tableau1[[#This Row],[Mt_Décaissé ]],"")</f>
        <v/>
      </c>
      <c r="Q12" s="86" t="str">
        <f>IF(Tableau1[[#This Row],[B_Déposée]]&lt;&gt;Tableau1[[#This Row],[B_Vendue]],"La bouteille de gaz déposée sera reprise lors de la prochaine vente.","")</f>
        <v>La bouteille de gaz déposée sera reprise lors de la prochaine vente.</v>
      </c>
    </row>
    <row r="13" spans="1:41" x14ac:dyDescent="0.25">
      <c r="A13" s="91">
        <v>43956</v>
      </c>
      <c r="B13" s="24" t="s">
        <v>95</v>
      </c>
      <c r="C13" s="24" t="s">
        <v>35</v>
      </c>
      <c r="D13" s="24" t="s">
        <v>56</v>
      </c>
      <c r="E13" s="24">
        <v>4</v>
      </c>
      <c r="F13" s="24" t="s">
        <v>35</v>
      </c>
      <c r="G13" s="24">
        <f>Tableau1[[#This Row],[Qté]]</f>
        <v>4</v>
      </c>
      <c r="H13" s="26">
        <v>2300</v>
      </c>
      <c r="I13" s="25">
        <f>Tableau1[[#This Row],[Prix Unitaire]]*Tableau1[[#This Row],[Qté]]</f>
        <v>9200</v>
      </c>
      <c r="J13" s="90">
        <v>10000</v>
      </c>
      <c r="K13" s="24"/>
      <c r="L13" s="41"/>
      <c r="M13" s="87" t="str">
        <f>IF(Tableau1[[#This Row],[Prix total]]&gt;Tableau1[[#This Row],[Mt_encaissé]],Tableau1[[#This Row],[Prix total]]-Tableau1[[#This Row],[Mt_encaissé]]-Tableau1[[#This Row],[ Mt_Encaissé]],"")</f>
        <v/>
      </c>
      <c r="N13" s="23" t="s">
        <v>96</v>
      </c>
      <c r="O13" s="24">
        <f>500+200+100</f>
        <v>800</v>
      </c>
      <c r="P13" s="87">
        <f>IF(Tableau1[[#This Row],[Prix total]]&lt;Tableau1[[#This Row],[Mt_encaissé]],Tableau1[[#This Row],[Mt_encaissé]]-Tableau1[[#This Row],[Prix total]]-Tableau1[[#This Row],[Mt_Décaissé ]],"")</f>
        <v>0</v>
      </c>
      <c r="Q13" s="86" t="str">
        <f>IF(Tableau1[[#This Row],[B_Déposée]]&lt;&gt;Tableau1[[#This Row],[B_Vendue]],"La bouteille de gaz déposée sera reprise lors de la prochaine vente.","")</f>
        <v/>
      </c>
    </row>
    <row r="14" spans="1:41" x14ac:dyDescent="0.25">
      <c r="A14" s="91">
        <v>43956</v>
      </c>
      <c r="B14" s="24" t="s">
        <v>97</v>
      </c>
      <c r="C14" s="24" t="s">
        <v>76</v>
      </c>
      <c r="D14" s="24" t="s">
        <v>56</v>
      </c>
      <c r="E14" s="24">
        <v>2</v>
      </c>
      <c r="F14" s="24" t="s">
        <v>76</v>
      </c>
      <c r="G14" s="24">
        <f>Tableau1[[#This Row],[Qté]]</f>
        <v>2</v>
      </c>
      <c r="H14" s="26">
        <v>2300</v>
      </c>
      <c r="I14" s="25">
        <f>Tableau1[[#This Row],[Prix Unitaire]]*Tableau1[[#This Row],[Qté]]</f>
        <v>4600</v>
      </c>
      <c r="J14" s="90">
        <v>5000</v>
      </c>
      <c r="K14" s="24"/>
      <c r="L14" s="41"/>
      <c r="M14" s="87" t="str">
        <f>IF(Tableau1[[#This Row],[Prix total]]&gt;Tableau1[[#This Row],[Mt_encaissé]],Tableau1[[#This Row],[Prix total]]-Tableau1[[#This Row],[Mt_encaissé]]-Tableau1[[#This Row],[ Mt_Encaissé]],"")</f>
        <v/>
      </c>
      <c r="N14" s="23" t="s">
        <v>98</v>
      </c>
      <c r="O14" s="24">
        <f>200+100+100</f>
        <v>400</v>
      </c>
      <c r="P14" s="87">
        <f>IF(Tableau1[[#This Row],[Prix total]]&lt;Tableau1[[#This Row],[Mt_encaissé]],Tableau1[[#This Row],[Mt_encaissé]]-Tableau1[[#This Row],[Prix total]]-Tableau1[[#This Row],[Mt_Décaissé ]],"")</f>
        <v>0</v>
      </c>
      <c r="Q14" s="86" t="str">
        <f>IF(Tableau1[[#This Row],[B_Déposée]]&lt;&gt;Tableau1[[#This Row],[B_Vendue]],"La bouteille de gaz déposée sera reprise lors de la prochaine vente.","")</f>
        <v/>
      </c>
    </row>
    <row r="15" spans="1:41" x14ac:dyDescent="0.25">
      <c r="A15" s="91">
        <v>43966</v>
      </c>
      <c r="B15" s="24" t="s">
        <v>74</v>
      </c>
      <c r="C15" s="24" t="s">
        <v>59</v>
      </c>
      <c r="D15" s="24" t="s">
        <v>39</v>
      </c>
      <c r="E15" s="24">
        <v>1</v>
      </c>
      <c r="F15" s="24" t="s">
        <v>59</v>
      </c>
      <c r="G15" s="24">
        <f>Tableau1[[#This Row],[Qté]]</f>
        <v>1</v>
      </c>
      <c r="H15" s="26">
        <v>5500</v>
      </c>
      <c r="I15" s="25">
        <f>Tableau1[[#This Row],[Prix Unitaire]]*Tableau1[[#This Row],[Qté]]</f>
        <v>5500</v>
      </c>
      <c r="J15" s="90">
        <v>5000</v>
      </c>
      <c r="K15" s="24"/>
      <c r="L15" s="41"/>
      <c r="M15" s="87">
        <f>IF(Tableau1[[#This Row],[Prix total]]&gt;Tableau1[[#This Row],[Mt_encaissé]],Tableau1[[#This Row],[Prix total]]-Tableau1[[#This Row],[Mt_encaissé]]-Tableau1[[#This Row],[ Mt_Encaissé]],"")</f>
        <v>500</v>
      </c>
      <c r="N15" s="24"/>
      <c r="O15" s="24"/>
      <c r="P15" s="87" t="str">
        <f>IF(Tableau1[[#This Row],[Prix total]]&lt;Tableau1[[#This Row],[Mt_encaissé]],Tableau1[[#This Row],[Mt_encaissé]]-Tableau1[[#This Row],[Prix total]]-Tableau1[[#This Row],[Mt_Décaissé ]],"")</f>
        <v/>
      </c>
      <c r="Q15" s="86" t="str">
        <f>IF(Tableau1[[#This Row],[B_Déposée]]&lt;&gt;Tableau1[[#This Row],[B_Vendue]],"La bouteille de gaz déposée sera reprise lors de la prochaine vente.","")</f>
        <v/>
      </c>
    </row>
    <row r="16" spans="1:41" ht="28.5" x14ac:dyDescent="0.25">
      <c r="A16" s="91">
        <v>43966</v>
      </c>
      <c r="B16" s="24" t="s">
        <v>60</v>
      </c>
      <c r="C16" s="24" t="s">
        <v>61</v>
      </c>
      <c r="D16" s="24" t="s">
        <v>56</v>
      </c>
      <c r="E16" s="24">
        <v>1</v>
      </c>
      <c r="F16" s="24" t="s">
        <v>35</v>
      </c>
      <c r="G16" s="24">
        <f>Tableau1[[#This Row],[Qté]]</f>
        <v>1</v>
      </c>
      <c r="H16" s="26">
        <v>2300</v>
      </c>
      <c r="I16" s="25">
        <f>Tableau1[[#This Row],[Prix Unitaire]]*Tableau1[[#This Row],[Qté]]</f>
        <v>2300</v>
      </c>
      <c r="J16" s="90">
        <f>2100+200</f>
        <v>2300</v>
      </c>
      <c r="K16" s="24"/>
      <c r="L16" s="41"/>
      <c r="M16" s="87" t="str">
        <f>IF(Tableau1[[#This Row],[Prix total]]&gt;Tableau1[[#This Row],[Mt_encaissé]],Tableau1[[#This Row],[Prix total]]-Tableau1[[#This Row],[Mt_encaissé]]-Tableau1[[#This Row],[ Mt_Encaissé]],"")</f>
        <v/>
      </c>
      <c r="N16" s="24"/>
      <c r="O16" s="24"/>
      <c r="P16" s="87" t="str">
        <f>IF(Tableau1[[#This Row],[Prix total]]&lt;Tableau1[[#This Row],[Mt_encaissé]],Tableau1[[#This Row],[Mt_encaissé]]-Tableau1[[#This Row],[Prix total]]-Tableau1[[#This Row],[Mt_Décaissé ]],"")</f>
        <v/>
      </c>
      <c r="Q16" s="86" t="str">
        <f>IF(Tableau1[[#This Row],[B_Déposée]]&lt;&gt;Tableau1[[#This Row],[B_Vendue]],"La bouteille de gaz déposée sera reprise lors de la prochaine vente.","")</f>
        <v>La bouteille de gaz déposée sera reprise lors de la prochaine vente.</v>
      </c>
    </row>
    <row r="17" spans="1:17" x14ac:dyDescent="0.25">
      <c r="A17" s="91">
        <v>43966</v>
      </c>
      <c r="B17" s="24" t="s">
        <v>99</v>
      </c>
      <c r="C17" s="24" t="s">
        <v>61</v>
      </c>
      <c r="D17" s="24" t="s">
        <v>39</v>
      </c>
      <c r="E17" s="24">
        <v>1</v>
      </c>
      <c r="F17" s="24" t="s">
        <v>61</v>
      </c>
      <c r="G17" s="24">
        <f>Tableau1[[#This Row],[Qté]]</f>
        <v>1</v>
      </c>
      <c r="H17" s="26">
        <v>5500</v>
      </c>
      <c r="I17" s="25">
        <f>Tableau1[[#This Row],[Prix Unitaire]]*Tableau1[[#This Row],[Qté]]</f>
        <v>5500</v>
      </c>
      <c r="J17" s="90">
        <v>5000</v>
      </c>
      <c r="K17" s="24"/>
      <c r="L17" s="41"/>
      <c r="M17" s="87">
        <f>IF(Tableau1[[#This Row],[Prix total]]&gt;Tableau1[[#This Row],[Mt_encaissé]],Tableau1[[#This Row],[Prix total]]-Tableau1[[#This Row],[Mt_encaissé]]-Tableau1[[#This Row],[ Mt_Encaissé]],"")</f>
        <v>500</v>
      </c>
      <c r="N17" s="24"/>
      <c r="O17" s="24"/>
      <c r="P17" s="87" t="str">
        <f>IF(Tableau1[[#This Row],[Prix total]]&lt;Tableau1[[#This Row],[Mt_encaissé]],Tableau1[[#This Row],[Mt_encaissé]]-Tableau1[[#This Row],[Prix total]]-Tableau1[[#This Row],[Mt_Décaissé ]],"")</f>
        <v/>
      </c>
      <c r="Q17" s="86" t="str">
        <f>IF(Tableau1[[#This Row],[B_Déposée]]&lt;&gt;Tableau1[[#This Row],[B_Vendue]],"La bouteille de gaz déposée sera reprise lors de la prochaine vente.","")</f>
        <v/>
      </c>
    </row>
  </sheetData>
  <mergeCells count="3">
    <mergeCell ref="A2:J2"/>
    <mergeCell ref="N2:P2"/>
    <mergeCell ref="K2:M2"/>
  </mergeCells>
  <phoneticPr fontId="12" type="noConversion"/>
  <dataValidations count="4">
    <dataValidation type="list" allowBlank="1" showInputMessage="1" showErrorMessage="1" sqref="C5:C12 F5:F12" xr:uid="{D3B48600-8CB6-4FDE-AD2C-C25BA1E1212B}">
      <formula1>"OILIBYA, ORYX, PETROCI, PETRO IVOIRE, SHELL, SIMAM, TOTAL"</formula1>
    </dataValidation>
    <dataValidation type="list" allowBlank="1" showInputMessage="1" showErrorMessage="1" sqref="D4:D17" xr:uid="{508A561C-4699-4C0E-8BAC-D49FF501F156}">
      <formula1>"B6, B12, B28"</formula1>
    </dataValidation>
    <dataValidation type="list" allowBlank="1" showInputMessage="1" showErrorMessage="1" sqref="H4:H17" xr:uid="{E07F2EEC-1EF2-4198-A42C-4368E0A24F6C}">
      <formula1>"18 000, 5 500, 5 000, 2 300"</formula1>
    </dataValidation>
    <dataValidation type="list" allowBlank="1" showInputMessage="1" showErrorMessage="1" sqref="C4 F4" xr:uid="{45248759-523C-4649-B357-188FAFBCE4B8}">
      <formula1>"OILIBYA, ORYX, PETROCI, PETRO IVOIRE, SARA, SHELL, SIMAM, TOTAL"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9E8D-6235-4958-BE61-69EAABE17B45}">
  <sheetPr codeName="Feuil4"/>
  <dimension ref="A1:S18"/>
  <sheetViews>
    <sheetView zoomScale="90" zoomScaleNormal="90" workbookViewId="0">
      <selection activeCell="F18" sqref="F18"/>
    </sheetView>
  </sheetViews>
  <sheetFormatPr baseColWidth="10" defaultRowHeight="15" x14ac:dyDescent="0.25"/>
  <cols>
    <col min="1" max="1" width="7.42578125" bestFit="1" customWidth="1"/>
    <col min="2" max="2" width="15.85546875" bestFit="1" customWidth="1"/>
    <col min="3" max="3" width="12.85546875" bestFit="1" customWidth="1"/>
    <col min="4" max="4" width="6.7109375" bestFit="1" customWidth="1"/>
    <col min="5" max="5" width="9" bestFit="1" customWidth="1"/>
    <col min="6" max="6" width="7.42578125" bestFit="1" customWidth="1"/>
    <col min="7" max="7" width="15.85546875" bestFit="1" customWidth="1"/>
    <col min="8" max="8" width="16.140625" bestFit="1" customWidth="1"/>
    <col min="9" max="9" width="12.85546875" style="72" bestFit="1" customWidth="1"/>
    <col min="10" max="10" width="7.42578125" bestFit="1" customWidth="1"/>
    <col min="11" max="11" width="15.85546875" bestFit="1" customWidth="1"/>
    <col min="12" max="13" width="15.42578125" bestFit="1" customWidth="1"/>
    <col min="14" max="14" width="8.140625" bestFit="1" customWidth="1"/>
    <col min="15" max="16" width="15.85546875" bestFit="1" customWidth="1"/>
    <col min="17" max="17" width="9" hidden="1" customWidth="1"/>
  </cols>
  <sheetData>
    <row r="1" spans="1:19" x14ac:dyDescent="0.25">
      <c r="O1" s="69">
        <f>SUMIFS(Tableau2[[  Qté]],Tableau2[B_Stockée],"PETRO IVOIRE",Tableau2[[ Catégorie]],"B6")</f>
        <v>7</v>
      </c>
    </row>
    <row r="2" spans="1:19" ht="15.75" thickBot="1" x14ac:dyDescent="0.3"/>
    <row r="3" spans="1:19" ht="18.75" thickBot="1" x14ac:dyDescent="0.3">
      <c r="A3" s="64" t="s">
        <v>85</v>
      </c>
      <c r="B3" s="65"/>
      <c r="C3" s="65"/>
      <c r="D3" s="65"/>
      <c r="E3" s="66"/>
      <c r="F3" s="64" t="s">
        <v>86</v>
      </c>
      <c r="G3" s="65"/>
      <c r="H3" s="65"/>
      <c r="I3" s="66"/>
      <c r="J3" s="65" t="s">
        <v>87</v>
      </c>
      <c r="K3" s="65"/>
      <c r="L3" s="65"/>
      <c r="M3" s="65"/>
      <c r="N3" s="64" t="s">
        <v>88</v>
      </c>
      <c r="O3" s="65"/>
      <c r="P3" s="65"/>
      <c r="Q3" s="71"/>
    </row>
    <row r="4" spans="1:19" ht="19.5" thickBot="1" x14ac:dyDescent="0.3">
      <c r="A4" s="12" t="s">
        <v>44</v>
      </c>
      <c r="B4" s="13" t="s">
        <v>79</v>
      </c>
      <c r="C4" s="13" t="s">
        <v>45</v>
      </c>
      <c r="D4" s="13" t="s">
        <v>46</v>
      </c>
      <c r="E4" s="14" t="s">
        <v>41</v>
      </c>
      <c r="F4" s="12" t="s">
        <v>44</v>
      </c>
      <c r="G4" s="13" t="s">
        <v>31</v>
      </c>
      <c r="H4" s="13" t="s">
        <v>100</v>
      </c>
      <c r="I4" s="13" t="s">
        <v>45</v>
      </c>
      <c r="J4" s="81" t="s">
        <v>89</v>
      </c>
      <c r="K4" s="40" t="s">
        <v>30</v>
      </c>
      <c r="L4" s="40" t="s">
        <v>32</v>
      </c>
      <c r="M4" s="68" t="s">
        <v>84</v>
      </c>
      <c r="N4" s="78" t="s">
        <v>83</v>
      </c>
      <c r="O4" s="40" t="s">
        <v>90</v>
      </c>
      <c r="P4" s="40" t="s">
        <v>91</v>
      </c>
      <c r="Q4" s="40" t="s">
        <v>92</v>
      </c>
      <c r="S4" t="s">
        <v>93</v>
      </c>
    </row>
    <row r="5" spans="1:19" x14ac:dyDescent="0.25">
      <c r="A5" s="59">
        <v>43956</v>
      </c>
      <c r="B5" s="56" t="s">
        <v>81</v>
      </c>
      <c r="C5" s="57" t="s">
        <v>56</v>
      </c>
      <c r="D5" s="58">
        <v>1</v>
      </c>
      <c r="E5" s="63" t="s">
        <v>82</v>
      </c>
      <c r="F5" s="59">
        <v>43956</v>
      </c>
      <c r="G5" s="73" t="str">
        <f>Ventes!C4</f>
        <v>PETRO IVOIRE</v>
      </c>
      <c r="H5" s="82" t="str">
        <f>Rechargements!$C5</f>
        <v>PETROCI</v>
      </c>
      <c r="I5" s="59" t="str">
        <f>Ventes!D4</f>
        <v>B12</v>
      </c>
      <c r="J5" s="77">
        <f>Ventes!E4</f>
        <v>1</v>
      </c>
      <c r="K5" s="62">
        <v>43956</v>
      </c>
      <c r="L5" s="51" t="str">
        <f>Ventes!F4</f>
        <v>PETROCI</v>
      </c>
      <c r="M5" s="61" t="str">
        <f>Ventes!D4</f>
        <v>B12</v>
      </c>
      <c r="N5" s="79">
        <f>Ventes!G4</f>
        <v>1</v>
      </c>
      <c r="O5" s="67">
        <v>43956</v>
      </c>
      <c r="P5" s="51" t="s">
        <v>35</v>
      </c>
      <c r="Q5" s="51" t="s">
        <v>39</v>
      </c>
      <c r="S5">
        <f>SUMIFS(Tableau2[[  Qté]],Tableau2[B_Stockée],"PETRO IVOIRE",Tableau2[[ Catégorie]],"B6")+SUMIFS(Tableau24[[Qté ]],Tableau24[B_Déposée],"PETRO IVOIRE",Tableau24[[ Catégorie]],"B6")-SUMIFS(Tableau24[[Qté  ]],Tableau24[B_Vendue],"PETRO IVOIRE",Tableau24[[Catégorie     ]],"B6")</f>
        <v>6</v>
      </c>
    </row>
    <row r="6" spans="1:19" x14ac:dyDescent="0.25">
      <c r="A6" s="60">
        <v>43956</v>
      </c>
      <c r="B6" s="15" t="s">
        <v>59</v>
      </c>
      <c r="C6" s="31" t="s">
        <v>56</v>
      </c>
      <c r="D6" s="50">
        <v>2</v>
      </c>
      <c r="E6" s="16" t="s">
        <v>50</v>
      </c>
      <c r="F6" s="60">
        <v>43956</v>
      </c>
      <c r="G6" s="74" t="str">
        <f>Ventes!C5</f>
        <v>ORYX</v>
      </c>
      <c r="H6" s="83">
        <f>Rechargements!$C6</f>
        <v>0</v>
      </c>
      <c r="I6" s="60" t="str">
        <f>Ventes!D5</f>
        <v>B6</v>
      </c>
      <c r="J6" s="77">
        <f>Ventes!E5</f>
        <v>1</v>
      </c>
      <c r="K6" s="62">
        <v>43956</v>
      </c>
      <c r="L6" s="51" t="str">
        <f>Ventes!F5</f>
        <v>TOTAL</v>
      </c>
      <c r="M6" s="61" t="str">
        <f>Ventes!D5</f>
        <v>B6</v>
      </c>
      <c r="N6" s="79">
        <f>Ventes!G5</f>
        <v>1</v>
      </c>
      <c r="O6" s="67">
        <v>43956</v>
      </c>
      <c r="P6" s="51" t="s">
        <v>35</v>
      </c>
      <c r="Q6" s="51" t="s">
        <v>56</v>
      </c>
      <c r="S6">
        <f>SUMIFS(Tableau2[[  Qté]],Tableau2[B_Stockée],"PETRO IVOIRE",Tableau2[[ Catégorie]],"B12")+SUMIFS(Tableau24[[Qté ]],Tableau24[B_Déposée],"PETRO IVOIRE",Tableau24[[ Catégorie]],"B12")-SUMIFS(Tableau24[[Qté  ]],Tableau24[B_Vendue],"PETRO IVOIRE",Tableau24[[Catégorie     ]],"B12")</f>
        <v>4</v>
      </c>
    </row>
    <row r="7" spans="1:19" x14ac:dyDescent="0.25">
      <c r="A7" s="60">
        <v>43956</v>
      </c>
      <c r="B7" s="15" t="s">
        <v>34</v>
      </c>
      <c r="C7" s="31" t="s">
        <v>56</v>
      </c>
      <c r="D7" s="50">
        <v>1</v>
      </c>
      <c r="E7" s="16" t="s">
        <v>50</v>
      </c>
      <c r="F7" s="60">
        <v>43956</v>
      </c>
      <c r="G7" s="74" t="str">
        <f>Ventes!C6</f>
        <v>SHELL</v>
      </c>
      <c r="H7" s="83">
        <f>Rechargements!$C7</f>
        <v>0</v>
      </c>
      <c r="I7" s="60" t="str">
        <f>Ventes!D6</f>
        <v>B12</v>
      </c>
      <c r="J7" s="77">
        <f>Ventes!E6</f>
        <v>1</v>
      </c>
      <c r="K7" s="62">
        <v>43956</v>
      </c>
      <c r="L7" s="51" t="str">
        <f>Ventes!F6</f>
        <v>SHELL</v>
      </c>
      <c r="M7" s="61" t="str">
        <f>Ventes!D6</f>
        <v>B12</v>
      </c>
      <c r="N7" s="79">
        <f>Ventes!G6</f>
        <v>1</v>
      </c>
      <c r="O7" s="67">
        <v>43956</v>
      </c>
      <c r="P7" s="51"/>
      <c r="Q7" s="51"/>
      <c r="S7">
        <f>SUMIFS(Tableau2[[  Qté]],Tableau2[B_Stockée],"ORYX",Tableau2[[ Catégorie]],"B6")+SUMIFS(Tableau24[[Qté ]],Tableau24[B_Déposée],"ORYX",Tableau24[[ Catégorie]],"B6")-SUMIFS(Tableau24[[Qté  ]],Tableau24[B_Vendue],"ORYX",Tableau24[[Catégorie     ]],"B6")</f>
        <v>3</v>
      </c>
    </row>
    <row r="8" spans="1:19" x14ac:dyDescent="0.25">
      <c r="A8" s="62">
        <v>43956</v>
      </c>
      <c r="B8" s="51" t="s">
        <v>59</v>
      </c>
      <c r="C8" s="52" t="s">
        <v>39</v>
      </c>
      <c r="D8" s="61">
        <v>2</v>
      </c>
      <c r="E8" s="16" t="s">
        <v>50</v>
      </c>
      <c r="F8" s="60">
        <v>43956</v>
      </c>
      <c r="G8" s="75" t="str">
        <f>Ventes!C7</f>
        <v>PETRO IVOIRE</v>
      </c>
      <c r="H8" s="84">
        <f>Rechargements!$C8</f>
        <v>0</v>
      </c>
      <c r="I8" s="62" t="str">
        <f>Ventes!D7</f>
        <v>B6</v>
      </c>
      <c r="J8" s="77">
        <f>Ventes!E7</f>
        <v>1</v>
      </c>
      <c r="K8" s="62">
        <v>43956</v>
      </c>
      <c r="L8" s="51" t="str">
        <f>Ventes!F7</f>
        <v>PETRO IVOIRE</v>
      </c>
      <c r="M8" s="61" t="str">
        <f>Ventes!D7</f>
        <v>B6</v>
      </c>
      <c r="N8" s="80">
        <f>Ventes!G7</f>
        <v>1</v>
      </c>
      <c r="O8" s="67">
        <v>43956</v>
      </c>
      <c r="P8" s="51"/>
      <c r="Q8" s="51"/>
      <c r="S8">
        <f>SUMIFS(Tableau2[[  Qté]],Tableau2[B_Stockée],"ORYX",Tableau2[[ Catégorie]],"B12")+SUMIFS(Tableau24[[Qté ]],Tableau24[B_Déposée],"ORYX",Tableau24[[ Catégorie]],"B12")-SUMIFS(Tableau24[[Qté  ]],Tableau24[B_Vendue],"ORYX",Tableau24[[Catégorie     ]],"B12")</f>
        <v>2</v>
      </c>
    </row>
    <row r="9" spans="1:19" x14ac:dyDescent="0.25">
      <c r="A9" s="62">
        <v>43956</v>
      </c>
      <c r="B9" s="51" t="s">
        <v>63</v>
      </c>
      <c r="C9" s="52" t="s">
        <v>39</v>
      </c>
      <c r="D9" s="61">
        <v>1</v>
      </c>
      <c r="E9" s="16" t="s">
        <v>50</v>
      </c>
      <c r="F9" s="60">
        <v>43956</v>
      </c>
      <c r="G9" s="75" t="str">
        <f>Ventes!C8</f>
        <v>SHELL</v>
      </c>
      <c r="H9" s="84">
        <f>Rechargements!$C9</f>
        <v>0</v>
      </c>
      <c r="I9" s="62" t="str">
        <f>Ventes!D8</f>
        <v>B6</v>
      </c>
      <c r="J9" s="77">
        <f>Ventes!E8</f>
        <v>1</v>
      </c>
      <c r="K9" s="62">
        <v>43956</v>
      </c>
      <c r="L9" s="51" t="str">
        <f>Ventes!F8</f>
        <v>PETRO IVOIRE</v>
      </c>
      <c r="M9" s="61" t="str">
        <f>Ventes!D8</f>
        <v>B6</v>
      </c>
      <c r="N9" s="80">
        <f>Ventes!G8</f>
        <v>1</v>
      </c>
      <c r="O9" s="67">
        <v>43956</v>
      </c>
      <c r="P9" s="51"/>
      <c r="Q9" s="51"/>
      <c r="S9">
        <f>SUMIFS(Tableau2[[  Qté]],Tableau2[B_Stockée],"PETROCI",Tableau2[[ Catégorie]],"B6")+SUMIFS(Tableau24[[Qté ]],Tableau24[B_Déposée],"PETROCI",Tableau24[[ Catégorie]],"B6")-SUMIFS(Tableau24[[Qté  ]],Tableau24[B_Vendue],"PETROCI",Tableau24[[Catégorie     ]],"B6")</f>
        <v>1</v>
      </c>
    </row>
    <row r="10" spans="1:19" x14ac:dyDescent="0.25">
      <c r="A10" s="62">
        <v>43956</v>
      </c>
      <c r="B10" s="51" t="s">
        <v>76</v>
      </c>
      <c r="C10" s="52" t="s">
        <v>56</v>
      </c>
      <c r="D10" s="61">
        <v>2</v>
      </c>
      <c r="E10" s="16" t="s">
        <v>50</v>
      </c>
      <c r="F10" s="60">
        <v>43956</v>
      </c>
      <c r="G10" s="75" t="str">
        <f>Ventes!C9</f>
        <v>ORYX</v>
      </c>
      <c r="H10" s="84">
        <f>Rechargements!$C10</f>
        <v>0</v>
      </c>
      <c r="I10" s="62" t="str">
        <f>Ventes!D9</f>
        <v>B12</v>
      </c>
      <c r="J10" s="77">
        <f>Ventes!E9</f>
        <v>1</v>
      </c>
      <c r="K10" s="62">
        <v>43956</v>
      </c>
      <c r="L10" s="51" t="str">
        <f>Ventes!F9</f>
        <v>ORYX</v>
      </c>
      <c r="M10" s="61" t="str">
        <f>Ventes!D9</f>
        <v>B12</v>
      </c>
      <c r="N10" s="80">
        <f>Ventes!G9</f>
        <v>1</v>
      </c>
      <c r="O10" s="67">
        <v>43956</v>
      </c>
      <c r="P10" s="51"/>
      <c r="Q10" s="51"/>
      <c r="S10">
        <f>SUMIFS(Tableau2[[  Qté]],Tableau2[B_Stockée],"PETROCI",Tableau2[[ Catégorie]],"B12")+SUMIFS(Tableau24[[Qté ]],Tableau24[B_Déposée],"PETROCI",Tableau24[[ Catégorie]],"B12")-SUMIFS(Tableau24[[Qté  ]],Tableau24[B_Vendue],"PETROCI",Tableau24[[Catégorie     ]],"B12")</f>
        <v>5</v>
      </c>
    </row>
    <row r="11" spans="1:19" x14ac:dyDescent="0.25">
      <c r="A11" s="62">
        <v>43956</v>
      </c>
      <c r="B11" s="51" t="s">
        <v>35</v>
      </c>
      <c r="C11" s="52" t="s">
        <v>56</v>
      </c>
      <c r="D11" s="61">
        <v>7</v>
      </c>
      <c r="E11" s="16" t="s">
        <v>50</v>
      </c>
      <c r="F11" s="60">
        <v>43956</v>
      </c>
      <c r="G11" s="75" t="str">
        <f>Ventes!C10</f>
        <v>PETRO IVOIRE</v>
      </c>
      <c r="H11" s="84">
        <f>Rechargements!$C11</f>
        <v>0</v>
      </c>
      <c r="I11" s="62" t="str">
        <f>Ventes!D10</f>
        <v>B6</v>
      </c>
      <c r="J11" s="77">
        <f>Ventes!E10</f>
        <v>1</v>
      </c>
      <c r="K11" s="62">
        <v>43956</v>
      </c>
      <c r="L11" s="51" t="str">
        <f>Ventes!F10</f>
        <v>SIMAM</v>
      </c>
      <c r="M11" s="61" t="str">
        <f>Ventes!D10</f>
        <v>B6</v>
      </c>
      <c r="N11" s="80">
        <f>Ventes!G10</f>
        <v>1</v>
      </c>
      <c r="O11" s="67">
        <v>43956</v>
      </c>
      <c r="P11" s="51"/>
      <c r="Q11" s="51"/>
      <c r="S11">
        <f>SUMIFS(Tableau2[[  Qté]],Tableau2[B_Stockée],"PETROCI",Tableau2[[ Catégorie]],"B6")+SUMIFS(Tableau24[[Qté ]],Tableau24[B_Déposée],"PETROCI",Tableau24[[ Catégorie]],"B6")-SUMIFS(Tableau24[[Qté  ]],Tableau24[B_Vendue],"PETROCI",Tableau24[[Catégorie     ]],"B6")</f>
        <v>1</v>
      </c>
    </row>
    <row r="12" spans="1:19" x14ac:dyDescent="0.25">
      <c r="A12" s="62">
        <v>43956</v>
      </c>
      <c r="B12" s="51" t="s">
        <v>63</v>
      </c>
      <c r="C12" s="52" t="s">
        <v>56</v>
      </c>
      <c r="D12" s="61">
        <v>1</v>
      </c>
      <c r="E12" s="16" t="s">
        <v>50</v>
      </c>
      <c r="F12" s="62">
        <v>43956</v>
      </c>
      <c r="G12" s="75" t="str">
        <f>Ventes!C11</f>
        <v>SHELL</v>
      </c>
      <c r="H12" s="84">
        <f>Rechargements!$C12</f>
        <v>0</v>
      </c>
      <c r="I12" s="62" t="str">
        <f>Ventes!D11</f>
        <v>B12</v>
      </c>
      <c r="J12" s="77">
        <f>Ventes!E11</f>
        <v>1</v>
      </c>
      <c r="K12" s="62">
        <v>43956</v>
      </c>
      <c r="L12" s="70" t="str">
        <f>Ventes!F11</f>
        <v>SHELL</v>
      </c>
      <c r="M12" s="76" t="str">
        <f>Ventes!D11</f>
        <v>B12</v>
      </c>
      <c r="N12" s="80">
        <f>Ventes!G11</f>
        <v>1</v>
      </c>
      <c r="O12" s="67">
        <v>43956</v>
      </c>
      <c r="P12" s="51"/>
      <c r="Q12" s="51"/>
    </row>
    <row r="13" spans="1:19" x14ac:dyDescent="0.25">
      <c r="A13" s="62">
        <v>43956</v>
      </c>
      <c r="B13" s="51" t="s">
        <v>35</v>
      </c>
      <c r="C13" s="52" t="s">
        <v>39</v>
      </c>
      <c r="D13" s="61">
        <v>2</v>
      </c>
      <c r="E13" s="16" t="s">
        <v>50</v>
      </c>
      <c r="F13" s="62">
        <v>43956</v>
      </c>
      <c r="G13" s="75" t="str">
        <f>Ventes!C12</f>
        <v>PETROCI</v>
      </c>
      <c r="H13" s="84">
        <f>Rechargements!$C13</f>
        <v>0</v>
      </c>
      <c r="I13" s="62" t="str">
        <f>Ventes!D12</f>
        <v>B12</v>
      </c>
      <c r="J13" s="77">
        <f>Ventes!E12</f>
        <v>1</v>
      </c>
      <c r="K13" s="62">
        <v>43956</v>
      </c>
      <c r="L13" s="70" t="str">
        <f>Ventes!F12</f>
        <v>PETRO IVOIRE</v>
      </c>
      <c r="M13" s="76" t="str">
        <f>Ventes!D12</f>
        <v>B12</v>
      </c>
      <c r="N13" s="80">
        <f>Ventes!G12</f>
        <v>1</v>
      </c>
      <c r="O13" s="67">
        <v>43956</v>
      </c>
      <c r="P13" s="51"/>
      <c r="Q13" s="51"/>
    </row>
    <row r="14" spans="1:19" x14ac:dyDescent="0.25">
      <c r="A14" s="62">
        <v>43956</v>
      </c>
      <c r="B14" s="51" t="s">
        <v>34</v>
      </c>
      <c r="C14" s="52" t="s">
        <v>39</v>
      </c>
      <c r="D14" s="61">
        <v>5</v>
      </c>
      <c r="E14" s="16" t="s">
        <v>50</v>
      </c>
      <c r="F14" s="62">
        <v>43956</v>
      </c>
      <c r="G14" s="75" t="str">
        <f>Ventes!C13</f>
        <v>PETRO IVOIRE</v>
      </c>
      <c r="H14" s="84">
        <f>Rechargements!$C14</f>
        <v>0</v>
      </c>
      <c r="I14" s="62" t="str">
        <f>Ventes!D13</f>
        <v>B6</v>
      </c>
      <c r="J14" s="77">
        <f>Ventes!E13</f>
        <v>4</v>
      </c>
      <c r="K14" s="62">
        <v>43956</v>
      </c>
      <c r="L14" s="70" t="str">
        <f>Ventes!F13</f>
        <v>PETRO IVOIRE</v>
      </c>
      <c r="M14" s="76" t="str">
        <f>Ventes!D13</f>
        <v>B6</v>
      </c>
      <c r="N14" s="80">
        <f>Ventes!G13</f>
        <v>4</v>
      </c>
      <c r="O14" s="67">
        <v>43956</v>
      </c>
      <c r="P14" s="51"/>
      <c r="Q14" s="51"/>
    </row>
    <row r="15" spans="1:19" x14ac:dyDescent="0.25">
      <c r="A15" s="62">
        <v>43956</v>
      </c>
      <c r="B15" s="51" t="s">
        <v>35</v>
      </c>
      <c r="C15" s="52" t="s">
        <v>39</v>
      </c>
      <c r="D15" s="61">
        <v>2</v>
      </c>
      <c r="E15" s="16" t="s">
        <v>50</v>
      </c>
      <c r="F15" s="62">
        <v>43956</v>
      </c>
      <c r="G15" s="75" t="str">
        <f>Ventes!C14</f>
        <v>SIMAM</v>
      </c>
      <c r="H15" s="84">
        <f>Rechargements!$C15</f>
        <v>0</v>
      </c>
      <c r="I15" s="62" t="str">
        <f>Ventes!D14</f>
        <v>B6</v>
      </c>
      <c r="J15" s="77">
        <f>Ventes!E14</f>
        <v>2</v>
      </c>
      <c r="K15" s="62">
        <v>43956</v>
      </c>
      <c r="L15" s="70" t="str">
        <f>Ventes!F14</f>
        <v>SIMAM</v>
      </c>
      <c r="M15" s="76" t="str">
        <f>Ventes!D14</f>
        <v>B6</v>
      </c>
      <c r="N15" s="80">
        <f>Ventes!G14</f>
        <v>2</v>
      </c>
      <c r="O15" s="67">
        <v>43956</v>
      </c>
      <c r="P15" s="51"/>
      <c r="Q15" s="51"/>
    </row>
    <row r="16" spans="1:19" x14ac:dyDescent="0.25">
      <c r="A16" s="61"/>
      <c r="B16" s="51"/>
      <c r="C16" s="52"/>
      <c r="D16" s="61"/>
      <c r="E16" s="16"/>
      <c r="F16" s="62">
        <v>43956</v>
      </c>
      <c r="G16" s="75" t="str">
        <f>Ventes!C15</f>
        <v>ORYX</v>
      </c>
      <c r="H16" s="84">
        <f>Rechargements!$C16</f>
        <v>0</v>
      </c>
      <c r="I16" s="62" t="str">
        <f>Ventes!D15</f>
        <v>B12</v>
      </c>
      <c r="J16" s="77">
        <f>Ventes!E15</f>
        <v>1</v>
      </c>
      <c r="K16" s="62">
        <v>43956</v>
      </c>
      <c r="L16" s="70" t="str">
        <f>Ventes!F15</f>
        <v>ORYX</v>
      </c>
      <c r="M16" s="76" t="str">
        <f>Ventes!D15</f>
        <v>B12</v>
      </c>
      <c r="N16" s="80">
        <f>Ventes!G15</f>
        <v>1</v>
      </c>
      <c r="O16" s="67">
        <v>43956</v>
      </c>
      <c r="P16" s="51"/>
      <c r="Q16" s="51"/>
    </row>
    <row r="17" spans="1:17" x14ac:dyDescent="0.25">
      <c r="A17" s="61"/>
      <c r="B17" s="51"/>
      <c r="C17" s="52"/>
      <c r="D17" s="61"/>
      <c r="E17" s="16"/>
      <c r="F17" s="62">
        <v>43956</v>
      </c>
      <c r="G17" s="75" t="str">
        <f>Ventes!C16</f>
        <v>TOTAL</v>
      </c>
      <c r="H17" s="84">
        <f>Rechargements!$C17</f>
        <v>0</v>
      </c>
      <c r="I17" s="62" t="str">
        <f>Ventes!D16</f>
        <v>B6</v>
      </c>
      <c r="J17" s="77">
        <f>Ventes!E16</f>
        <v>1</v>
      </c>
      <c r="K17" s="62">
        <v>43956</v>
      </c>
      <c r="L17" s="70" t="str">
        <f>Ventes!F16</f>
        <v>PETRO IVOIRE</v>
      </c>
      <c r="M17" s="76" t="str">
        <f>Ventes!D16</f>
        <v>B6</v>
      </c>
      <c r="N17" s="80">
        <f>Ventes!G16</f>
        <v>1</v>
      </c>
      <c r="O17" s="67">
        <v>43956</v>
      </c>
      <c r="P17" s="51"/>
      <c r="Q17" s="51"/>
    </row>
    <row r="18" spans="1:17" x14ac:dyDescent="0.25">
      <c r="A18" s="61"/>
      <c r="B18" s="51"/>
      <c r="C18" s="52"/>
      <c r="D18" s="61"/>
      <c r="E18" s="16"/>
      <c r="F18" s="62">
        <v>43956</v>
      </c>
      <c r="G18" s="75" t="str">
        <f>Ventes!C17</f>
        <v>TOTAL</v>
      </c>
      <c r="H18" s="84">
        <f>Rechargements!$C18</f>
        <v>0</v>
      </c>
      <c r="I18" s="62" t="str">
        <f>Ventes!D17</f>
        <v>B12</v>
      </c>
      <c r="J18" s="77">
        <f>Ventes!E17</f>
        <v>1</v>
      </c>
      <c r="K18" s="62">
        <v>43956</v>
      </c>
      <c r="L18" s="70" t="str">
        <f>Ventes!F17</f>
        <v>TOTAL</v>
      </c>
      <c r="M18" s="76" t="str">
        <f>Ventes!D17</f>
        <v>B12</v>
      </c>
      <c r="N18" s="80">
        <f>Ventes!G17</f>
        <v>1</v>
      </c>
      <c r="O18" s="67">
        <v>43956</v>
      </c>
      <c r="P18" s="51"/>
      <c r="Q18" s="51"/>
    </row>
  </sheetData>
  <mergeCells count="4">
    <mergeCell ref="F3:I3"/>
    <mergeCell ref="J3:M3"/>
    <mergeCell ref="N3:P3"/>
    <mergeCell ref="A3:E3"/>
  </mergeCells>
  <dataValidations count="4">
    <dataValidation type="list" allowBlank="1" showInputMessage="1" showErrorMessage="1" sqref="C5:C18" xr:uid="{0990D7FB-5F6D-46C8-AE2C-EBC6771C72D7}">
      <formula1>"B6, B12, B28"</formula1>
    </dataValidation>
    <dataValidation type="list" allowBlank="1" showInputMessage="1" showErrorMessage="1" sqref="B6:B13" xr:uid="{43D65387-8A28-4462-A0D0-52390CAE7C0C}">
      <formula1>"OILIBYA, ORYX, PETROCI, PETRO IVOIRE, SHELL, SIMAM, TOTAL"</formula1>
    </dataValidation>
    <dataValidation type="list" allowBlank="1" showInputMessage="1" showErrorMessage="1" sqref="E5:E18" xr:uid="{AC7E773A-1A75-420F-821C-7E9C5B2BD711}">
      <formula1>"Vide, Chargée"</formula1>
    </dataValidation>
    <dataValidation type="list" allowBlank="1" showInputMessage="1" showErrorMessage="1" sqref="B5" xr:uid="{755546FF-7417-4382-ACCC-BC133F82B610}">
      <formula1>"OILIBYA, ORYX, PETROCI, PETRO IVOIRE, SARA, SHELL, SIMAM, TOTAL"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9BF1-8032-4FA7-AD95-63FAE1178ED6}">
  <sheetPr codeName="Feuil5"/>
  <dimension ref="B2:G5"/>
  <sheetViews>
    <sheetView workbookViewId="0">
      <selection activeCell="C5" sqref="C5"/>
    </sheetView>
  </sheetViews>
  <sheetFormatPr baseColWidth="10" defaultRowHeight="15" x14ac:dyDescent="0.25"/>
  <cols>
    <col min="3" max="3" width="17.42578125" customWidth="1"/>
    <col min="4" max="4" width="15.85546875" customWidth="1"/>
    <col min="6" max="6" width="13.140625" customWidth="1"/>
    <col min="7" max="7" width="17.5703125" bestFit="1" customWidth="1"/>
  </cols>
  <sheetData>
    <row r="2" spans="2:7" ht="15.75" thickBot="1" x14ac:dyDescent="0.3"/>
    <row r="3" spans="2:7" ht="21" thickBot="1" x14ac:dyDescent="0.35">
      <c r="B3" s="53" t="s">
        <v>36</v>
      </c>
      <c r="C3" s="54"/>
      <c r="D3" s="54"/>
      <c r="E3" s="54"/>
      <c r="F3" s="54"/>
      <c r="G3" s="55"/>
    </row>
    <row r="4" spans="2:7" ht="18.75" x14ac:dyDescent="0.25">
      <c r="B4" s="13" t="s">
        <v>47</v>
      </c>
      <c r="C4" s="13" t="s">
        <v>40</v>
      </c>
      <c r="D4" s="13" t="s">
        <v>48</v>
      </c>
      <c r="E4" s="13" t="s">
        <v>49</v>
      </c>
      <c r="F4" s="13" t="s">
        <v>51</v>
      </c>
      <c r="G4" s="40" t="s">
        <v>80</v>
      </c>
    </row>
    <row r="5" spans="2:7" x14ac:dyDescent="0.25">
      <c r="B5" s="15"/>
      <c r="C5" s="15" t="s">
        <v>34</v>
      </c>
      <c r="D5" s="15"/>
      <c r="E5" s="15"/>
      <c r="F5" s="17"/>
      <c r="G5" s="51"/>
    </row>
  </sheetData>
  <mergeCells count="1">
    <mergeCell ref="B3:G3"/>
  </mergeCells>
  <dataValidations count="2">
    <dataValidation type="list" allowBlank="1" showInputMessage="1" showErrorMessage="1" sqref="D5" xr:uid="{508A561C-4699-4C0E-8BAC-D49FF501F156}">
      <formula1>"B6, B12, B28"</formula1>
    </dataValidation>
    <dataValidation type="list" allowBlank="1" showInputMessage="1" showErrorMessage="1" sqref="C5" xr:uid="{D3B48600-8CB6-4FDE-AD2C-C25BA1E1212B}">
      <formula1>"OILIBYA, ORYX, PETROCI, PETRO IVOIRE, SARA, SHELL, SIMAM, TOTAL"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/>
  <dimension ref="B3:G8"/>
  <sheetViews>
    <sheetView workbookViewId="0">
      <selection activeCell="G4" sqref="G4"/>
    </sheetView>
  </sheetViews>
  <sheetFormatPr baseColWidth="10" defaultRowHeight="15" x14ac:dyDescent="0.25"/>
  <cols>
    <col min="2" max="2" width="18.140625" bestFit="1" customWidth="1"/>
    <col min="3" max="3" width="8.7109375" bestFit="1" customWidth="1"/>
    <col min="4" max="4" width="13.140625" bestFit="1" customWidth="1"/>
    <col min="5" max="5" width="21.28515625" bestFit="1" customWidth="1"/>
    <col min="6" max="6" width="8.7109375" bestFit="1" customWidth="1"/>
    <col min="7" max="7" width="13.5703125" bestFit="1" customWidth="1"/>
  </cols>
  <sheetData>
    <row r="3" spans="2:7" x14ac:dyDescent="0.25">
      <c r="B3" s="11" t="s">
        <v>65</v>
      </c>
      <c r="C3" s="11" t="s">
        <v>37</v>
      </c>
      <c r="D3" s="11" t="s">
        <v>57</v>
      </c>
      <c r="E3" s="38" t="s">
        <v>66</v>
      </c>
      <c r="F3" s="11" t="s">
        <v>51</v>
      </c>
      <c r="G3" s="11" t="s">
        <v>58</v>
      </c>
    </row>
    <row r="4" spans="2:7" x14ac:dyDescent="0.25">
      <c r="B4" s="35">
        <f>Tableau1[[#This Row],[Date]]</f>
        <v>43953</v>
      </c>
      <c r="C4" s="5" t="str">
        <f>Tableau1[[#This Row],[Famille]]</f>
        <v>Client</v>
      </c>
      <c r="D4" s="28" t="e">
        <f>IF(Ventes!#REF!="","",MID(Ventes!#REF!,1,SEARCH(" frs",Ventes!#REF!)-1)) &amp; " frs"</f>
        <v>#REF!</v>
      </c>
      <c r="E4" s="39">
        <v>43955</v>
      </c>
      <c r="F4" s="36">
        <v>200</v>
      </c>
      <c r="G4" s="29" t="e">
        <f>MID(Ventes!#REF!,1,SEARCH(" frs",Ventes!#REF!)-1)-Tableau6[[#This Row],[Décaissé]]&amp;" frs"</f>
        <v>#REF!</v>
      </c>
    </row>
    <row r="5" spans="2:7" x14ac:dyDescent="0.25">
      <c r="B5" s="35">
        <f>Tableau1[[#This Row],[Date]]</f>
        <v>43954</v>
      </c>
      <c r="C5" s="5" t="str">
        <f>Tableau1[[#This Row],[Famille]]</f>
        <v>Nadje</v>
      </c>
      <c r="D5" s="28" t="e">
        <f>IF(Ventes!#REF!="","",MID(Ventes!#REF!,1,SEARCH(" frs",Ventes!#REF!)-1)) &amp; " frs"</f>
        <v>#REF!</v>
      </c>
      <c r="E5" s="39" t="s">
        <v>67</v>
      </c>
      <c r="F5" s="36">
        <v>0</v>
      </c>
      <c r="G5" s="29" t="e">
        <f>MID(Ventes!#REF!,1,SEARCH(" frs",Ventes!#REF!)-1)-Tableau6[[#This Row],[Décaissé]]&amp;" frs"</f>
        <v>#REF!</v>
      </c>
    </row>
    <row r="6" spans="2:7" x14ac:dyDescent="0.25">
      <c r="B6" s="35">
        <f>Tableau1[[#This Row],[Date]]</f>
        <v>43955</v>
      </c>
      <c r="C6" s="5" t="str">
        <f>Tableau1[[#This Row],[Famille]]</f>
        <v>Hoimian</v>
      </c>
      <c r="D6" s="28" t="e">
        <f>IF(Ventes!#REF!="","",MID(Ventes!#REF!,1,SEARCH(" frs",Ventes!#REF!)-1)) &amp; " frs"</f>
        <v>#REF!</v>
      </c>
      <c r="E6" s="39" t="s">
        <v>67</v>
      </c>
      <c r="F6" s="36">
        <v>0</v>
      </c>
      <c r="G6" s="29" t="e">
        <f>MID(Ventes!#REF!,1,SEARCH(" frs",Ventes!#REF!)-1)-Tableau6[[#This Row],[Décaissé]]&amp;" frs"</f>
        <v>#REF!</v>
      </c>
    </row>
    <row r="7" spans="2:7" x14ac:dyDescent="0.25">
      <c r="B7" s="35">
        <f>Tableau1[[#This Row],[Date]]</f>
        <v>43955</v>
      </c>
      <c r="C7" s="5" t="str">
        <f>Tableau1[[#This Row],[Famille]]</f>
        <v>Duplex 3</v>
      </c>
      <c r="D7" s="37" t="e">
        <f>IF(Ventes!#REF!="","",MID(Ventes!#REF!,1,SEARCH(" frs",Ventes!#REF!)-1)) &amp; " frs"</f>
        <v>#REF!</v>
      </c>
      <c r="E7" s="39" t="s">
        <v>67</v>
      </c>
      <c r="F7" s="36">
        <v>0</v>
      </c>
      <c r="G7" s="29" t="e">
        <f>MID(Ventes!#REF!,1,SEARCH(" frs",Ventes!#REF!)-1)-Tableau6[[#This Row],[Décaissé]]&amp;" frs"</f>
        <v>#REF!</v>
      </c>
    </row>
    <row r="8" spans="2:7" x14ac:dyDescent="0.25">
      <c r="B8" s="35">
        <f>Tableau1[[#This Row],[Date]]</f>
        <v>43955</v>
      </c>
      <c r="C8" s="5" t="str">
        <f>Tableau1[[#This Row],[Famille]]</f>
        <v>Taio</v>
      </c>
      <c r="D8" s="37" t="e">
        <f>IF(Ventes!#REF!="","",MID(Ventes!#REF!,1,SEARCH(" frs",Ventes!#REF!)-1)) &amp; " frs"</f>
        <v>#REF!</v>
      </c>
      <c r="E8" s="39" t="s">
        <v>67</v>
      </c>
      <c r="F8" s="36">
        <v>0</v>
      </c>
      <c r="G8" s="29" t="e">
        <f>MID(Ventes!#REF!,1,SEARCH(" frs",Ventes!#REF!)-1)-Tableau6[[#This Row],[Décaissé]]&amp;" frs"</f>
        <v>#REF!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BBAA-24AB-42FE-A8D7-A9EE41FEA13D}">
  <sheetPr codeName="Feuil7"/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22C2-1E99-49AE-910C-DA893D18C97D}">
  <sheetPr codeName="Feuil8"/>
  <dimension ref="C2:G6"/>
  <sheetViews>
    <sheetView workbookViewId="0">
      <selection activeCell="H12" sqref="H12"/>
    </sheetView>
  </sheetViews>
  <sheetFormatPr baseColWidth="10" defaultRowHeight="15" x14ac:dyDescent="0.25"/>
  <cols>
    <col min="3" max="5" width="14.140625" bestFit="1" customWidth="1"/>
    <col min="6" max="6" width="12.85546875" bestFit="1" customWidth="1"/>
    <col min="7" max="7" width="29.42578125" customWidth="1"/>
  </cols>
  <sheetData>
    <row r="2" spans="3:7" ht="15.75" thickBot="1" x14ac:dyDescent="0.3"/>
    <row r="3" spans="3:7" ht="18.75" thickBot="1" x14ac:dyDescent="0.3">
      <c r="C3" s="47" t="s">
        <v>55</v>
      </c>
      <c r="D3" s="48"/>
      <c r="E3" s="48"/>
      <c r="F3" s="48"/>
      <c r="G3" s="49"/>
    </row>
    <row r="4" spans="3:7" ht="18.75" x14ac:dyDescent="0.25">
      <c r="C4" s="18" t="s">
        <v>30</v>
      </c>
      <c r="D4" s="18" t="s">
        <v>37</v>
      </c>
      <c r="E4" s="18" t="s">
        <v>31</v>
      </c>
      <c r="F4" s="18" t="s">
        <v>32</v>
      </c>
      <c r="G4" s="18" t="s">
        <v>54</v>
      </c>
    </row>
    <row r="5" spans="3:7" ht="30" x14ac:dyDescent="0.25">
      <c r="C5" s="20">
        <f>Ventes!$A4</f>
        <v>43953</v>
      </c>
      <c r="D5" s="19" t="str">
        <f>Ventes!$B4</f>
        <v>Client</v>
      </c>
      <c r="E5" s="21" t="str">
        <f>Ventes!$C4</f>
        <v>PETRO IVOIRE</v>
      </c>
      <c r="F5" s="21" t="str">
        <f>Ventes!$F4</f>
        <v>PETROCI</v>
      </c>
      <c r="G5" s="22" t="str">
        <f t="shared" ref="G5:G6" si="0">IF(E5&lt;&gt;F5,"Bouteille déposée à reprendre lors du prochain rechargement.","Aucune reprise.")</f>
        <v>Bouteille déposée à reprendre lors du prochain rechargement.</v>
      </c>
    </row>
    <row r="6" spans="3:7" ht="30" x14ac:dyDescent="0.25">
      <c r="C6" s="20">
        <f>Ventes!$A5</f>
        <v>43954</v>
      </c>
      <c r="D6" s="19" t="str">
        <f>Ventes!$B5</f>
        <v>Nadje</v>
      </c>
      <c r="E6" s="21" t="str">
        <f>Ventes!$C5</f>
        <v>ORYX</v>
      </c>
      <c r="F6" s="21" t="str">
        <f>Ventes!$F5</f>
        <v>TOTAL</v>
      </c>
      <c r="G6" s="27" t="str">
        <f t="shared" si="0"/>
        <v>Bouteille déposée à reprendre lors du prochain rechargement.</v>
      </c>
    </row>
  </sheetData>
  <mergeCells count="1">
    <mergeCell ref="C3:G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Feuil1</vt:lpstr>
      <vt:lpstr>Caisse</vt:lpstr>
      <vt:lpstr>Ventes</vt:lpstr>
      <vt:lpstr>Stocks</vt:lpstr>
      <vt:lpstr>Rechargements</vt:lpstr>
      <vt:lpstr>Créances et dettes</vt:lpstr>
      <vt:lpstr>Commandes</vt:lpstr>
      <vt:lpstr>Reprises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LENOVO PC</cp:lastModifiedBy>
  <dcterms:created xsi:type="dcterms:W3CDTF">2012-05-10T03:12:35Z</dcterms:created>
  <dcterms:modified xsi:type="dcterms:W3CDTF">2020-05-05T15:34:15Z</dcterms:modified>
</cp:coreProperties>
</file>