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esktop\"/>
    </mc:Choice>
  </mc:AlternateContent>
  <xr:revisionPtr revIDLastSave="0" documentId="8_{125FCBC9-C8D4-4777-9801-F6A307148116}" xr6:coauthVersionLast="44" xr6:coauthVersionMax="44" xr10:uidLastSave="{00000000-0000-0000-0000-000000000000}"/>
  <bookViews>
    <workbookView xWindow="1950" yWindow="2460" windowWidth="26850" windowHeight="11280" xr2:uid="{37AE0C0A-8B32-4D75-9146-209876D794F3}"/>
  </bookViews>
  <sheets>
    <sheet name="ENT" sheetId="2" r:id="rId1"/>
    <sheet name="Feuil1" sheetId="1" r:id="rId2"/>
  </sheets>
  <definedNames>
    <definedName name="_xlnm.Print_Area" localSheetId="0">ENT!$A$1:$W$68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" i="2" l="1"/>
  <c r="I12" i="2"/>
  <c r="P12" i="2"/>
  <c r="Q12" i="2"/>
  <c r="R12" i="2"/>
  <c r="I13" i="2"/>
  <c r="P13" i="2"/>
  <c r="Q13" i="2"/>
  <c r="I14" i="2"/>
  <c r="P14" i="2"/>
  <c r="Q14" i="2"/>
  <c r="R14" i="2"/>
  <c r="S60" i="2" s="1"/>
  <c r="I15" i="2"/>
  <c r="P15" i="2"/>
  <c r="Q15" i="2"/>
  <c r="R15" i="2"/>
  <c r="I16" i="2"/>
  <c r="P16" i="2"/>
  <c r="Q16" i="2"/>
  <c r="R16" i="2"/>
  <c r="I17" i="2"/>
  <c r="P17" i="2"/>
  <c r="Q17" i="2"/>
  <c r="R17" i="2"/>
  <c r="I18" i="2"/>
  <c r="P18" i="2"/>
  <c r="Q18" i="2"/>
  <c r="R18" i="2"/>
  <c r="I19" i="2"/>
  <c r="P19" i="2"/>
  <c r="Q19" i="2"/>
  <c r="R19" i="2"/>
  <c r="I20" i="2"/>
  <c r="P20" i="2"/>
  <c r="Q20" i="2"/>
  <c r="R20" i="2"/>
  <c r="I21" i="2"/>
  <c r="P21" i="2"/>
  <c r="Q21" i="2"/>
  <c r="R21" i="2"/>
  <c r="I22" i="2"/>
  <c r="P22" i="2"/>
  <c r="Q22" i="2"/>
  <c r="R22" i="2"/>
  <c r="I23" i="2"/>
  <c r="P23" i="2"/>
  <c r="Q23" i="2"/>
  <c r="R23" i="2"/>
  <c r="I24" i="2"/>
  <c r="P24" i="2"/>
  <c r="Q24" i="2"/>
  <c r="R24" i="2"/>
  <c r="I25" i="2"/>
  <c r="P25" i="2"/>
  <c r="Q25" i="2"/>
  <c r="R25" i="2"/>
  <c r="I26" i="2"/>
  <c r="P26" i="2"/>
  <c r="Q26" i="2"/>
  <c r="I27" i="2"/>
  <c r="P27" i="2"/>
  <c r="Q27" i="2" s="1"/>
  <c r="R27" i="2"/>
  <c r="I28" i="2"/>
  <c r="P28" i="2"/>
  <c r="Q28" i="2" s="1"/>
  <c r="R28" i="2"/>
  <c r="I29" i="2"/>
  <c r="P29" i="2"/>
  <c r="Q29" i="2" s="1"/>
  <c r="R29" i="2"/>
  <c r="I30" i="2"/>
  <c r="P30" i="2"/>
  <c r="Q30" i="2" s="1"/>
  <c r="R30" i="2"/>
  <c r="I31" i="2"/>
  <c r="P31" i="2"/>
  <c r="Q31" i="2" s="1"/>
  <c r="R31" i="2"/>
  <c r="I32" i="2"/>
  <c r="P32" i="2"/>
  <c r="Q32" i="2" s="1"/>
  <c r="R32" i="2"/>
  <c r="I33" i="2"/>
  <c r="P33" i="2"/>
  <c r="Q33" i="2" s="1"/>
  <c r="R33" i="2"/>
  <c r="I34" i="2"/>
  <c r="P34" i="2"/>
  <c r="Q34" i="2" s="1"/>
  <c r="R34" i="2"/>
  <c r="I35" i="2"/>
  <c r="P35" i="2"/>
  <c r="Q35" i="2" s="1"/>
  <c r="R35" i="2"/>
  <c r="I36" i="2"/>
  <c r="P36" i="2"/>
  <c r="Q36" i="2" s="1"/>
  <c r="I37" i="2"/>
  <c r="P37" i="2"/>
  <c r="Q37" i="2" s="1"/>
  <c r="R37" i="2"/>
  <c r="I38" i="2"/>
  <c r="P38" i="2"/>
  <c r="Q38" i="2" s="1"/>
  <c r="R38" i="2"/>
  <c r="I39" i="2"/>
  <c r="P39" i="2"/>
  <c r="Q39" i="2" s="1"/>
  <c r="R39" i="2"/>
  <c r="I40" i="2"/>
  <c r="P40" i="2"/>
  <c r="Q40" i="2" s="1"/>
  <c r="R40" i="2"/>
  <c r="I41" i="2"/>
  <c r="P41" i="2"/>
  <c r="Q41" i="2" s="1"/>
  <c r="R41" i="2"/>
  <c r="I42" i="2"/>
  <c r="P42" i="2"/>
  <c r="Q42" i="2" s="1"/>
  <c r="R42" i="2"/>
  <c r="I43" i="2"/>
  <c r="P43" i="2"/>
  <c r="Q43" i="2" s="1"/>
  <c r="R43" i="2"/>
  <c r="I44" i="2"/>
  <c r="P44" i="2"/>
  <c r="Q44" i="2" s="1"/>
  <c r="R44" i="2"/>
  <c r="I45" i="2"/>
  <c r="P45" i="2"/>
  <c r="Q45" i="2" s="1"/>
  <c r="R45" i="2"/>
  <c r="I46" i="2"/>
  <c r="P46" i="2"/>
  <c r="Q46" i="2" s="1"/>
  <c r="R46" i="2"/>
  <c r="I47" i="2"/>
  <c r="P47" i="2"/>
  <c r="Q47" i="2" s="1"/>
  <c r="R47" i="2"/>
  <c r="I48" i="2"/>
  <c r="P48" i="2"/>
  <c r="Q48" i="2" s="1"/>
  <c r="R48" i="2"/>
  <c r="I49" i="2"/>
  <c r="P49" i="2"/>
  <c r="Q49" i="2" s="1"/>
  <c r="R49" i="2"/>
  <c r="I50" i="2"/>
  <c r="P50" i="2"/>
  <c r="Q50" i="2" s="1"/>
  <c r="R50" i="2"/>
  <c r="I51" i="2"/>
  <c r="P51" i="2"/>
  <c r="Q51" i="2" s="1"/>
  <c r="R51" i="2"/>
  <c r="I52" i="2"/>
  <c r="P52" i="2"/>
  <c r="Q52" i="2" s="1"/>
  <c r="R52" i="2"/>
  <c r="I53" i="2"/>
  <c r="P53" i="2"/>
  <c r="Q53" i="2" s="1"/>
  <c r="R53" i="2"/>
  <c r="I54" i="2"/>
  <c r="P54" i="2"/>
  <c r="Q54" i="2" s="1"/>
  <c r="R54" i="2"/>
  <c r="I55" i="2"/>
  <c r="P55" i="2"/>
  <c r="Q55" i="2" s="1"/>
  <c r="R55" i="2"/>
  <c r="I56" i="2"/>
  <c r="P56" i="2"/>
  <c r="Q56" i="2" s="1"/>
  <c r="R56" i="2"/>
  <c r="I57" i="2"/>
  <c r="P57" i="2"/>
  <c r="Q57" i="2" s="1"/>
  <c r="R57" i="2"/>
  <c r="I58" i="2"/>
  <c r="P58" i="2"/>
  <c r="Q58" i="2" s="1"/>
  <c r="R58" i="2"/>
  <c r="U59" i="2"/>
  <c r="O60" i="2"/>
  <c r="T60" i="2"/>
  <c r="R60" i="2" l="1"/>
  <c r="I59" i="2"/>
  <c r="L60" i="2" s="1"/>
  <c r="Q60" i="2"/>
</calcChain>
</file>

<file path=xl/sharedStrings.xml><?xml version="1.0" encoding="utf-8"?>
<sst xmlns="http://schemas.openxmlformats.org/spreadsheetml/2006/main" count="164" uniqueCount="151">
  <si>
    <t>TOTAL =</t>
  </si>
  <si>
    <t>ST60C X (143,71 KG)</t>
  </si>
  <si>
    <t>ST50CX (113,76 KG)</t>
  </si>
  <si>
    <t>ST40C X (86,98 KG)</t>
  </si>
  <si>
    <t>ST25C X (57,98 KG)</t>
  </si>
  <si>
    <t>ST15C X (21,31 KG)</t>
  </si>
  <si>
    <t>ST60 X (100,60 KG)</t>
  </si>
  <si>
    <t>ST50 X (75,84 KG)</t>
  </si>
  <si>
    <t>ST35 X (57,98KG)</t>
  </si>
  <si>
    <t>ST25 X (43,49 KG)</t>
  </si>
  <si>
    <t>ST20 X (35,81 KG)</t>
  </si>
  <si>
    <t>PAF10 X (18,85 KG)</t>
  </si>
  <si>
    <t>ACIER STABOX</t>
  </si>
  <si>
    <t>ACIES GENDARMES</t>
  </si>
  <si>
    <t>ANCRES POSE</t>
  </si>
  <si>
    <t>ANCRES DECOFF</t>
  </si>
  <si>
    <t>DATE/HEURE</t>
  </si>
  <si>
    <t>DETAIL</t>
  </si>
  <si>
    <t>TPS</t>
  </si>
  <si>
    <t>N° LIV</t>
  </si>
  <si>
    <t>ACIERS STABOX</t>
  </si>
  <si>
    <t>KG</t>
  </si>
  <si>
    <t>INCLUS</t>
  </si>
  <si>
    <t>CROCHET</t>
  </si>
  <si>
    <t>TUBES GC</t>
  </si>
  <si>
    <t>ASL</t>
  </si>
  <si>
    <t>ANCRES / DOUILLES DE LEVAGE</t>
  </si>
  <si>
    <t>m</t>
  </si>
  <si>
    <t xml:space="preserve">CROCHETS  DE LEVAGE </t>
  </si>
  <si>
    <t>Bap C40 0/20</t>
  </si>
  <si>
    <t>BETON FORMULE N° 421</t>
  </si>
  <si>
    <t>TOTAL :</t>
  </si>
  <si>
    <t>T20</t>
  </si>
  <si>
    <t>CFA</t>
  </si>
  <si>
    <t>T46</t>
  </si>
  <si>
    <t>T45</t>
  </si>
  <si>
    <t>T18</t>
  </si>
  <si>
    <t>T19</t>
  </si>
  <si>
    <t>T13</t>
  </si>
  <si>
    <t>T17</t>
  </si>
  <si>
    <t>T10</t>
  </si>
  <si>
    <t>T12</t>
  </si>
  <si>
    <t>T11</t>
  </si>
  <si>
    <t>T44</t>
  </si>
  <si>
    <t>T32</t>
  </si>
  <si>
    <t>T31</t>
  </si>
  <si>
    <t>T23</t>
  </si>
  <si>
    <t>T9</t>
  </si>
  <si>
    <t>T8</t>
  </si>
  <si>
    <t>T43</t>
  </si>
  <si>
    <t>T30</t>
  </si>
  <si>
    <t>T22</t>
  </si>
  <si>
    <t>T42</t>
  </si>
  <si>
    <t>T41</t>
  </si>
  <si>
    <t>T29</t>
  </si>
  <si>
    <t>T6</t>
  </si>
  <si>
    <t>T40</t>
  </si>
  <si>
    <t>T28</t>
  </si>
  <si>
    <t>T5</t>
  </si>
  <si>
    <t>T39</t>
  </si>
  <si>
    <t>T38</t>
  </si>
  <si>
    <t>T27</t>
  </si>
  <si>
    <t>T4</t>
  </si>
  <si>
    <t>T16</t>
  </si>
  <si>
    <t>T35</t>
  </si>
  <si>
    <t>T48</t>
  </si>
  <si>
    <t>T36</t>
  </si>
  <si>
    <t>T37</t>
  </si>
  <si>
    <t>T26</t>
  </si>
  <si>
    <t>T21</t>
  </si>
  <si>
    <t>T15</t>
  </si>
  <si>
    <t>T3</t>
  </si>
  <si>
    <t>T34</t>
  </si>
  <si>
    <t>T25</t>
  </si>
  <si>
    <t>T2</t>
  </si>
  <si>
    <t>T33</t>
  </si>
  <si>
    <t>T24</t>
  </si>
  <si>
    <t>T7</t>
  </si>
  <si>
    <t>T47</t>
  </si>
  <si>
    <t>T1</t>
  </si>
  <si>
    <t>&gt;20X20cm</t>
  </si>
  <si>
    <t>&lt;20X20cm</t>
  </si>
  <si>
    <t>VOLUME BETON REEL</t>
  </si>
  <si>
    <t>UNITÉ FACT</t>
  </si>
  <si>
    <t>ZONE</t>
  </si>
  <si>
    <t>RESERV4</t>
  </si>
  <si>
    <t>RESERV</t>
  </si>
  <si>
    <t>Tubes GC</t>
  </si>
  <si>
    <t>POIDS</t>
  </si>
  <si>
    <t>BETON</t>
  </si>
  <si>
    <t>LONG ARM</t>
  </si>
  <si>
    <t>LONG</t>
  </si>
  <si>
    <t>HAUTEUR</t>
  </si>
  <si>
    <t>LARG</t>
  </si>
  <si>
    <t>NB</t>
  </si>
  <si>
    <t>REP</t>
  </si>
  <si>
    <t>BETON ml</t>
  </si>
  <si>
    <t>INFO</t>
  </si>
  <si>
    <t>PREVI ARM</t>
  </si>
  <si>
    <t>CONTROL2</t>
  </si>
  <si>
    <t>PREVI</t>
  </si>
  <si>
    <t>FAB</t>
  </si>
  <si>
    <t>LIV</t>
  </si>
  <si>
    <t>LIV N°</t>
  </si>
  <si>
    <t>NIVEAU</t>
  </si>
  <si>
    <t>?</t>
  </si>
  <si>
    <t>3,5€/U</t>
  </si>
  <si>
    <t>PRIX UNI</t>
  </si>
  <si>
    <t>RELEVE</t>
  </si>
  <si>
    <t>DOSSIER</t>
  </si>
  <si>
    <t>TRANSPORT</t>
  </si>
  <si>
    <t>TABLEAU</t>
  </si>
  <si>
    <t>COFFRAGE</t>
  </si>
  <si>
    <t>LIVRAISON(S)</t>
  </si>
  <si>
    <t>U FACT</t>
  </si>
  <si>
    <t>ELINGUES ARTICULERS MXX</t>
  </si>
  <si>
    <t>MAINS LEV.</t>
  </si>
  <si>
    <t>ACIER</t>
  </si>
  <si>
    <t>301 - A</t>
  </si>
  <si>
    <t>plan n°- indice</t>
  </si>
  <si>
    <t>ORDRE PREFA</t>
  </si>
  <si>
    <t>Poutres PH R-1</t>
  </si>
  <si>
    <t>PV BETON C60</t>
  </si>
  <si>
    <t>STABOX</t>
  </si>
  <si>
    <t>PROD</t>
  </si>
  <si>
    <t>S40/S41</t>
  </si>
  <si>
    <t>LIVRAISON CLIENT POUR LE</t>
  </si>
  <si>
    <t>DEPARTEMENT:</t>
  </si>
  <si>
    <t>PV BETON C50</t>
  </si>
  <si>
    <t>FOUREAUX</t>
  </si>
  <si>
    <t>21020</t>
  </si>
  <si>
    <t>client N°</t>
  </si>
  <si>
    <t>S39</t>
  </si>
  <si>
    <t>ASL ACIER POUR COULAGE LE</t>
  </si>
  <si>
    <t xml:space="preserve">VILLE : </t>
  </si>
  <si>
    <t>PV BETON C40</t>
  </si>
  <si>
    <t>TUBES G C</t>
  </si>
  <si>
    <t>COMMANDE n°</t>
  </si>
  <si>
    <t>POUTRE</t>
  </si>
  <si>
    <t>PREFA</t>
  </si>
  <si>
    <t>CHANTIER :</t>
  </si>
  <si>
    <t>1,60 €/kg</t>
  </si>
  <si>
    <t>RATIO</t>
  </si>
  <si>
    <t>ACIERS</t>
  </si>
  <si>
    <t>CADENCE :    / JOUR</t>
  </si>
  <si>
    <t>SOCIETE :</t>
  </si>
  <si>
    <t xml:space="preserve"> 0,6x0,37R x25ml 67,5 €/ml</t>
  </si>
  <si>
    <t>0,5x 0,37x30ml  65,3 €/ml</t>
  </si>
  <si>
    <t>FRANCO</t>
  </si>
  <si>
    <t>DEPART</t>
  </si>
  <si>
    <t>EQUIPE PREFA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</si>
</sst>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&quot;t&quot;"/>
    <numFmt numFmtId="165" formatCode="0.00&quot;m3&quot;"/>
    <numFmt numFmtId="166" formatCode="0.00&quot;ml&quot;"/>
    <numFmt numFmtId="167" formatCode="&quot;&quot;00"/>
    <numFmt numFmtId="168" formatCode="0.00&quot;KG&quot;"/>
  </numFmts>
  <fonts count="10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9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 applyAlignment="1">
      <alignment horizontal="left"/>
    </xf>
    <xf numFmtId="0" fontId="1" fillId="0" borderId="1" xfId="1" applyBorder="1"/>
    <xf numFmtId="0" fontId="3" fillId="0" borderId="1" xfId="1" applyFont="1" applyBorder="1" applyAlignment="1">
      <alignment horizontal="right"/>
    </xf>
    <xf numFmtId="0" fontId="3" fillId="0" borderId="0" xfId="1" applyFont="1" applyAlignment="1">
      <alignment horizontal="right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/>
    <xf numFmtId="0" fontId="4" fillId="0" borderId="5" xfId="1" applyFont="1" applyBorder="1"/>
    <xf numFmtId="0" fontId="4" fillId="0" borderId="6" xfId="1" applyFont="1" applyBorder="1"/>
    <xf numFmtId="0" fontId="4" fillId="0" borderId="7" xfId="1" applyFont="1" applyBorder="1"/>
    <xf numFmtId="0" fontId="4" fillId="0" borderId="3" xfId="1" applyFont="1" applyBorder="1"/>
    <xf numFmtId="0" fontId="3" fillId="0" borderId="0" xfId="1" applyFont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10" xfId="1" applyFont="1" applyBorder="1"/>
    <xf numFmtId="0" fontId="4" fillId="0" borderId="11" xfId="1" applyFont="1" applyBorder="1"/>
    <xf numFmtId="0" fontId="4" fillId="0" borderId="12" xfId="1" applyFont="1" applyBorder="1"/>
    <xf numFmtId="0" fontId="4" fillId="0" borderId="13" xfId="1" applyFont="1" applyBorder="1"/>
    <xf numFmtId="0" fontId="4" fillId="0" borderId="14" xfId="1" applyFont="1" applyBorder="1"/>
    <xf numFmtId="0" fontId="4" fillId="0" borderId="15" xfId="1" applyFont="1" applyBorder="1"/>
    <xf numFmtId="0" fontId="4" fillId="0" borderId="16" xfId="1" applyFont="1" applyBorder="1"/>
    <xf numFmtId="0" fontId="4" fillId="0" borderId="17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18" xfId="1" applyFont="1" applyBorder="1"/>
    <xf numFmtId="0" fontId="4" fillId="2" borderId="19" xfId="1" applyFont="1" applyFill="1" applyBorder="1" applyAlignment="1">
      <alignment horizontal="center"/>
    </xf>
    <xf numFmtId="0" fontId="4" fillId="2" borderId="20" xfId="1" applyFont="1" applyFill="1" applyBorder="1" applyAlignment="1">
      <alignment horizontal="center"/>
    </xf>
    <xf numFmtId="0" fontId="4" fillId="2" borderId="21" xfId="1" applyFont="1" applyFill="1" applyBorder="1" applyAlignment="1">
      <alignment horizontal="center"/>
    </xf>
    <xf numFmtId="0" fontId="4" fillId="2" borderId="22" xfId="1" applyFont="1" applyFill="1" applyBorder="1" applyAlignment="1">
      <alignment horizontal="center"/>
    </xf>
    <xf numFmtId="0" fontId="4" fillId="2" borderId="23" xfId="1" applyFont="1" applyFill="1" applyBorder="1" applyAlignment="1">
      <alignment horizontal="center"/>
    </xf>
    <xf numFmtId="0" fontId="4" fillId="2" borderId="24" xfId="1" applyFont="1" applyFill="1" applyBorder="1" applyAlignment="1">
      <alignment horizontal="center"/>
    </xf>
    <xf numFmtId="0" fontId="4" fillId="2" borderId="20" xfId="1" applyFont="1" applyFill="1" applyBorder="1" applyAlignment="1">
      <alignment horizontal="center"/>
    </xf>
    <xf numFmtId="0" fontId="1" fillId="3" borderId="0" xfId="1" applyFill="1"/>
    <xf numFmtId="0" fontId="4" fillId="0" borderId="0" xfId="1" applyFont="1" applyAlignment="1">
      <alignment horizontal="center"/>
    </xf>
    <xf numFmtId="0" fontId="4" fillId="0" borderId="0" xfId="1" applyFont="1"/>
    <xf numFmtId="0" fontId="4" fillId="3" borderId="0" xfId="1" applyFont="1" applyFill="1"/>
    <xf numFmtId="0" fontId="4" fillId="0" borderId="0" xfId="1" applyFont="1" applyAlignment="1">
      <alignment horizontal="left"/>
    </xf>
    <xf numFmtId="0" fontId="1" fillId="0" borderId="0" xfId="1" applyAlignment="1">
      <alignment horizontal="right"/>
    </xf>
    <xf numFmtId="0" fontId="4" fillId="0" borderId="25" xfId="1" applyFont="1" applyBorder="1" applyAlignment="1">
      <alignment horizontal="center"/>
    </xf>
    <xf numFmtId="164" fontId="4" fillId="0" borderId="25" xfId="1" applyNumberFormat="1" applyFont="1" applyBorder="1" applyAlignment="1">
      <alignment horizontal="center"/>
    </xf>
    <xf numFmtId="165" fontId="4" fillId="0" borderId="25" xfId="1" applyNumberFormat="1" applyFont="1" applyBorder="1" applyAlignment="1">
      <alignment horizontal="center"/>
    </xf>
    <xf numFmtId="166" fontId="4" fillId="0" borderId="26" xfId="1" applyNumberFormat="1" applyFont="1" applyBorder="1" applyAlignment="1">
      <alignment horizontal="center"/>
    </xf>
    <xf numFmtId="166" fontId="4" fillId="0" borderId="27" xfId="1" applyNumberFormat="1" applyFont="1" applyBorder="1" applyAlignment="1">
      <alignment horizontal="center"/>
    </xf>
    <xf numFmtId="1" fontId="4" fillId="0" borderId="4" xfId="1" applyNumberFormat="1" applyFont="1" applyBorder="1" applyAlignment="1">
      <alignment horizontal="center"/>
    </xf>
    <xf numFmtId="0" fontId="4" fillId="0" borderId="28" xfId="1" applyFont="1" applyBorder="1" applyAlignment="1">
      <alignment horizontal="center"/>
    </xf>
    <xf numFmtId="2" fontId="4" fillId="0" borderId="29" xfId="1" applyNumberFormat="1" applyFont="1" applyBorder="1" applyAlignment="1">
      <alignment horizontal="center"/>
    </xf>
    <xf numFmtId="2" fontId="4" fillId="0" borderId="27" xfId="1" applyNumberFormat="1" applyFont="1" applyBorder="1" applyAlignment="1">
      <alignment horizontal="center"/>
    </xf>
    <xf numFmtId="0" fontId="4" fillId="0" borderId="30" xfId="1" applyFont="1" applyBorder="1" applyAlignment="1">
      <alignment horizontal="center"/>
    </xf>
    <xf numFmtId="1" fontId="4" fillId="0" borderId="28" xfId="1" applyNumberFormat="1" applyFont="1" applyBorder="1" applyAlignment="1">
      <alignment horizontal="center"/>
    </xf>
    <xf numFmtId="167" fontId="4" fillId="0" borderId="28" xfId="1" applyNumberFormat="1" applyFont="1" applyBorder="1" applyAlignment="1">
      <alignment horizontal="center"/>
    </xf>
    <xf numFmtId="2" fontId="4" fillId="0" borderId="28" xfId="1" applyNumberFormat="1" applyFont="1" applyBorder="1" applyAlignment="1">
      <alignment horizontal="center"/>
    </xf>
    <xf numFmtId="0" fontId="4" fillId="0" borderId="31" xfId="1" applyFont="1" applyBorder="1" applyAlignment="1">
      <alignment horizontal="center"/>
    </xf>
    <xf numFmtId="0" fontId="4" fillId="0" borderId="32" xfId="1" applyFont="1" applyBorder="1" applyAlignment="1">
      <alignment horizontal="center"/>
    </xf>
    <xf numFmtId="0" fontId="1" fillId="0" borderId="25" xfId="1" applyBorder="1"/>
    <xf numFmtId="0" fontId="1" fillId="0" borderId="33" xfId="1" applyBorder="1"/>
    <xf numFmtId="0" fontId="4" fillId="0" borderId="15" xfId="1" applyFont="1" applyBorder="1" applyAlignment="1">
      <alignment horizontal="center"/>
    </xf>
    <xf numFmtId="2" fontId="4" fillId="0" borderId="13" xfId="1" applyNumberFormat="1" applyFont="1" applyBorder="1" applyAlignment="1">
      <alignment horizontal="center"/>
    </xf>
    <xf numFmtId="2" fontId="4" fillId="0" borderId="16" xfId="1" applyNumberFormat="1" applyFont="1" applyBorder="1" applyAlignment="1">
      <alignment horizontal="center"/>
    </xf>
    <xf numFmtId="0" fontId="4" fillId="0" borderId="18" xfId="1" applyFont="1" applyBorder="1" applyAlignment="1">
      <alignment horizontal="center"/>
    </xf>
    <xf numFmtId="167" fontId="4" fillId="0" borderId="15" xfId="1" applyNumberFormat="1" applyFont="1" applyBorder="1" applyAlignment="1">
      <alignment horizontal="center"/>
    </xf>
    <xf numFmtId="2" fontId="4" fillId="0" borderId="34" xfId="1" applyNumberFormat="1" applyFont="1" applyBorder="1" applyAlignment="1">
      <alignment horizontal="center"/>
    </xf>
    <xf numFmtId="0" fontId="4" fillId="0" borderId="34" xfId="1" applyFont="1" applyBorder="1" applyAlignment="1">
      <alignment horizontal="center"/>
    </xf>
    <xf numFmtId="16" fontId="4" fillId="0" borderId="35" xfId="1" applyNumberFormat="1" applyFont="1" applyBorder="1" applyAlignment="1">
      <alignment horizontal="center"/>
    </xf>
    <xf numFmtId="0" fontId="4" fillId="0" borderId="35" xfId="1" applyFont="1" applyBorder="1" applyAlignment="1">
      <alignment horizontal="center"/>
    </xf>
    <xf numFmtId="0" fontId="4" fillId="0" borderId="36" xfId="1" applyFont="1" applyBorder="1" applyAlignment="1">
      <alignment horizontal="center"/>
    </xf>
    <xf numFmtId="0" fontId="4" fillId="0" borderId="37" xfId="1" applyFont="1" applyBorder="1" applyAlignment="1">
      <alignment horizontal="center"/>
    </xf>
    <xf numFmtId="0" fontId="1" fillId="0" borderId="38" xfId="1" applyBorder="1"/>
    <xf numFmtId="0" fontId="1" fillId="0" borderId="39" xfId="1" applyBorder="1"/>
    <xf numFmtId="167" fontId="4" fillId="4" borderId="15" xfId="1" applyNumberFormat="1" applyFont="1" applyFill="1" applyBorder="1" applyAlignment="1">
      <alignment horizontal="center"/>
    </xf>
    <xf numFmtId="167" fontId="4" fillId="5" borderId="15" xfId="1" applyNumberFormat="1" applyFont="1" applyFill="1" applyBorder="1" applyAlignment="1">
      <alignment horizontal="center"/>
    </xf>
    <xf numFmtId="2" fontId="4" fillId="0" borderId="40" xfId="1" applyNumberFormat="1" applyFont="1" applyBorder="1" applyAlignment="1">
      <alignment horizontal="center"/>
    </xf>
    <xf numFmtId="2" fontId="4" fillId="0" borderId="37" xfId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167" fontId="4" fillId="5" borderId="34" xfId="1" applyNumberFormat="1" applyFont="1" applyFill="1" applyBorder="1" applyAlignment="1">
      <alignment horizontal="center"/>
    </xf>
    <xf numFmtId="0" fontId="1" fillId="0" borderId="41" xfId="1" applyBorder="1"/>
    <xf numFmtId="0" fontId="3" fillId="0" borderId="42" xfId="1" applyFont="1" applyBorder="1" applyAlignment="1">
      <alignment horizontal="center"/>
    </xf>
    <xf numFmtId="0" fontId="4" fillId="0" borderId="42" xfId="1" applyFont="1" applyBorder="1" applyAlignment="1">
      <alignment horizontal="center"/>
    </xf>
    <xf numFmtId="2" fontId="4" fillId="6" borderId="43" xfId="1" applyNumberFormat="1" applyFont="1" applyFill="1" applyBorder="1" applyAlignment="1">
      <alignment horizontal="center"/>
    </xf>
    <xf numFmtId="2" fontId="4" fillId="6" borderId="44" xfId="1" applyNumberFormat="1" applyFont="1" applyFill="1" applyBorder="1" applyAlignment="1">
      <alignment horizontal="left"/>
    </xf>
    <xf numFmtId="0" fontId="4" fillId="6" borderId="45" xfId="1" applyFont="1" applyFill="1" applyBorder="1" applyAlignment="1">
      <alignment horizontal="center"/>
    </xf>
    <xf numFmtId="0" fontId="4" fillId="6" borderId="46" xfId="1" applyFont="1" applyFill="1" applyBorder="1" applyAlignment="1">
      <alignment horizontal="center"/>
    </xf>
    <xf numFmtId="167" fontId="4" fillId="6" borderId="46" xfId="1" applyNumberFormat="1" applyFont="1" applyFill="1" applyBorder="1" applyAlignment="1">
      <alignment horizontal="center"/>
    </xf>
    <xf numFmtId="2" fontId="3" fillId="6" borderId="46" xfId="1" applyNumberFormat="1" applyFont="1" applyFill="1" applyBorder="1" applyAlignment="1">
      <alignment horizontal="center"/>
    </xf>
    <xf numFmtId="0" fontId="1" fillId="6" borderId="47" xfId="1" applyFill="1" applyBorder="1"/>
    <xf numFmtId="0" fontId="1" fillId="6" borderId="48" xfId="1" applyFill="1" applyBorder="1"/>
    <xf numFmtId="0" fontId="5" fillId="6" borderId="45" xfId="1" applyFont="1" applyFill="1" applyBorder="1" applyAlignment="1">
      <alignment horizontal="center"/>
    </xf>
    <xf numFmtId="0" fontId="4" fillId="0" borderId="33" xfId="1" applyFont="1" applyBorder="1" applyAlignment="1">
      <alignment horizontal="center"/>
    </xf>
    <xf numFmtId="0" fontId="3" fillId="0" borderId="38" xfId="1" applyFont="1" applyBorder="1" applyAlignment="1">
      <alignment horizontal="center"/>
    </xf>
    <xf numFmtId="0" fontId="4" fillId="0" borderId="49" xfId="1" applyFont="1" applyBorder="1" applyAlignment="1">
      <alignment horizontal="center"/>
    </xf>
    <xf numFmtId="0" fontId="4" fillId="0" borderId="50" xfId="1" applyFont="1" applyBorder="1" applyAlignment="1">
      <alignment horizontal="center"/>
    </xf>
    <xf numFmtId="0" fontId="4" fillId="0" borderId="51" xfId="1" applyFont="1" applyBorder="1" applyAlignment="1">
      <alignment horizontal="center"/>
    </xf>
    <xf numFmtId="0" fontId="4" fillId="0" borderId="52" xfId="1" applyFont="1" applyBorder="1" applyAlignment="1">
      <alignment horizontal="center"/>
    </xf>
    <xf numFmtId="0" fontId="4" fillId="0" borderId="38" xfId="1" applyFont="1" applyBorder="1" applyAlignment="1">
      <alignment horizontal="center"/>
    </xf>
    <xf numFmtId="0" fontId="4" fillId="0" borderId="39" xfId="1" applyFont="1" applyBorder="1" applyAlignment="1">
      <alignment horizontal="center"/>
    </xf>
    <xf numFmtId="0" fontId="4" fillId="0" borderId="46" xfId="1" applyFont="1" applyBorder="1" applyAlignment="1">
      <alignment horizontal="center"/>
    </xf>
    <xf numFmtId="0" fontId="4" fillId="0" borderId="44" xfId="1" applyFont="1" applyBorder="1" applyAlignment="1">
      <alignment horizontal="center"/>
    </xf>
    <xf numFmtId="0" fontId="4" fillId="7" borderId="53" xfId="1" applyFont="1" applyFill="1" applyBorder="1"/>
    <xf numFmtId="0" fontId="1" fillId="0" borderId="0" xfId="1" applyAlignment="1">
      <alignment horizontal="center"/>
    </xf>
    <xf numFmtId="0" fontId="1" fillId="0" borderId="30" xfId="1" applyBorder="1" applyAlignment="1">
      <alignment horizontal="center"/>
    </xf>
    <xf numFmtId="0" fontId="1" fillId="0" borderId="30" xfId="1" applyBorder="1"/>
    <xf numFmtId="0" fontId="1" fillId="0" borderId="54" xfId="1" applyBorder="1"/>
    <xf numFmtId="0" fontId="4" fillId="0" borderId="55" xfId="1" applyFont="1" applyBorder="1"/>
    <xf numFmtId="0" fontId="4" fillId="0" borderId="54" xfId="1" applyFont="1" applyBorder="1"/>
    <xf numFmtId="0" fontId="3" fillId="0" borderId="56" xfId="1" applyFont="1" applyBorder="1"/>
    <xf numFmtId="0" fontId="3" fillId="0" borderId="57" xfId="1" applyFont="1" applyBorder="1" applyAlignment="1">
      <alignment horizontal="center"/>
    </xf>
    <xf numFmtId="0" fontId="4" fillId="0" borderId="47" xfId="1" applyFont="1" applyBorder="1" applyAlignment="1">
      <alignment horizontal="center"/>
    </xf>
    <xf numFmtId="0" fontId="3" fillId="0" borderId="57" xfId="1" applyFont="1" applyBorder="1"/>
    <xf numFmtId="0" fontId="4" fillId="0" borderId="53" xfId="1" applyFont="1" applyBorder="1" applyAlignment="1">
      <alignment horizontal="center"/>
    </xf>
    <xf numFmtId="0" fontId="3" fillId="0" borderId="53" xfId="1" applyFont="1" applyBorder="1"/>
    <xf numFmtId="0" fontId="3" fillId="0" borderId="45" xfId="1" applyFont="1" applyBorder="1" applyAlignment="1">
      <alignment horizontal="center"/>
    </xf>
    <xf numFmtId="0" fontId="3" fillId="0" borderId="45" xfId="1" applyFont="1" applyBorder="1"/>
    <xf numFmtId="0" fontId="6" fillId="0" borderId="56" xfId="1" applyFont="1" applyBorder="1"/>
    <xf numFmtId="0" fontId="4" fillId="0" borderId="57" xfId="1" applyFont="1" applyBorder="1" applyAlignment="1">
      <alignment horizontal="center"/>
    </xf>
    <xf numFmtId="0" fontId="4" fillId="0" borderId="53" xfId="1" applyFont="1" applyBorder="1" applyAlignment="1">
      <alignment horizontal="center"/>
    </xf>
    <xf numFmtId="0" fontId="1" fillId="8" borderId="57" xfId="1" applyFill="1" applyBorder="1" applyAlignment="1">
      <alignment horizontal="center"/>
    </xf>
    <xf numFmtId="0" fontId="2" fillId="8" borderId="53" xfId="1" applyFont="1" applyFill="1" applyBorder="1" applyAlignment="1">
      <alignment horizontal="center"/>
    </xf>
    <xf numFmtId="0" fontId="4" fillId="0" borderId="45" xfId="1" applyFont="1" applyBorder="1" applyAlignment="1">
      <alignment horizontal="center"/>
    </xf>
    <xf numFmtId="165" fontId="4" fillId="0" borderId="57" xfId="1" applyNumberFormat="1" applyFont="1" applyBorder="1"/>
    <xf numFmtId="0" fontId="4" fillId="0" borderId="56" xfId="1" applyFont="1" applyBorder="1"/>
    <xf numFmtId="14" fontId="4" fillId="0" borderId="0" xfId="1" applyNumberFormat="1" applyFont="1" applyAlignment="1">
      <alignment horizontal="center"/>
    </xf>
    <xf numFmtId="14" fontId="4" fillId="0" borderId="42" xfId="1" applyNumberFormat="1" applyFont="1" applyBorder="1" applyAlignment="1">
      <alignment horizontal="center"/>
    </xf>
    <xf numFmtId="0" fontId="7" fillId="8" borderId="57" xfId="1" applyFont="1" applyFill="1" applyBorder="1" applyAlignment="1">
      <alignment horizontal="center"/>
    </xf>
    <xf numFmtId="0" fontId="7" fillId="8" borderId="45" xfId="1" applyFont="1" applyFill="1" applyBorder="1" applyAlignment="1">
      <alignment horizontal="center"/>
    </xf>
    <xf numFmtId="0" fontId="7" fillId="8" borderId="53" xfId="1" applyFont="1" applyFill="1" applyBorder="1" applyAlignment="1">
      <alignment horizontal="center"/>
    </xf>
    <xf numFmtId="0" fontId="4" fillId="0" borderId="33" xfId="1" applyFont="1" applyBorder="1" applyAlignment="1">
      <alignment horizontal="center"/>
    </xf>
    <xf numFmtId="0" fontId="4" fillId="0" borderId="30" xfId="1" applyFont="1" applyBorder="1" applyAlignment="1">
      <alignment horizontal="center"/>
    </xf>
    <xf numFmtId="0" fontId="4" fillId="0" borderId="26" xfId="1" applyFont="1" applyBorder="1" applyAlignment="1">
      <alignment horizontal="center"/>
    </xf>
    <xf numFmtId="0" fontId="8" fillId="0" borderId="33" xfId="1" applyFont="1" applyBorder="1" applyAlignment="1">
      <alignment horizontal="center"/>
    </xf>
    <xf numFmtId="0" fontId="8" fillId="0" borderId="26" xfId="1" applyFont="1" applyBorder="1" applyAlignment="1">
      <alignment horizontal="center"/>
    </xf>
    <xf numFmtId="49" fontId="4" fillId="0" borderId="57" xfId="1" applyNumberFormat="1" applyFont="1" applyBorder="1" applyAlignment="1">
      <alignment horizontal="center"/>
    </xf>
    <xf numFmtId="0" fontId="4" fillId="0" borderId="53" xfId="1" applyFont="1" applyBorder="1"/>
    <xf numFmtId="14" fontId="4" fillId="0" borderId="45" xfId="1" applyNumberFormat="1" applyFont="1" applyBorder="1" applyAlignment="1">
      <alignment horizontal="center"/>
    </xf>
    <xf numFmtId="0" fontId="4" fillId="0" borderId="39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54" xfId="1" applyFont="1" applyBorder="1" applyAlignment="1">
      <alignment horizontal="center"/>
    </xf>
    <xf numFmtId="0" fontId="8" fillId="0" borderId="39" xfId="1" applyFont="1" applyBorder="1" applyAlignment="1">
      <alignment horizontal="center"/>
    </xf>
    <xf numFmtId="0" fontId="8" fillId="0" borderId="54" xfId="1" applyFont="1" applyBorder="1" applyAlignment="1">
      <alignment horizontal="center"/>
    </xf>
    <xf numFmtId="0" fontId="4" fillId="0" borderId="57" xfId="1" applyFont="1" applyBorder="1" applyAlignment="1">
      <alignment horizontal="left"/>
    </xf>
    <xf numFmtId="0" fontId="4" fillId="0" borderId="45" xfId="1" applyFont="1" applyBorder="1" applyAlignment="1">
      <alignment horizontal="left"/>
    </xf>
    <xf numFmtId="0" fontId="4" fillId="0" borderId="53" xfId="1" applyFont="1" applyBorder="1" applyAlignment="1">
      <alignment horizontal="left"/>
    </xf>
    <xf numFmtId="0" fontId="8" fillId="0" borderId="0" xfId="1" applyFont="1"/>
    <xf numFmtId="168" fontId="4" fillId="0" borderId="57" xfId="1" applyNumberFormat="1" applyFont="1" applyBorder="1" applyAlignment="1">
      <alignment horizontal="center"/>
    </xf>
    <xf numFmtId="14" fontId="4" fillId="0" borderId="57" xfId="1" applyNumberFormat="1" applyFont="1" applyBorder="1"/>
    <xf numFmtId="0" fontId="4" fillId="0" borderId="45" xfId="1" applyFont="1" applyBorder="1" applyAlignment="1">
      <alignment horizontal="center"/>
    </xf>
    <xf numFmtId="0" fontId="4" fillId="0" borderId="41" xfId="1" applyFont="1" applyBorder="1" applyAlignment="1">
      <alignment horizontal="center"/>
    </xf>
    <xf numFmtId="0" fontId="4" fillId="0" borderId="58" xfId="1" applyFont="1" applyBorder="1" applyAlignment="1">
      <alignment horizontal="center"/>
    </xf>
    <xf numFmtId="0" fontId="4" fillId="0" borderId="59" xfId="1" applyFont="1" applyBorder="1" applyAlignment="1">
      <alignment horizontal="center"/>
    </xf>
    <xf numFmtId="0" fontId="8" fillId="0" borderId="41" xfId="1" applyFont="1" applyBorder="1" applyAlignment="1">
      <alignment horizontal="center"/>
    </xf>
    <xf numFmtId="0" fontId="8" fillId="0" borderId="59" xfId="1" applyFont="1" applyBorder="1" applyAlignment="1">
      <alignment horizontal="center"/>
    </xf>
    <xf numFmtId="0" fontId="4" fillId="9" borderId="58" xfId="1" applyFont="1" applyFill="1" applyBorder="1"/>
    <xf numFmtId="0" fontId="4" fillId="5" borderId="58" xfId="1" applyFont="1" applyFill="1" applyBorder="1"/>
    <xf numFmtId="0" fontId="4" fillId="5" borderId="59" xfId="1" applyFont="1" applyFill="1" applyBorder="1"/>
    <xf numFmtId="0" fontId="4" fillId="0" borderId="23" xfId="1" applyFont="1" applyBorder="1"/>
    <xf numFmtId="14" fontId="4" fillId="0" borderId="10" xfId="1" applyNumberFormat="1" applyFont="1" applyBorder="1" applyAlignment="1">
      <alignment horizontal="center"/>
    </xf>
    <xf numFmtId="0" fontId="9" fillId="8" borderId="57" xfId="1" applyFont="1" applyFill="1" applyBorder="1" applyAlignment="1">
      <alignment horizontal="center"/>
    </xf>
    <xf numFmtId="0" fontId="9" fillId="8" borderId="45" xfId="1" applyFont="1" applyFill="1" applyBorder="1" applyAlignment="1">
      <alignment horizontal="center"/>
    </xf>
    <xf numFmtId="0" fontId="9" fillId="8" borderId="53" xfId="1" applyFont="1" applyFill="1" applyBorder="1" applyAlignment="1">
      <alignment horizontal="center"/>
    </xf>
  </cellXfs>
  <cellStyles count="2">
    <cellStyle name="Normal" xfId="0" builtinId="0"/>
    <cellStyle name="Normal 2" xfId="1" xr:uid="{B79F365E-E4B7-4402-B7C2-193452189A80}"/>
  </cellStyles>
  <dxfs count="32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7" formatCode="&quot;&quot;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rgb="FF000000"/>
        </left>
        <top style="medium">
          <color rgb="FF000000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95249</xdr:colOff>
      <xdr:row>5</xdr:row>
      <xdr:rowOff>142876</xdr:rowOff>
    </xdr:from>
    <xdr:to>
      <xdr:col>10</xdr:col>
      <xdr:colOff>95250</xdr:colOff>
      <xdr:row>18</xdr:row>
      <xdr:rowOff>133350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A865556-576A-446D-8230-54328A27FB04}"/>
            </a:ext>
          </a:extLst>
        </xdr:cNvPr>
        <xdr:cNvSpPr>
          <a:spLocks noChangeShapeType="1"/>
        </xdr:cNvSpPr>
      </xdr:nvSpPr>
      <xdr:spPr bwMode="auto">
        <a:xfrm>
          <a:off x="7715249" y="952501"/>
          <a:ext cx="1" cy="209549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104774</xdr:colOff>
      <xdr:row>5</xdr:row>
      <xdr:rowOff>142876</xdr:rowOff>
    </xdr:from>
    <xdr:to>
      <xdr:col>10</xdr:col>
      <xdr:colOff>104775</xdr:colOff>
      <xdr:row>18</xdr:row>
      <xdr:rowOff>133350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ABAB03B0-063A-44E3-8397-E23D4CB109A4}"/>
            </a:ext>
          </a:extLst>
        </xdr:cNvPr>
        <xdr:cNvSpPr>
          <a:spLocks noChangeShapeType="1"/>
        </xdr:cNvSpPr>
      </xdr:nvSpPr>
      <xdr:spPr bwMode="auto">
        <a:xfrm>
          <a:off x="7724774" y="952501"/>
          <a:ext cx="1" cy="209549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E42ECD2-18F2-483D-8D39-F3F19ABB6158}" name="Tableau75" displayName="Tableau75" ref="A10:T59" totalsRowShown="0" tableBorderDxfId="31">
  <autoFilter ref="A10:T59" xr:uid="{49E9205D-121C-47F4-BDE9-957C764D00E7}"/>
  <sortState xmlns:xlrd2="http://schemas.microsoft.com/office/spreadsheetml/2017/richdata2" ref="A11:T59">
    <sortCondition ref="C10:C59"/>
  </sortState>
  <tableColumns count="20">
    <tableColumn id="1" xr3:uid="{E1C4A55E-D35D-4778-9153-65203AD8D5F8}" name="NIVEAU" dataDxfId="30"/>
    <tableColumn id="2" xr3:uid="{0A7E0CE2-CFD3-4B62-84A5-496F41F102D7}" name="LIV N°" dataDxfId="29"/>
    <tableColumn id="3" xr3:uid="{FE5BAAC4-FFFD-4908-A3A3-B266A551F97B}" name="LIV" dataDxfId="28"/>
    <tableColumn id="4" xr3:uid="{1424682D-0C6E-4F59-BB43-768A918C5378}" name="FAB" dataDxfId="27"/>
    <tableColumn id="6" xr3:uid="{E06B5517-4F0D-494A-A963-48C450DBCC7D}" name="PREVI" dataDxfId="26"/>
    <tableColumn id="7" xr3:uid="{FA939771-5A9F-4FA9-A87A-F50B3519FC88}" name="CONTROL2" dataDxfId="25"/>
    <tableColumn id="8" xr3:uid="{AFA0EAE0-D3B5-4908-B32B-5F09CC1EB719}" name="PREVI ARM" dataDxfId="24"/>
    <tableColumn id="9" xr3:uid="{BE25A8E4-5DF0-4EA9-B053-C08141FE52BA}" name="INFO" dataDxfId="23"/>
    <tableColumn id="10" xr3:uid="{91EEFB04-5930-4262-AF59-C85C3C58F7BF}" name="BETON ml" dataDxfId="22"/>
    <tableColumn id="11" xr3:uid="{8D331AB2-0EC3-4843-A8E1-20466E80A2D6}" name="REP" dataDxfId="21"/>
    <tableColumn id="12" xr3:uid="{482CF1DD-7527-4FC9-B459-6105BBFB0F60}" name="NB" dataDxfId="20"/>
    <tableColumn id="13" xr3:uid="{721B00EE-A2C8-44AE-A55B-93B399C5E7C3}" name="LARG" dataDxfId="19"/>
    <tableColumn id="14" xr3:uid="{AE0E01C3-2287-4487-BB67-FD1BFE35F6BD}" name="HAUTEUR" dataDxfId="18"/>
    <tableColumn id="15" xr3:uid="{3AC55CFD-B115-43AE-9446-081BFEFE2C1B}" name="LONG" dataDxfId="17"/>
    <tableColumn id="16" xr3:uid="{D768621D-6318-441C-A19C-B7030B83012E}" name="LONG ARM" dataDxfId="16"/>
    <tableColumn id="17" xr3:uid="{F66CE64D-2DAC-40BA-AD82-C9362BAF5554}" name="BETON" dataDxfId="15"/>
    <tableColumn id="18" xr3:uid="{0EC1AF94-C7CD-4B6E-9CC2-27423A99759B}" name="POIDS" dataDxfId="14"/>
    <tableColumn id="19" xr3:uid="{4B6638BC-8CBB-4000-BEBA-B1FFFCC07E75}" name="Tubes GC" dataDxfId="13"/>
    <tableColumn id="20" xr3:uid="{B3877D39-A744-43CE-9BF5-6380DE173E91}" name="RESERV" dataDxfId="12"/>
    <tableColumn id="21" xr3:uid="{5544CA42-AF47-4CAB-906A-9E95762BEFC1}" name="RESERV4" dataDxfId="1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3313A-5F12-4FAB-8FB1-F0308A018F23}">
  <sheetPr>
    <tabColor theme="3" tint="0.39997558519241921"/>
    <pageSetUpPr fitToPage="1"/>
  </sheetPr>
  <dimension ref="A1:W93"/>
  <sheetViews>
    <sheetView tabSelected="1" topLeftCell="A4" zoomScale="85" zoomScaleNormal="85" workbookViewId="0">
      <selection activeCell="C5" sqref="C5:J5"/>
    </sheetView>
  </sheetViews>
  <sheetFormatPr baseColWidth="10" defaultRowHeight="12.75" x14ac:dyDescent="0.2"/>
  <cols>
    <col min="1" max="4" width="11.42578125" style="1"/>
    <col min="5" max="5" width="12.85546875" style="1" customWidth="1"/>
    <col min="6" max="7" width="12" style="1" customWidth="1"/>
    <col min="8" max="8" width="13.140625" style="1" customWidth="1"/>
    <col min="9" max="9" width="15.42578125" style="1" customWidth="1"/>
    <col min="10" max="10" width="12" style="1" customWidth="1"/>
    <col min="11" max="15" width="11.42578125" style="1"/>
    <col min="16" max="16" width="13" style="1" customWidth="1"/>
    <col min="17" max="18" width="11.42578125" style="1"/>
    <col min="19" max="19" width="11.7109375" style="1" customWidth="1"/>
    <col min="20" max="20" width="11.42578125" style="1"/>
    <col min="21" max="21" width="11.7109375" style="1" customWidth="1"/>
    <col min="22" max="22" width="11.42578125" style="1"/>
    <col min="23" max="23" width="14.140625" style="1" customWidth="1"/>
    <col min="24" max="16384" width="11.42578125" style="1"/>
  </cols>
  <sheetData>
    <row r="1" spans="1:23" ht="18.75" thickBot="1" x14ac:dyDescent="0.3">
      <c r="A1" s="158" t="s">
        <v>150</v>
      </c>
      <c r="B1" s="157"/>
      <c r="C1" s="157"/>
      <c r="D1" s="157"/>
      <c r="E1" s="157"/>
      <c r="F1" s="157"/>
      <c r="G1" s="157"/>
      <c r="H1" s="157"/>
      <c r="I1" s="157"/>
      <c r="J1" s="156"/>
      <c r="K1" s="34"/>
      <c r="Q1" s="17" t="s">
        <v>149</v>
      </c>
      <c r="R1" s="155" t="s">
        <v>148</v>
      </c>
      <c r="S1" s="154" t="s">
        <v>89</v>
      </c>
      <c r="T1" s="153" t="s">
        <v>147</v>
      </c>
      <c r="U1" s="152"/>
      <c r="V1" s="151" t="s">
        <v>146</v>
      </c>
      <c r="W1" s="151"/>
    </row>
    <row r="2" spans="1:23" ht="16.5" thickBot="1" x14ac:dyDescent="0.3">
      <c r="A2" s="150" t="s">
        <v>145</v>
      </c>
      <c r="B2" s="149"/>
      <c r="C2" s="148"/>
      <c r="D2" s="147"/>
      <c r="E2" s="147"/>
      <c r="F2" s="147"/>
      <c r="G2" s="147"/>
      <c r="H2" s="147"/>
      <c r="I2" s="147"/>
      <c r="J2" s="146"/>
      <c r="K2" s="142"/>
      <c r="M2" s="115" t="s">
        <v>144</v>
      </c>
      <c r="N2" s="118"/>
      <c r="O2" s="114"/>
      <c r="P2" s="145"/>
      <c r="Q2" s="132"/>
      <c r="R2" s="144">
        <f ca="1">+NOW()</f>
        <v>43740.669070023148</v>
      </c>
      <c r="S2" s="120" t="s">
        <v>143</v>
      </c>
      <c r="T2" s="109" t="s">
        <v>142</v>
      </c>
      <c r="U2" s="143" t="s">
        <v>141</v>
      </c>
      <c r="V2" s="36"/>
    </row>
    <row r="3" spans="1:23" ht="16.5" thickBot="1" x14ac:dyDescent="0.3">
      <c r="A3" s="138" t="s">
        <v>140</v>
      </c>
      <c r="B3" s="137"/>
      <c r="C3" s="136"/>
      <c r="D3" s="135"/>
      <c r="E3" s="135"/>
      <c r="F3" s="135"/>
      <c r="G3" s="135"/>
      <c r="H3" s="135"/>
      <c r="I3" s="135"/>
      <c r="J3" s="134"/>
      <c r="K3" s="142"/>
      <c r="M3" s="78" t="s">
        <v>139</v>
      </c>
      <c r="N3" s="78" t="s">
        <v>138</v>
      </c>
      <c r="O3" s="141" t="s">
        <v>137</v>
      </c>
      <c r="P3" s="140"/>
      <c r="Q3" s="140"/>
      <c r="R3" s="139"/>
      <c r="S3" s="120" t="s">
        <v>136</v>
      </c>
      <c r="T3" s="110" t="s">
        <v>135</v>
      </c>
      <c r="U3" s="119"/>
      <c r="V3" s="36"/>
    </row>
    <row r="4" spans="1:23" ht="16.5" thickBot="1" x14ac:dyDescent="0.3">
      <c r="A4" s="138" t="s">
        <v>134</v>
      </c>
      <c r="B4" s="137"/>
      <c r="C4" s="136"/>
      <c r="D4" s="135"/>
      <c r="E4" s="135"/>
      <c r="F4" s="135"/>
      <c r="G4" s="135"/>
      <c r="H4" s="135"/>
      <c r="I4" s="135"/>
      <c r="J4" s="134"/>
      <c r="K4" s="36"/>
      <c r="L4" s="125" t="s">
        <v>133</v>
      </c>
      <c r="M4" s="124"/>
      <c r="N4" s="123"/>
      <c r="O4" s="133" t="s">
        <v>132</v>
      </c>
      <c r="P4" s="133"/>
      <c r="Q4" s="132" t="s">
        <v>131</v>
      </c>
      <c r="R4" s="131" t="s">
        <v>130</v>
      </c>
      <c r="S4" s="26" t="s">
        <v>129</v>
      </c>
      <c r="T4" s="110" t="s">
        <v>128</v>
      </c>
      <c r="U4" s="119"/>
      <c r="V4" s="36"/>
    </row>
    <row r="5" spans="1:23" ht="16.5" thickBot="1" x14ac:dyDescent="0.3">
      <c r="A5" s="130" t="s">
        <v>127</v>
      </c>
      <c r="B5" s="129"/>
      <c r="C5" s="128"/>
      <c r="D5" s="127"/>
      <c r="E5" s="127"/>
      <c r="F5" s="127"/>
      <c r="G5" s="127"/>
      <c r="H5" s="127"/>
      <c r="I5" s="127"/>
      <c r="J5" s="126"/>
      <c r="L5" s="125" t="s">
        <v>126</v>
      </c>
      <c r="M5" s="124"/>
      <c r="N5" s="123"/>
      <c r="O5" s="122" t="s">
        <v>125</v>
      </c>
      <c r="P5" s="121"/>
      <c r="Q5" s="36"/>
      <c r="R5" s="36" t="s">
        <v>124</v>
      </c>
      <c r="S5" s="120" t="s">
        <v>123</v>
      </c>
      <c r="T5" s="110" t="s">
        <v>122</v>
      </c>
      <c r="U5" s="119"/>
      <c r="V5" s="36"/>
    </row>
    <row r="6" spans="1:23" ht="13.5" thickBot="1" x14ac:dyDescent="0.25">
      <c r="A6" s="115" t="s">
        <v>121</v>
      </c>
      <c r="B6" s="118"/>
      <c r="C6" s="118"/>
      <c r="D6" s="118"/>
      <c r="E6" s="118"/>
      <c r="F6" s="118"/>
      <c r="G6" s="118"/>
      <c r="H6" s="118"/>
      <c r="I6" s="118"/>
      <c r="J6" s="114"/>
      <c r="K6" s="110" t="s">
        <v>120</v>
      </c>
      <c r="L6" s="117" t="s">
        <v>119</v>
      </c>
      <c r="M6" s="116"/>
      <c r="N6" s="115" t="s">
        <v>118</v>
      </c>
      <c r="O6" s="114"/>
      <c r="P6" s="35"/>
      <c r="Q6" s="36"/>
      <c r="R6" s="36" t="s">
        <v>117</v>
      </c>
      <c r="S6" s="113" t="s">
        <v>116</v>
      </c>
      <c r="T6" s="104" t="s">
        <v>115</v>
      </c>
      <c r="U6" s="36"/>
      <c r="V6" s="36"/>
    </row>
    <row r="7" spans="1:23" ht="13.5" thickBot="1" x14ac:dyDescent="0.25">
      <c r="A7" s="110"/>
      <c r="B7" s="108" t="s">
        <v>114</v>
      </c>
      <c r="C7" s="110"/>
      <c r="D7" s="112"/>
      <c r="E7" s="112"/>
      <c r="F7" s="106" t="s">
        <v>114</v>
      </c>
      <c r="G7" s="111"/>
      <c r="H7" s="111"/>
      <c r="I7" s="110"/>
      <c r="J7" s="106" t="s">
        <v>114</v>
      </c>
      <c r="L7" s="109">
        <v>0</v>
      </c>
      <c r="M7" s="108" t="s">
        <v>113</v>
      </c>
      <c r="N7" s="107"/>
      <c r="O7" s="106" t="s">
        <v>112</v>
      </c>
      <c r="P7" s="14"/>
      <c r="Q7" s="36"/>
      <c r="R7" s="36" t="s">
        <v>111</v>
      </c>
      <c r="S7" s="105" t="s">
        <v>110</v>
      </c>
      <c r="T7" s="104"/>
      <c r="U7" s="36"/>
      <c r="V7" s="36"/>
    </row>
    <row r="8" spans="1:23" ht="13.5" thickBot="1" x14ac:dyDescent="0.25">
      <c r="I8" s="99"/>
      <c r="R8" s="36" t="s">
        <v>109</v>
      </c>
      <c r="S8" s="103" t="s">
        <v>108</v>
      </c>
      <c r="T8" s="102"/>
      <c r="U8" s="101"/>
    </row>
    <row r="9" spans="1:23" ht="13.5" thickBot="1" x14ac:dyDescent="0.25">
      <c r="F9" s="100"/>
      <c r="G9" s="99"/>
      <c r="H9" s="99"/>
      <c r="I9" s="99"/>
      <c r="R9" s="98" t="s">
        <v>107</v>
      </c>
      <c r="S9" s="97" t="s">
        <v>106</v>
      </c>
      <c r="T9" s="96" t="s">
        <v>105</v>
      </c>
      <c r="U9" s="96" t="s">
        <v>105</v>
      </c>
    </row>
    <row r="10" spans="1:23" ht="13.5" thickBot="1" x14ac:dyDescent="0.25">
      <c r="A10" s="95" t="s">
        <v>104</v>
      </c>
      <c r="B10" s="94" t="s">
        <v>103</v>
      </c>
      <c r="C10" s="93" t="s">
        <v>102</v>
      </c>
      <c r="D10" s="35" t="s">
        <v>101</v>
      </c>
      <c r="E10" s="90" t="s">
        <v>100</v>
      </c>
      <c r="F10" s="92" t="s">
        <v>99</v>
      </c>
      <c r="G10" s="92" t="s">
        <v>98</v>
      </c>
      <c r="H10" s="91" t="s">
        <v>97</v>
      </c>
      <c r="I10" s="91" t="s">
        <v>96</v>
      </c>
      <c r="J10" s="91" t="s">
        <v>95</v>
      </c>
      <c r="K10" s="91" t="s">
        <v>94</v>
      </c>
      <c r="L10" s="91" t="s">
        <v>93</v>
      </c>
      <c r="M10" s="91" t="s">
        <v>92</v>
      </c>
      <c r="N10" s="91" t="s">
        <v>91</v>
      </c>
      <c r="O10" s="91" t="s">
        <v>90</v>
      </c>
      <c r="P10" s="91" t="s">
        <v>89</v>
      </c>
      <c r="Q10" s="90" t="s">
        <v>88</v>
      </c>
      <c r="R10" s="89" t="s">
        <v>87</v>
      </c>
      <c r="S10" s="89" t="s">
        <v>86</v>
      </c>
      <c r="T10" s="89" t="s">
        <v>85</v>
      </c>
    </row>
    <row r="11" spans="1:23" ht="13.5" thickBot="1" x14ac:dyDescent="0.25">
      <c r="A11" s="88" t="s">
        <v>84</v>
      </c>
      <c r="B11" s="40"/>
      <c r="C11" s="87">
        <v>0.1</v>
      </c>
      <c r="D11" s="81"/>
      <c r="E11" s="86"/>
      <c r="F11" s="85"/>
      <c r="G11" s="85"/>
      <c r="H11" s="82"/>
      <c r="I11" s="84" t="s">
        <v>83</v>
      </c>
      <c r="J11" s="83"/>
      <c r="K11" s="82"/>
      <c r="L11" s="82"/>
      <c r="M11" s="82"/>
      <c r="N11" s="82"/>
      <c r="O11" s="81"/>
      <c r="P11" s="80" t="s">
        <v>82</v>
      </c>
      <c r="Q11" s="79"/>
      <c r="R11" s="78"/>
      <c r="S11" s="77" t="s">
        <v>81</v>
      </c>
      <c r="T11" s="77" t="s">
        <v>80</v>
      </c>
    </row>
    <row r="12" spans="1:23" x14ac:dyDescent="0.2">
      <c r="A12" s="76"/>
      <c r="B12" s="68"/>
      <c r="C12" s="67">
        <v>1</v>
      </c>
      <c r="D12" s="66"/>
      <c r="E12" s="54"/>
      <c r="F12" s="65"/>
      <c r="G12" s="64">
        <v>43741</v>
      </c>
      <c r="H12" s="63"/>
      <c r="I12" s="62">
        <f>+N12/100</f>
        <v>5.77</v>
      </c>
      <c r="J12" s="75" t="s">
        <v>79</v>
      </c>
      <c r="K12" s="63">
        <v>1</v>
      </c>
      <c r="L12" s="63">
        <v>50</v>
      </c>
      <c r="M12" s="63">
        <v>37</v>
      </c>
      <c r="N12" s="63">
        <v>577</v>
      </c>
      <c r="O12" s="74">
        <v>589</v>
      </c>
      <c r="P12" s="73">
        <f>L12*M12*N12/1000000</f>
        <v>1.06745</v>
      </c>
      <c r="Q12" s="72">
        <f>P12*2.5</f>
        <v>2.668625</v>
      </c>
      <c r="R12" s="63">
        <f>ROUNDUP(N12/150,0)</f>
        <v>4</v>
      </c>
      <c r="S12" s="63"/>
      <c r="T12" s="63"/>
    </row>
    <row r="13" spans="1:23" x14ac:dyDescent="0.2">
      <c r="A13" s="69"/>
      <c r="B13" s="68"/>
      <c r="C13" s="67">
        <v>2</v>
      </c>
      <c r="D13" s="66"/>
      <c r="E13" s="54"/>
      <c r="F13" s="65"/>
      <c r="G13" s="64">
        <v>43741</v>
      </c>
      <c r="H13" s="63" t="s">
        <v>33</v>
      </c>
      <c r="I13" s="62">
        <f>+N13/100</f>
        <v>0</v>
      </c>
      <c r="J13" s="61" t="s">
        <v>78</v>
      </c>
      <c r="K13" s="57"/>
      <c r="L13" s="57"/>
      <c r="M13" s="57"/>
      <c r="N13" s="57"/>
      <c r="O13" s="60"/>
      <c r="P13" s="59">
        <f>L13*M13*N13/1000000</f>
        <v>0</v>
      </c>
      <c r="Q13" s="58">
        <f>P13*2.5</f>
        <v>0</v>
      </c>
      <c r="R13" s="57"/>
      <c r="S13" s="57"/>
      <c r="T13" s="57"/>
    </row>
    <row r="14" spans="1:23" x14ac:dyDescent="0.2">
      <c r="A14" s="69"/>
      <c r="B14" s="68"/>
      <c r="C14" s="67">
        <v>3</v>
      </c>
      <c r="D14" s="66"/>
      <c r="E14" s="54"/>
      <c r="F14" s="65"/>
      <c r="G14" s="64">
        <v>43741</v>
      </c>
      <c r="H14" s="63"/>
      <c r="I14" s="62">
        <f>+N14/100</f>
        <v>4.84</v>
      </c>
      <c r="J14" s="71" t="s">
        <v>77</v>
      </c>
      <c r="K14" s="57">
        <v>1</v>
      </c>
      <c r="L14" s="57">
        <v>50</v>
      </c>
      <c r="M14" s="57">
        <v>15</v>
      </c>
      <c r="N14" s="57">
        <v>484</v>
      </c>
      <c r="O14" s="60">
        <v>512</v>
      </c>
      <c r="P14" s="59">
        <f>L14*M14*N14/1000000</f>
        <v>0.36299999999999999</v>
      </c>
      <c r="Q14" s="58">
        <f>P14*2.5</f>
        <v>0.90749999999999997</v>
      </c>
      <c r="R14" s="57">
        <f>ROUNDUP(N14/150,0)</f>
        <v>4</v>
      </c>
      <c r="S14" s="57"/>
      <c r="T14" s="57"/>
    </row>
    <row r="15" spans="1:23" x14ac:dyDescent="0.2">
      <c r="A15" s="69"/>
      <c r="B15" s="68"/>
      <c r="C15" s="67">
        <v>4</v>
      </c>
      <c r="D15" s="66"/>
      <c r="E15" s="54"/>
      <c r="F15" s="65"/>
      <c r="G15" s="64">
        <v>43741</v>
      </c>
      <c r="H15" s="63"/>
      <c r="I15" s="62">
        <f>+N15/100</f>
        <v>3.29</v>
      </c>
      <c r="J15" s="71" t="s">
        <v>76</v>
      </c>
      <c r="K15" s="57">
        <v>1</v>
      </c>
      <c r="L15" s="57">
        <v>40</v>
      </c>
      <c r="M15" s="57">
        <v>15</v>
      </c>
      <c r="N15" s="57">
        <v>329</v>
      </c>
      <c r="O15" s="60">
        <v>341</v>
      </c>
      <c r="P15" s="59">
        <f>L15*M15*N15/1000000</f>
        <v>0.19739999999999999</v>
      </c>
      <c r="Q15" s="58">
        <f>P15*2.5</f>
        <v>0.49349999999999999</v>
      </c>
      <c r="R15" s="57">
        <f>ROUNDUP(N15/150,0)</f>
        <v>3</v>
      </c>
      <c r="S15" s="57"/>
      <c r="T15" s="57"/>
    </row>
    <row r="16" spans="1:23" x14ac:dyDescent="0.2">
      <c r="A16" s="69"/>
      <c r="B16" s="68"/>
      <c r="C16" s="67">
        <v>5</v>
      </c>
      <c r="D16" s="66"/>
      <c r="E16" s="54"/>
      <c r="F16" s="65"/>
      <c r="G16" s="64">
        <v>43741</v>
      </c>
      <c r="H16" s="63"/>
      <c r="I16" s="62">
        <f>+N16/100</f>
        <v>3.33</v>
      </c>
      <c r="J16" s="70" t="s">
        <v>75</v>
      </c>
      <c r="K16" s="57">
        <v>1</v>
      </c>
      <c r="L16" s="57">
        <v>60</v>
      </c>
      <c r="M16" s="57">
        <v>37</v>
      </c>
      <c r="N16" s="57">
        <v>333</v>
      </c>
      <c r="O16" s="60">
        <v>385</v>
      </c>
      <c r="P16" s="59">
        <f>L16*M16*N16/1000000-0.22*0.9*0.6</f>
        <v>0.62046000000000001</v>
      </c>
      <c r="Q16" s="58">
        <f>P16*2.5</f>
        <v>1.55115</v>
      </c>
      <c r="R16" s="57">
        <f>ROUNDUP(N16/150,0)</f>
        <v>3</v>
      </c>
      <c r="S16" s="57"/>
      <c r="T16" s="57">
        <v>1</v>
      </c>
    </row>
    <row r="17" spans="1:20" x14ac:dyDescent="0.2">
      <c r="A17" s="69"/>
      <c r="B17" s="68"/>
      <c r="C17" s="67">
        <v>6</v>
      </c>
      <c r="D17" s="66"/>
      <c r="E17" s="54"/>
      <c r="F17" s="65"/>
      <c r="G17" s="64">
        <v>43741</v>
      </c>
      <c r="H17" s="63"/>
      <c r="I17" s="62">
        <f>+N17/100</f>
        <v>4.84</v>
      </c>
      <c r="J17" s="71" t="s">
        <v>74</v>
      </c>
      <c r="K17" s="57">
        <v>1</v>
      </c>
      <c r="L17" s="57">
        <v>50</v>
      </c>
      <c r="M17" s="57">
        <v>37</v>
      </c>
      <c r="N17" s="57">
        <v>484</v>
      </c>
      <c r="O17" s="60">
        <v>508</v>
      </c>
      <c r="P17" s="59">
        <f>L17*M17*N17/1000000</f>
        <v>0.89539999999999997</v>
      </c>
      <c r="Q17" s="58">
        <f>P17*2.5</f>
        <v>2.2385000000000002</v>
      </c>
      <c r="R17" s="57">
        <f>ROUNDUP(N17/150,0)</f>
        <v>4</v>
      </c>
      <c r="S17" s="57"/>
      <c r="T17" s="57"/>
    </row>
    <row r="18" spans="1:20" x14ac:dyDescent="0.2">
      <c r="A18" s="69"/>
      <c r="B18" s="68"/>
      <c r="C18" s="67">
        <v>7</v>
      </c>
      <c r="D18" s="66"/>
      <c r="E18" s="54"/>
      <c r="F18" s="65"/>
      <c r="G18" s="64">
        <v>43741</v>
      </c>
      <c r="H18" s="63"/>
      <c r="I18" s="62">
        <f>+N18/100</f>
        <v>4.84</v>
      </c>
      <c r="J18" s="71" t="s">
        <v>73</v>
      </c>
      <c r="K18" s="57">
        <v>1</v>
      </c>
      <c r="L18" s="57">
        <v>40</v>
      </c>
      <c r="M18" s="57">
        <v>37</v>
      </c>
      <c r="N18" s="57">
        <v>484</v>
      </c>
      <c r="O18" s="60">
        <v>515</v>
      </c>
      <c r="P18" s="59">
        <f>L18*M18*N18/1000000</f>
        <v>0.71631999999999996</v>
      </c>
      <c r="Q18" s="58">
        <f>P18*2.5</f>
        <v>1.7907999999999999</v>
      </c>
      <c r="R18" s="57">
        <f>ROUNDUP(N18/150,0)</f>
        <v>4</v>
      </c>
      <c r="S18" s="57"/>
      <c r="T18" s="57">
        <v>1</v>
      </c>
    </row>
    <row r="19" spans="1:20" x14ac:dyDescent="0.2">
      <c r="A19" s="69"/>
      <c r="B19" s="68"/>
      <c r="C19" s="67">
        <v>8</v>
      </c>
      <c r="D19" s="66"/>
      <c r="E19" s="54"/>
      <c r="F19" s="65"/>
      <c r="G19" s="64">
        <v>43741</v>
      </c>
      <c r="H19" s="63"/>
      <c r="I19" s="62">
        <f>+N19/100</f>
        <v>2.8</v>
      </c>
      <c r="J19" s="70" t="s">
        <v>72</v>
      </c>
      <c r="K19" s="57">
        <v>1</v>
      </c>
      <c r="L19" s="57">
        <v>60</v>
      </c>
      <c r="M19" s="57">
        <v>37</v>
      </c>
      <c r="N19" s="57">
        <v>280</v>
      </c>
      <c r="O19" s="60">
        <v>385</v>
      </c>
      <c r="P19" s="59">
        <f>L19*M19*N19/1000000</f>
        <v>0.62160000000000004</v>
      </c>
      <c r="Q19" s="58">
        <f>P19*2.5</f>
        <v>1.554</v>
      </c>
      <c r="R19" s="57">
        <f>ROUNDUP(N19/150,0)</f>
        <v>2</v>
      </c>
      <c r="S19" s="57"/>
      <c r="T19" s="57"/>
    </row>
    <row r="20" spans="1:20" x14ac:dyDescent="0.2">
      <c r="A20" s="69"/>
      <c r="B20" s="68"/>
      <c r="C20" s="67">
        <v>9</v>
      </c>
      <c r="D20" s="66"/>
      <c r="E20" s="54"/>
      <c r="F20" s="65"/>
      <c r="G20" s="64">
        <v>43741</v>
      </c>
      <c r="H20" s="63"/>
      <c r="I20" s="62">
        <f>+N20/100</f>
        <v>4.84</v>
      </c>
      <c r="J20" s="71" t="s">
        <v>71</v>
      </c>
      <c r="K20" s="57">
        <v>1</v>
      </c>
      <c r="L20" s="57">
        <v>50</v>
      </c>
      <c r="M20" s="57">
        <v>37</v>
      </c>
      <c r="N20" s="57">
        <v>484</v>
      </c>
      <c r="O20" s="60">
        <v>512</v>
      </c>
      <c r="P20" s="59">
        <f>L20*M20*N20/1000000-(1.63+1.37)*0.15*0.5-0.48*0.22*0.5-0.22*0.14*0.5</f>
        <v>0.60220000000000007</v>
      </c>
      <c r="Q20" s="58">
        <f>P20*2.5</f>
        <v>1.5055000000000001</v>
      </c>
      <c r="R20" s="57">
        <f>ROUNDUP(N20/150,0)</f>
        <v>4</v>
      </c>
      <c r="S20" s="57">
        <v>1</v>
      </c>
      <c r="T20" s="57">
        <v>4</v>
      </c>
    </row>
    <row r="21" spans="1:20" x14ac:dyDescent="0.2">
      <c r="A21" s="69"/>
      <c r="B21" s="68"/>
      <c r="C21" s="67">
        <v>10</v>
      </c>
      <c r="D21" s="66"/>
      <c r="E21" s="54"/>
      <c r="F21" s="65"/>
      <c r="G21" s="64">
        <v>43741</v>
      </c>
      <c r="H21" s="63"/>
      <c r="I21" s="62">
        <f>+N21/100</f>
        <v>6.375</v>
      </c>
      <c r="J21" s="71" t="s">
        <v>70</v>
      </c>
      <c r="K21" s="57">
        <v>1</v>
      </c>
      <c r="L21" s="57">
        <v>40</v>
      </c>
      <c r="M21" s="57">
        <v>37</v>
      </c>
      <c r="N21" s="57">
        <v>637.5</v>
      </c>
      <c r="O21" s="60">
        <v>637</v>
      </c>
      <c r="P21" s="59">
        <f>L21*M21*N21/1000000-(0.95+0.5+1.1)*0.22*0.4</f>
        <v>0.71910000000000007</v>
      </c>
      <c r="Q21" s="58">
        <f>P21*2.5</f>
        <v>1.7977500000000002</v>
      </c>
      <c r="R21" s="57">
        <f>ROUNDUP(N21/150,0)</f>
        <v>5</v>
      </c>
      <c r="S21" s="57">
        <v>2</v>
      </c>
      <c r="T21" s="57">
        <v>3</v>
      </c>
    </row>
    <row r="22" spans="1:20" x14ac:dyDescent="0.2">
      <c r="A22" s="69"/>
      <c r="B22" s="68"/>
      <c r="C22" s="67">
        <v>11</v>
      </c>
      <c r="D22" s="66"/>
      <c r="E22" s="54"/>
      <c r="F22" s="65"/>
      <c r="G22" s="64">
        <v>43741</v>
      </c>
      <c r="H22" s="63"/>
      <c r="I22" s="62">
        <f>+N22/100</f>
        <v>2.81</v>
      </c>
      <c r="J22" s="71" t="s">
        <v>69</v>
      </c>
      <c r="K22" s="57">
        <v>1</v>
      </c>
      <c r="L22" s="57">
        <v>30</v>
      </c>
      <c r="M22" s="57">
        <v>15</v>
      </c>
      <c r="N22" s="57">
        <v>281</v>
      </c>
      <c r="O22" s="60">
        <v>281</v>
      </c>
      <c r="P22" s="59">
        <f>L22*M22*N22/1000000</f>
        <v>0.12645000000000001</v>
      </c>
      <c r="Q22" s="58">
        <f>P22*2.5</f>
        <v>0.31612499999999999</v>
      </c>
      <c r="R22" s="57">
        <f>ROUNDUP(N22/150,0)</f>
        <v>2</v>
      </c>
      <c r="S22" s="57"/>
      <c r="T22" s="57"/>
    </row>
    <row r="23" spans="1:20" x14ac:dyDescent="0.2">
      <c r="A23" s="69"/>
      <c r="B23" s="68"/>
      <c r="C23" s="67">
        <v>12</v>
      </c>
      <c r="D23" s="66"/>
      <c r="E23" s="54"/>
      <c r="F23" s="65"/>
      <c r="G23" s="64">
        <v>43741</v>
      </c>
      <c r="H23" s="63"/>
      <c r="I23" s="62">
        <f>+N23/100</f>
        <v>4.84</v>
      </c>
      <c r="J23" s="70" t="s">
        <v>68</v>
      </c>
      <c r="K23" s="57">
        <v>1</v>
      </c>
      <c r="L23" s="57">
        <v>60</v>
      </c>
      <c r="M23" s="57">
        <v>37</v>
      </c>
      <c r="N23" s="57">
        <v>484</v>
      </c>
      <c r="O23" s="60">
        <v>525</v>
      </c>
      <c r="P23" s="59">
        <f>L23*M23*N23/1000000-(0.22+0.44+0.12)*0.22*0.6</f>
        <v>0.97152000000000016</v>
      </c>
      <c r="Q23" s="58">
        <f>P23*2.5</f>
        <v>2.4288000000000003</v>
      </c>
      <c r="R23" s="57">
        <f>ROUNDUP(N23/150,0)</f>
        <v>4</v>
      </c>
      <c r="S23" s="57">
        <v>1</v>
      </c>
      <c r="T23" s="57">
        <v>2</v>
      </c>
    </row>
    <row r="24" spans="1:20" x14ac:dyDescent="0.2">
      <c r="A24" s="69"/>
      <c r="B24" s="68"/>
      <c r="C24" s="67">
        <v>13</v>
      </c>
      <c r="D24" s="66"/>
      <c r="E24" s="54"/>
      <c r="F24" s="65"/>
      <c r="G24" s="64">
        <v>43741</v>
      </c>
      <c r="H24" s="63"/>
      <c r="I24" s="62">
        <f>+N24/100</f>
        <v>2.81</v>
      </c>
      <c r="J24" s="71" t="s">
        <v>67</v>
      </c>
      <c r="K24" s="57">
        <v>1</v>
      </c>
      <c r="L24" s="57">
        <v>30</v>
      </c>
      <c r="M24" s="57">
        <v>15</v>
      </c>
      <c r="N24" s="57">
        <v>281</v>
      </c>
      <c r="O24" s="60">
        <v>281</v>
      </c>
      <c r="P24" s="59">
        <f>L24*M24*N24/1000000</f>
        <v>0.12645000000000001</v>
      </c>
      <c r="Q24" s="58">
        <f>P24*2.5</f>
        <v>0.31612499999999999</v>
      </c>
      <c r="R24" s="57">
        <f>ROUNDUP(N24/150,0)</f>
        <v>2</v>
      </c>
      <c r="S24" s="57"/>
      <c r="T24" s="57"/>
    </row>
    <row r="25" spans="1:20" x14ac:dyDescent="0.2">
      <c r="A25" s="69"/>
      <c r="B25" s="68"/>
      <c r="C25" s="67">
        <v>14</v>
      </c>
      <c r="D25" s="66"/>
      <c r="E25" s="54"/>
      <c r="F25" s="65"/>
      <c r="G25" s="64">
        <v>43741</v>
      </c>
      <c r="H25" s="63"/>
      <c r="I25" s="62">
        <f>+N25/100</f>
        <v>3.7549999999999999</v>
      </c>
      <c r="J25" s="71" t="s">
        <v>66</v>
      </c>
      <c r="K25" s="57">
        <v>1</v>
      </c>
      <c r="L25" s="57">
        <v>40</v>
      </c>
      <c r="M25" s="57">
        <v>15</v>
      </c>
      <c r="N25" s="57">
        <v>375.5</v>
      </c>
      <c r="O25" s="60">
        <v>375</v>
      </c>
      <c r="P25" s="59">
        <f>L25*M25*N25/1000000</f>
        <v>0.2253</v>
      </c>
      <c r="Q25" s="58">
        <f>P25*2.5</f>
        <v>0.56325000000000003</v>
      </c>
      <c r="R25" s="57">
        <f>ROUNDUP(N25/150,0)</f>
        <v>3</v>
      </c>
      <c r="S25" s="57"/>
      <c r="T25" s="57"/>
    </row>
    <row r="26" spans="1:20" x14ac:dyDescent="0.2">
      <c r="A26" s="69"/>
      <c r="B26" s="68"/>
      <c r="C26" s="67">
        <v>15</v>
      </c>
      <c r="D26" s="66"/>
      <c r="E26" s="54"/>
      <c r="F26" s="65"/>
      <c r="G26" s="64">
        <v>43741</v>
      </c>
      <c r="H26" s="63"/>
      <c r="I26" s="62">
        <f>+N26/100</f>
        <v>3.7549999999999999</v>
      </c>
      <c r="J26" s="71" t="s">
        <v>65</v>
      </c>
      <c r="K26" s="57">
        <v>1</v>
      </c>
      <c r="L26" s="57">
        <v>40</v>
      </c>
      <c r="M26" s="57">
        <v>15</v>
      </c>
      <c r="N26" s="57">
        <v>375.5</v>
      </c>
      <c r="O26" s="60">
        <v>386</v>
      </c>
      <c r="P26" s="59">
        <f>L26*M26*N26/1000000</f>
        <v>0.2253</v>
      </c>
      <c r="Q26" s="58">
        <f>P26*2.5</f>
        <v>0.56325000000000003</v>
      </c>
      <c r="R26" s="57"/>
      <c r="S26" s="57"/>
      <c r="T26" s="57"/>
    </row>
    <row r="27" spans="1:20" x14ac:dyDescent="0.2">
      <c r="A27" s="69"/>
      <c r="B27" s="68"/>
      <c r="C27" s="67">
        <v>16</v>
      </c>
      <c r="D27" s="66"/>
      <c r="E27" s="54"/>
      <c r="F27" s="65"/>
      <c r="G27" s="64">
        <v>43741</v>
      </c>
      <c r="H27" s="63"/>
      <c r="I27" s="62">
        <f>+N27/100</f>
        <v>3.855</v>
      </c>
      <c r="J27" s="70" t="s">
        <v>64</v>
      </c>
      <c r="K27" s="57">
        <v>1</v>
      </c>
      <c r="L27" s="57">
        <v>60</v>
      </c>
      <c r="M27" s="57">
        <v>15</v>
      </c>
      <c r="N27" s="57">
        <v>385.5</v>
      </c>
      <c r="O27" s="60">
        <v>385</v>
      </c>
      <c r="P27" s="59">
        <f>L27*M27*N27/1000000</f>
        <v>0.34694999999999998</v>
      </c>
      <c r="Q27" s="58">
        <f>P27*2.5</f>
        <v>0.86737500000000001</v>
      </c>
      <c r="R27" s="57">
        <f>ROUNDUP(N27/150,0)</f>
        <v>3</v>
      </c>
      <c r="S27" s="57"/>
      <c r="T27" s="57"/>
    </row>
    <row r="28" spans="1:20" x14ac:dyDescent="0.2">
      <c r="A28" s="69"/>
      <c r="B28" s="68"/>
      <c r="C28" s="67">
        <v>17</v>
      </c>
      <c r="D28" s="66"/>
      <c r="E28" s="54"/>
      <c r="F28" s="65"/>
      <c r="G28" s="64">
        <v>43741</v>
      </c>
      <c r="H28" s="63"/>
      <c r="I28" s="62">
        <f>+N28/100</f>
        <v>6.375</v>
      </c>
      <c r="J28" s="70" t="s">
        <v>63</v>
      </c>
      <c r="K28" s="57">
        <v>1</v>
      </c>
      <c r="L28" s="57">
        <v>60</v>
      </c>
      <c r="M28" s="57">
        <v>37</v>
      </c>
      <c r="N28" s="57">
        <v>637.5</v>
      </c>
      <c r="O28" s="60">
        <v>637</v>
      </c>
      <c r="P28" s="59">
        <f>L28*M28*N28/1000000-(0.98+0.5+1.21)*0.22*0.5</f>
        <v>1.1193499999999998</v>
      </c>
      <c r="Q28" s="58">
        <f>P28*2.5</f>
        <v>2.7983749999999996</v>
      </c>
      <c r="R28" s="57">
        <f>ROUNDUP(N28/150,0)</f>
        <v>5</v>
      </c>
      <c r="S28" s="57">
        <v>2</v>
      </c>
      <c r="T28" s="57">
        <v>3</v>
      </c>
    </row>
    <row r="29" spans="1:20" x14ac:dyDescent="0.2">
      <c r="A29" s="69"/>
      <c r="B29" s="68"/>
      <c r="C29" s="67">
        <v>18</v>
      </c>
      <c r="D29" s="66"/>
      <c r="E29" s="54"/>
      <c r="F29" s="65"/>
      <c r="G29" s="64">
        <v>43741</v>
      </c>
      <c r="H29" s="63"/>
      <c r="I29" s="62">
        <f>+N29/100</f>
        <v>3.34</v>
      </c>
      <c r="J29" s="71" t="s">
        <v>62</v>
      </c>
      <c r="K29" s="57">
        <v>1</v>
      </c>
      <c r="L29" s="57">
        <v>50</v>
      </c>
      <c r="M29" s="57">
        <v>37</v>
      </c>
      <c r="N29" s="57">
        <v>334</v>
      </c>
      <c r="O29" s="60">
        <v>350</v>
      </c>
      <c r="P29" s="59">
        <f>L29*M29*N29/1000000-(1.4+0.9)*0.15*0.5-0.5*0.5*0.15-0.22*0.5*0.12</f>
        <v>0.39470000000000005</v>
      </c>
      <c r="Q29" s="58">
        <f>P29*2.5</f>
        <v>0.98675000000000013</v>
      </c>
      <c r="R29" s="57">
        <f>ROUNDUP(N29/150,0)</f>
        <v>3</v>
      </c>
      <c r="S29" s="57">
        <v>1</v>
      </c>
      <c r="T29" s="57">
        <v>3</v>
      </c>
    </row>
    <row r="30" spans="1:20" x14ac:dyDescent="0.2">
      <c r="A30" s="69"/>
      <c r="B30" s="68"/>
      <c r="C30" s="67">
        <v>19</v>
      </c>
      <c r="D30" s="66"/>
      <c r="E30" s="54"/>
      <c r="F30" s="65"/>
      <c r="G30" s="64">
        <v>43741</v>
      </c>
      <c r="H30" s="63"/>
      <c r="I30" s="62">
        <f>+N30/100</f>
        <v>3.34</v>
      </c>
      <c r="J30" s="71" t="s">
        <v>61</v>
      </c>
      <c r="K30" s="57">
        <v>1</v>
      </c>
      <c r="L30" s="57">
        <v>40</v>
      </c>
      <c r="M30" s="57">
        <v>15</v>
      </c>
      <c r="N30" s="57">
        <v>334</v>
      </c>
      <c r="O30" s="60">
        <v>350</v>
      </c>
      <c r="P30" s="59">
        <f>L30*M30*N30/1000000</f>
        <v>0.20039999999999999</v>
      </c>
      <c r="Q30" s="58">
        <f>P30*2.5</f>
        <v>0.501</v>
      </c>
      <c r="R30" s="57">
        <f>ROUNDUP(N30/150,0)</f>
        <v>3</v>
      </c>
      <c r="S30" s="57"/>
      <c r="T30" s="57"/>
    </row>
    <row r="31" spans="1:20" x14ac:dyDescent="0.2">
      <c r="A31" s="69"/>
      <c r="B31" s="68"/>
      <c r="C31" s="67">
        <v>20</v>
      </c>
      <c r="D31" s="66"/>
      <c r="E31" s="54"/>
      <c r="F31" s="65"/>
      <c r="G31" s="64">
        <v>43741</v>
      </c>
      <c r="H31" s="63"/>
      <c r="I31" s="62">
        <f>+N31/100</f>
        <v>2.9550000000000001</v>
      </c>
      <c r="J31" s="70" t="s">
        <v>60</v>
      </c>
      <c r="K31" s="57">
        <v>1</v>
      </c>
      <c r="L31" s="57">
        <v>60</v>
      </c>
      <c r="M31" s="57">
        <v>15</v>
      </c>
      <c r="N31" s="57">
        <v>295.5</v>
      </c>
      <c r="O31" s="60">
        <v>445</v>
      </c>
      <c r="P31" s="59">
        <f>L31*M31*N31/1000000</f>
        <v>0.26595000000000002</v>
      </c>
      <c r="Q31" s="58">
        <f>P31*2.5</f>
        <v>0.6648750000000001</v>
      </c>
      <c r="R31" s="57">
        <f>ROUNDUP(N31/150,0)</f>
        <v>2</v>
      </c>
      <c r="S31" s="57"/>
      <c r="T31" s="57"/>
    </row>
    <row r="32" spans="1:20" x14ac:dyDescent="0.2">
      <c r="A32" s="69"/>
      <c r="B32" s="68"/>
      <c r="C32" s="67">
        <v>21</v>
      </c>
      <c r="D32" s="66"/>
      <c r="E32" s="54"/>
      <c r="F32" s="65"/>
      <c r="G32" s="64">
        <v>43741</v>
      </c>
      <c r="H32" s="63" t="s">
        <v>33</v>
      </c>
      <c r="I32" s="62">
        <f>+N32/100</f>
        <v>0</v>
      </c>
      <c r="J32" s="61" t="s">
        <v>59</v>
      </c>
      <c r="K32" s="57"/>
      <c r="L32" s="57"/>
      <c r="M32" s="57"/>
      <c r="N32" s="57"/>
      <c r="O32" s="60"/>
      <c r="P32" s="59">
        <f>L32*M32*N32/1000000</f>
        <v>0</v>
      </c>
      <c r="Q32" s="58">
        <f>P32*2.5</f>
        <v>0</v>
      </c>
      <c r="R32" s="57">
        <f>ROUNDUP(N32/150,0)</f>
        <v>0</v>
      </c>
      <c r="S32" s="57"/>
      <c r="T32" s="57"/>
    </row>
    <row r="33" spans="1:20" x14ac:dyDescent="0.2">
      <c r="A33" s="69"/>
      <c r="B33" s="68"/>
      <c r="C33" s="67">
        <v>22</v>
      </c>
      <c r="D33" s="66"/>
      <c r="E33" s="54"/>
      <c r="F33" s="65"/>
      <c r="G33" s="64">
        <v>43741</v>
      </c>
      <c r="H33" s="63"/>
      <c r="I33" s="62">
        <f>+N33/100</f>
        <v>4.84</v>
      </c>
      <c r="J33" s="71" t="s">
        <v>58</v>
      </c>
      <c r="K33" s="57">
        <v>1</v>
      </c>
      <c r="L33" s="57">
        <v>50</v>
      </c>
      <c r="M33" s="57">
        <v>37</v>
      </c>
      <c r="N33" s="57">
        <v>484</v>
      </c>
      <c r="O33" s="60">
        <v>520</v>
      </c>
      <c r="P33" s="59">
        <f>L33*M33*N33/1000000-(1.7+1.5)*0.5*0.15-0.5*0.15*0.5</f>
        <v>0.6179</v>
      </c>
      <c r="Q33" s="58">
        <f>P33*2.5</f>
        <v>1.5447500000000001</v>
      </c>
      <c r="R33" s="57">
        <f>ROUNDUP(N33/150,0)</f>
        <v>4</v>
      </c>
      <c r="S33" s="57"/>
      <c r="T33" s="57">
        <v>3</v>
      </c>
    </row>
    <row r="34" spans="1:20" x14ac:dyDescent="0.2">
      <c r="A34" s="69"/>
      <c r="B34" s="68"/>
      <c r="C34" s="67">
        <v>23</v>
      </c>
      <c r="D34" s="66"/>
      <c r="E34" s="54"/>
      <c r="F34" s="65"/>
      <c r="G34" s="64">
        <v>43741</v>
      </c>
      <c r="H34" s="63"/>
      <c r="I34" s="62">
        <f>+N34/100</f>
        <v>4.24</v>
      </c>
      <c r="J34" s="71" t="s">
        <v>57</v>
      </c>
      <c r="K34" s="57">
        <v>1</v>
      </c>
      <c r="L34" s="57">
        <v>40</v>
      </c>
      <c r="M34" s="57">
        <v>37</v>
      </c>
      <c r="N34" s="57">
        <v>424</v>
      </c>
      <c r="O34" s="60">
        <v>520</v>
      </c>
      <c r="P34" s="59">
        <f>L34*M34*N34/1000000</f>
        <v>0.62751999999999997</v>
      </c>
      <c r="Q34" s="58">
        <f>P34*2.5</f>
        <v>1.5688</v>
      </c>
      <c r="R34" s="57">
        <f>ROUNDUP(N34/150,0)</f>
        <v>3</v>
      </c>
      <c r="S34" s="57"/>
      <c r="T34" s="57">
        <v>1</v>
      </c>
    </row>
    <row r="35" spans="1:20" x14ac:dyDescent="0.2">
      <c r="A35" s="69"/>
      <c r="B35" s="68"/>
      <c r="C35" s="67">
        <v>24</v>
      </c>
      <c r="D35" s="66"/>
      <c r="E35" s="54"/>
      <c r="F35" s="65"/>
      <c r="G35" s="64">
        <v>43741</v>
      </c>
      <c r="H35" s="63"/>
      <c r="I35" s="62">
        <f>+N35/100</f>
        <v>3.2149999999999999</v>
      </c>
      <c r="J35" s="71" t="s">
        <v>56</v>
      </c>
      <c r="K35" s="57">
        <v>1</v>
      </c>
      <c r="L35" s="57">
        <v>40</v>
      </c>
      <c r="M35" s="57">
        <v>37</v>
      </c>
      <c r="N35" s="57">
        <v>321.5</v>
      </c>
      <c r="O35" s="60">
        <v>385</v>
      </c>
      <c r="P35" s="59">
        <f>L35*M35*N35/1000000-0.22*0.4*-0.8</f>
        <v>0.54622000000000004</v>
      </c>
      <c r="Q35" s="58">
        <f>P35*2.5</f>
        <v>1.36555</v>
      </c>
      <c r="R35" s="57">
        <f>ROUNDUP(N35/150,0)</f>
        <v>3</v>
      </c>
      <c r="S35" s="57"/>
      <c r="T35" s="57">
        <v>1</v>
      </c>
    </row>
    <row r="36" spans="1:20" x14ac:dyDescent="0.2">
      <c r="A36" s="69"/>
      <c r="B36" s="68"/>
      <c r="C36" s="67">
        <v>24</v>
      </c>
      <c r="D36" s="66"/>
      <c r="E36" s="54"/>
      <c r="F36" s="65"/>
      <c r="G36" s="64">
        <v>43741</v>
      </c>
      <c r="H36" s="63"/>
      <c r="I36" s="62">
        <f>+N36/100</f>
        <v>4.84</v>
      </c>
      <c r="J36" s="71" t="s">
        <v>55</v>
      </c>
      <c r="K36" s="57">
        <v>1</v>
      </c>
      <c r="L36" s="57">
        <v>50</v>
      </c>
      <c r="M36" s="57">
        <v>15</v>
      </c>
      <c r="N36" s="57">
        <v>484</v>
      </c>
      <c r="O36" s="60">
        <v>520</v>
      </c>
      <c r="P36" s="59">
        <f>L36*M36*N36/1000000</f>
        <v>0.36299999999999999</v>
      </c>
      <c r="Q36" s="58">
        <f>P36*2.5</f>
        <v>0.90749999999999997</v>
      </c>
      <c r="R36" s="57"/>
      <c r="S36" s="57"/>
      <c r="T36" s="57"/>
    </row>
    <row r="37" spans="1:20" x14ac:dyDescent="0.2">
      <c r="A37" s="69"/>
      <c r="B37" s="68"/>
      <c r="C37" s="67">
        <v>25</v>
      </c>
      <c r="D37" s="66"/>
      <c r="E37" s="54"/>
      <c r="F37" s="65"/>
      <c r="G37" s="64">
        <v>43741</v>
      </c>
      <c r="H37" s="63"/>
      <c r="I37" s="62">
        <f>+N37/100</f>
        <v>4.84</v>
      </c>
      <c r="J37" s="71" t="s">
        <v>54</v>
      </c>
      <c r="K37" s="57">
        <v>1</v>
      </c>
      <c r="L37" s="57">
        <v>40</v>
      </c>
      <c r="M37" s="57">
        <v>15</v>
      </c>
      <c r="N37" s="57">
        <v>484</v>
      </c>
      <c r="O37" s="60">
        <v>520</v>
      </c>
      <c r="P37" s="59">
        <f>L37*M37*N37/1000000</f>
        <v>0.29039999999999999</v>
      </c>
      <c r="Q37" s="58">
        <f>P37*2.5</f>
        <v>0.72599999999999998</v>
      </c>
      <c r="R37" s="57">
        <f>ROUNDUP(N37/150,0)</f>
        <v>4</v>
      </c>
      <c r="S37" s="57"/>
      <c r="T37" s="57"/>
    </row>
    <row r="38" spans="1:20" x14ac:dyDescent="0.2">
      <c r="A38" s="69"/>
      <c r="B38" s="68"/>
      <c r="C38" s="67">
        <v>26</v>
      </c>
      <c r="D38" s="66"/>
      <c r="E38" s="54"/>
      <c r="F38" s="65"/>
      <c r="G38" s="64">
        <v>43741</v>
      </c>
      <c r="H38" s="63"/>
      <c r="I38" s="62">
        <f>+N38/100</f>
        <v>3.0550000000000002</v>
      </c>
      <c r="J38" s="70" t="s">
        <v>53</v>
      </c>
      <c r="K38" s="57">
        <v>1</v>
      </c>
      <c r="L38" s="57">
        <v>60</v>
      </c>
      <c r="M38" s="57">
        <v>37</v>
      </c>
      <c r="N38" s="57">
        <v>305.5</v>
      </c>
      <c r="O38" s="60">
        <v>384</v>
      </c>
      <c r="P38" s="59">
        <f>L38*M38*N38/1000000-0.22*0.6*1.08</f>
        <v>0.53564999999999996</v>
      </c>
      <c r="Q38" s="58">
        <f>P38*2.5</f>
        <v>1.3391249999999999</v>
      </c>
      <c r="R38" s="57">
        <f>ROUNDUP(N38/150,0)</f>
        <v>3</v>
      </c>
      <c r="S38" s="57"/>
      <c r="T38" s="57">
        <v>1</v>
      </c>
    </row>
    <row r="39" spans="1:20" x14ac:dyDescent="0.2">
      <c r="A39" s="69"/>
      <c r="B39" s="68"/>
      <c r="C39" s="67">
        <v>27</v>
      </c>
      <c r="D39" s="66"/>
      <c r="E39" s="54"/>
      <c r="F39" s="65"/>
      <c r="G39" s="64">
        <v>43741</v>
      </c>
      <c r="H39" s="63"/>
      <c r="I39" s="62">
        <f>+N39/100</f>
        <v>2.875</v>
      </c>
      <c r="J39" s="70" t="s">
        <v>52</v>
      </c>
      <c r="K39" s="57">
        <v>1</v>
      </c>
      <c r="L39" s="57">
        <v>60</v>
      </c>
      <c r="M39" s="57">
        <v>37</v>
      </c>
      <c r="N39" s="57">
        <v>287.5</v>
      </c>
      <c r="O39" s="60">
        <v>386</v>
      </c>
      <c r="P39" s="59">
        <f>L39*M39*N39/1000000-0.5*0.22*0.6</f>
        <v>0.57224999999999993</v>
      </c>
      <c r="Q39" s="58">
        <f>P39*2.5</f>
        <v>1.4306249999999998</v>
      </c>
      <c r="R39" s="57">
        <f>ROUNDUP(N39/150,0)</f>
        <v>2</v>
      </c>
      <c r="S39" s="57"/>
      <c r="T39" s="57">
        <v>1</v>
      </c>
    </row>
    <row r="40" spans="1:20" x14ac:dyDescent="0.2">
      <c r="A40" s="69"/>
      <c r="B40" s="68"/>
      <c r="C40" s="67">
        <v>28</v>
      </c>
      <c r="D40" s="66"/>
      <c r="E40" s="54"/>
      <c r="F40" s="65"/>
      <c r="G40" s="64">
        <v>43741</v>
      </c>
      <c r="H40" s="63"/>
      <c r="I40" s="62">
        <f>+N40/100</f>
        <v>4.93</v>
      </c>
      <c r="J40" s="71" t="s">
        <v>51</v>
      </c>
      <c r="K40" s="57">
        <v>1</v>
      </c>
      <c r="L40" s="57">
        <v>50</v>
      </c>
      <c r="M40" s="57">
        <v>37</v>
      </c>
      <c r="N40" s="57">
        <v>493</v>
      </c>
      <c r="O40" s="60">
        <v>646</v>
      </c>
      <c r="P40" s="59">
        <f>L40*M40*N40/1000000-1.88*0.5*0.22</f>
        <v>0.70525000000000004</v>
      </c>
      <c r="Q40" s="58">
        <f>P40*2.5</f>
        <v>1.7631250000000001</v>
      </c>
      <c r="R40" s="57">
        <f>ROUNDUP(N40/150,0)</f>
        <v>4</v>
      </c>
      <c r="S40" s="57"/>
      <c r="T40" s="57">
        <v>1</v>
      </c>
    </row>
    <row r="41" spans="1:20" x14ac:dyDescent="0.2">
      <c r="A41" s="69"/>
      <c r="B41" s="68"/>
      <c r="C41" s="67">
        <v>29</v>
      </c>
      <c r="D41" s="66"/>
      <c r="E41" s="54"/>
      <c r="F41" s="65"/>
      <c r="G41" s="64">
        <v>43741</v>
      </c>
      <c r="H41" s="63"/>
      <c r="I41" s="62">
        <f>+N41/100</f>
        <v>4.84</v>
      </c>
      <c r="J41" s="71" t="s">
        <v>50</v>
      </c>
      <c r="K41" s="57">
        <v>1</v>
      </c>
      <c r="L41" s="57">
        <v>40</v>
      </c>
      <c r="M41" s="57">
        <v>15</v>
      </c>
      <c r="N41" s="57">
        <v>484</v>
      </c>
      <c r="O41" s="60">
        <v>520</v>
      </c>
      <c r="P41" s="59">
        <f>L41*M41*N41/1000000</f>
        <v>0.29039999999999999</v>
      </c>
      <c r="Q41" s="58">
        <f>P41*2.5</f>
        <v>0.72599999999999998</v>
      </c>
      <c r="R41" s="57">
        <f>ROUNDUP(N41/150,0)</f>
        <v>4</v>
      </c>
      <c r="S41" s="57"/>
      <c r="T41" s="57"/>
    </row>
    <row r="42" spans="1:20" x14ac:dyDescent="0.2">
      <c r="A42" s="69"/>
      <c r="B42" s="68"/>
      <c r="C42" s="67">
        <v>30</v>
      </c>
      <c r="D42" s="66"/>
      <c r="E42" s="54"/>
      <c r="F42" s="65"/>
      <c r="G42" s="64">
        <v>43741</v>
      </c>
      <c r="H42" s="63"/>
      <c r="I42" s="62">
        <f>+N42/100</f>
        <v>3.15</v>
      </c>
      <c r="J42" s="71" t="s">
        <v>49</v>
      </c>
      <c r="K42" s="57">
        <v>1</v>
      </c>
      <c r="L42" s="57">
        <v>40</v>
      </c>
      <c r="M42" s="57">
        <v>37</v>
      </c>
      <c r="N42" s="57">
        <v>315</v>
      </c>
      <c r="O42" s="60">
        <v>385</v>
      </c>
      <c r="P42" s="59">
        <f>L42*M42*N42/10000000.22*1.2*0.4</f>
        <v>2.2377599507692809E-2</v>
      </c>
      <c r="Q42" s="58">
        <f>P42*2.5</f>
        <v>5.594399876923202E-2</v>
      </c>
      <c r="R42" s="57">
        <f>ROUNDUP(N42/150,0)</f>
        <v>3</v>
      </c>
      <c r="S42" s="57"/>
      <c r="T42" s="57">
        <v>1</v>
      </c>
    </row>
    <row r="43" spans="1:20" x14ac:dyDescent="0.2">
      <c r="A43" s="69"/>
      <c r="B43" s="68"/>
      <c r="C43" s="67">
        <v>31</v>
      </c>
      <c r="D43" s="66"/>
      <c r="E43" s="54"/>
      <c r="F43" s="65"/>
      <c r="G43" s="64">
        <v>43741</v>
      </c>
      <c r="H43" s="63"/>
      <c r="I43" s="62">
        <f>+N43/100</f>
        <v>2.41</v>
      </c>
      <c r="J43" s="71" t="s">
        <v>48</v>
      </c>
      <c r="K43" s="57">
        <v>1</v>
      </c>
      <c r="L43" s="57">
        <v>50</v>
      </c>
      <c r="M43" s="57">
        <v>37</v>
      </c>
      <c r="N43" s="57">
        <v>241</v>
      </c>
      <c r="O43" s="60">
        <v>424</v>
      </c>
      <c r="P43" s="59">
        <f>L43*M43*N43/1000000</f>
        <v>0.44585000000000002</v>
      </c>
      <c r="Q43" s="58">
        <f>P43*2.5</f>
        <v>1.114625</v>
      </c>
      <c r="R43" s="57">
        <f>ROUNDUP(N43/150,0)</f>
        <v>2</v>
      </c>
      <c r="S43" s="57"/>
      <c r="T43" s="57"/>
    </row>
    <row r="44" spans="1:20" x14ac:dyDescent="0.2">
      <c r="A44" s="69"/>
      <c r="B44" s="68"/>
      <c r="C44" s="67">
        <v>32</v>
      </c>
      <c r="D44" s="66"/>
      <c r="E44" s="54"/>
      <c r="F44" s="65"/>
      <c r="G44" s="64">
        <v>43741</v>
      </c>
      <c r="H44" s="63"/>
      <c r="I44" s="62">
        <f>+N44/100</f>
        <v>4.84</v>
      </c>
      <c r="J44" s="71" t="s">
        <v>47</v>
      </c>
      <c r="K44" s="57">
        <v>1</v>
      </c>
      <c r="L44" s="57">
        <v>50</v>
      </c>
      <c r="M44" s="57">
        <v>37</v>
      </c>
      <c r="N44" s="57">
        <v>484</v>
      </c>
      <c r="O44" s="60">
        <v>520</v>
      </c>
      <c r="P44" s="59">
        <f>L44*M44*N44/1000000-0.22*0.4*0.5-0.5*0.15*0.5-0.22*0.4*0.5</f>
        <v>0.76989999999999992</v>
      </c>
      <c r="Q44" s="58">
        <f>P44*2.5</f>
        <v>1.9247499999999997</v>
      </c>
      <c r="R44" s="57">
        <f>ROUNDUP(N44/150,0)</f>
        <v>4</v>
      </c>
      <c r="S44" s="57"/>
      <c r="T44" s="57">
        <v>3</v>
      </c>
    </row>
    <row r="45" spans="1:20" x14ac:dyDescent="0.2">
      <c r="A45" s="69"/>
      <c r="B45" s="68"/>
      <c r="C45" s="67">
        <v>33</v>
      </c>
      <c r="D45" s="66"/>
      <c r="E45" s="54"/>
      <c r="F45" s="65"/>
      <c r="G45" s="64">
        <v>43741</v>
      </c>
      <c r="H45" s="63"/>
      <c r="I45" s="62">
        <f>+N45/100</f>
        <v>4.99</v>
      </c>
      <c r="J45" s="71" t="s">
        <v>46</v>
      </c>
      <c r="K45" s="57">
        <v>1</v>
      </c>
      <c r="L45" s="57">
        <v>50</v>
      </c>
      <c r="M45" s="57">
        <v>37</v>
      </c>
      <c r="N45" s="57">
        <v>499</v>
      </c>
      <c r="O45" s="60">
        <v>651</v>
      </c>
      <c r="P45" s="59">
        <f>L45*M45*N45/1000000-1.89*0.5*0.22</f>
        <v>0.71525000000000005</v>
      </c>
      <c r="Q45" s="58">
        <f>P45*2.5</f>
        <v>1.7881250000000002</v>
      </c>
      <c r="R45" s="57">
        <f>ROUNDUP(N45/150,0)</f>
        <v>4</v>
      </c>
      <c r="S45" s="57"/>
      <c r="T45" s="57">
        <v>1</v>
      </c>
    </row>
    <row r="46" spans="1:20" x14ac:dyDescent="0.2">
      <c r="A46" s="69"/>
      <c r="B46" s="68"/>
      <c r="C46" s="67">
        <v>34</v>
      </c>
      <c r="D46" s="66"/>
      <c r="E46" s="54"/>
      <c r="F46" s="65"/>
      <c r="G46" s="64">
        <v>43741</v>
      </c>
      <c r="H46" s="63"/>
      <c r="I46" s="62">
        <f>+N46/100</f>
        <v>4.84</v>
      </c>
      <c r="J46" s="71" t="s">
        <v>45</v>
      </c>
      <c r="K46" s="57">
        <v>1</v>
      </c>
      <c r="L46" s="57">
        <v>40</v>
      </c>
      <c r="M46" s="57">
        <v>15</v>
      </c>
      <c r="N46" s="57">
        <v>484</v>
      </c>
      <c r="O46" s="60">
        <v>520</v>
      </c>
      <c r="P46" s="59">
        <f>L46*M46*N46/1000000</f>
        <v>0.29039999999999999</v>
      </c>
      <c r="Q46" s="58">
        <f>P46*2.5</f>
        <v>0.72599999999999998</v>
      </c>
      <c r="R46" s="57">
        <f>ROUNDUP(N46/150,0)</f>
        <v>4</v>
      </c>
      <c r="S46" s="57"/>
      <c r="T46" s="57"/>
    </row>
    <row r="47" spans="1:20" x14ac:dyDescent="0.2">
      <c r="A47" s="69"/>
      <c r="B47" s="68"/>
      <c r="C47" s="67">
        <v>35</v>
      </c>
      <c r="D47" s="66"/>
      <c r="E47" s="54"/>
      <c r="F47" s="65"/>
      <c r="G47" s="64">
        <v>43741</v>
      </c>
      <c r="H47" s="63"/>
      <c r="I47" s="62">
        <f>+N47/100</f>
        <v>4.5449999999999999</v>
      </c>
      <c r="J47" s="71" t="s">
        <v>44</v>
      </c>
      <c r="K47" s="57">
        <v>1</v>
      </c>
      <c r="L47" s="57">
        <v>40</v>
      </c>
      <c r="M47" s="57">
        <v>15</v>
      </c>
      <c r="N47" s="57">
        <v>454.5</v>
      </c>
      <c r="O47" s="60">
        <v>470</v>
      </c>
      <c r="P47" s="59">
        <f>L47*M47*N47/1000000</f>
        <v>0.2727</v>
      </c>
      <c r="Q47" s="58">
        <f>P47*2.5</f>
        <v>0.68174999999999997</v>
      </c>
      <c r="R47" s="57">
        <f>ROUNDUP(N47/150,0)</f>
        <v>4</v>
      </c>
      <c r="S47" s="57"/>
      <c r="T47" s="57"/>
    </row>
    <row r="48" spans="1:20" x14ac:dyDescent="0.2">
      <c r="A48" s="69"/>
      <c r="B48" s="68"/>
      <c r="C48" s="67">
        <v>36</v>
      </c>
      <c r="D48" s="66"/>
      <c r="E48" s="54"/>
      <c r="F48" s="65"/>
      <c r="G48" s="64">
        <v>43741</v>
      </c>
      <c r="H48" s="63"/>
      <c r="I48" s="62">
        <f>+N48/100</f>
        <v>3.2149999999999999</v>
      </c>
      <c r="J48" s="71" t="s">
        <v>43</v>
      </c>
      <c r="K48" s="57">
        <v>1</v>
      </c>
      <c r="L48" s="57">
        <v>40</v>
      </c>
      <c r="M48" s="57">
        <v>37</v>
      </c>
      <c r="N48" s="57">
        <v>321.5</v>
      </c>
      <c r="O48" s="60">
        <v>385</v>
      </c>
      <c r="P48" s="59">
        <f>L48*M48*N48/1000000-0.22*0.7*0.4</f>
        <v>0.41422000000000003</v>
      </c>
      <c r="Q48" s="58">
        <f>P48*2.5</f>
        <v>1.0355500000000002</v>
      </c>
      <c r="R48" s="57">
        <f>ROUNDUP(N48/150,0)</f>
        <v>3</v>
      </c>
      <c r="S48" s="57"/>
      <c r="T48" s="57">
        <v>1</v>
      </c>
    </row>
    <row r="49" spans="1:21" x14ac:dyDescent="0.2">
      <c r="A49" s="69"/>
      <c r="B49" s="68"/>
      <c r="C49" s="67">
        <v>37</v>
      </c>
      <c r="D49" s="66"/>
      <c r="E49" s="54"/>
      <c r="F49" s="65"/>
      <c r="G49" s="64">
        <v>43741</v>
      </c>
      <c r="H49" s="63"/>
      <c r="I49" s="62">
        <f>+N49/100</f>
        <v>2.415</v>
      </c>
      <c r="J49" s="71" t="s">
        <v>42</v>
      </c>
      <c r="K49" s="57">
        <v>1</v>
      </c>
      <c r="L49" s="57">
        <v>30</v>
      </c>
      <c r="M49" s="57">
        <v>37</v>
      </c>
      <c r="N49" s="57">
        <v>241.5</v>
      </c>
      <c r="O49" s="60">
        <v>449</v>
      </c>
      <c r="P49" s="59">
        <f>L49*M49*N49/1000000</f>
        <v>0.268065</v>
      </c>
      <c r="Q49" s="58">
        <f>P49*2.5</f>
        <v>0.67016249999999999</v>
      </c>
      <c r="R49" s="57">
        <f>ROUNDUP(N49/150,0)</f>
        <v>2</v>
      </c>
      <c r="S49" s="57"/>
      <c r="T49" s="57"/>
    </row>
    <row r="50" spans="1:21" x14ac:dyDescent="0.2">
      <c r="A50" s="69"/>
      <c r="B50" s="68"/>
      <c r="C50" s="67">
        <v>38</v>
      </c>
      <c r="D50" s="66"/>
      <c r="E50" s="54"/>
      <c r="F50" s="65"/>
      <c r="G50" s="64">
        <v>43741</v>
      </c>
      <c r="H50" s="63"/>
      <c r="I50" s="62">
        <f>+N50/100</f>
        <v>2.77</v>
      </c>
      <c r="J50" s="71" t="s">
        <v>41</v>
      </c>
      <c r="K50" s="57">
        <v>1</v>
      </c>
      <c r="L50" s="57">
        <v>50</v>
      </c>
      <c r="M50" s="57">
        <v>37</v>
      </c>
      <c r="N50" s="57">
        <v>277</v>
      </c>
      <c r="O50" s="60">
        <v>285</v>
      </c>
      <c r="P50" s="59">
        <f>L50*M50*N50/1000000-0.5*0.1*0.5</f>
        <v>0.48744999999999994</v>
      </c>
      <c r="Q50" s="58">
        <f>P50*2.5</f>
        <v>1.2186249999999998</v>
      </c>
      <c r="R50" s="57">
        <f>ROUNDUP(N50/150,0)</f>
        <v>2</v>
      </c>
      <c r="S50" s="57"/>
      <c r="T50" s="57">
        <v>1</v>
      </c>
    </row>
    <row r="51" spans="1:21" x14ac:dyDescent="0.2">
      <c r="A51" s="69"/>
      <c r="B51" s="68"/>
      <c r="C51" s="67">
        <v>39</v>
      </c>
      <c r="D51" s="66"/>
      <c r="E51" s="54"/>
      <c r="F51" s="65"/>
      <c r="G51" s="64">
        <v>43741</v>
      </c>
      <c r="H51" s="63"/>
      <c r="I51" s="62">
        <f>+N51/100</f>
        <v>4.42</v>
      </c>
      <c r="J51" s="71" t="s">
        <v>40</v>
      </c>
      <c r="K51" s="57">
        <v>1</v>
      </c>
      <c r="L51" s="57">
        <v>50</v>
      </c>
      <c r="M51" s="57">
        <v>37</v>
      </c>
      <c r="N51" s="57">
        <v>442</v>
      </c>
      <c r="O51" s="60">
        <v>467</v>
      </c>
      <c r="P51" s="59">
        <f>L51*M51*N51/1000000-0.5*0.15*0.5</f>
        <v>0.7802</v>
      </c>
      <c r="Q51" s="58">
        <f>P51*2.5</f>
        <v>1.9504999999999999</v>
      </c>
      <c r="R51" s="57">
        <f>ROUNDUP(N51/150,0)</f>
        <v>3</v>
      </c>
      <c r="S51" s="57">
        <v>1</v>
      </c>
      <c r="T51" s="57">
        <v>1</v>
      </c>
    </row>
    <row r="52" spans="1:21" x14ac:dyDescent="0.2">
      <c r="A52" s="69"/>
      <c r="B52" s="68"/>
      <c r="C52" s="67">
        <v>40</v>
      </c>
      <c r="D52" s="66"/>
      <c r="E52" s="54"/>
      <c r="F52" s="65"/>
      <c r="G52" s="64">
        <v>43741</v>
      </c>
      <c r="H52" s="63"/>
      <c r="I52" s="62">
        <f>+N52/100</f>
        <v>3</v>
      </c>
      <c r="J52" s="71" t="s">
        <v>39</v>
      </c>
      <c r="K52" s="57">
        <v>1</v>
      </c>
      <c r="L52" s="57">
        <v>30</v>
      </c>
      <c r="M52" s="57">
        <v>15</v>
      </c>
      <c r="N52" s="57">
        <v>300</v>
      </c>
      <c r="O52" s="60">
        <v>463</v>
      </c>
      <c r="P52" s="59">
        <f>L52*M52*N52/1000000</f>
        <v>0.13500000000000001</v>
      </c>
      <c r="Q52" s="58">
        <f>P52*2.5</f>
        <v>0.33750000000000002</v>
      </c>
      <c r="R52" s="57">
        <f>ROUNDUP(N52/150,0)</f>
        <v>2</v>
      </c>
      <c r="S52" s="57"/>
      <c r="T52" s="57"/>
    </row>
    <row r="53" spans="1:21" x14ac:dyDescent="0.2">
      <c r="A53" s="69"/>
      <c r="B53" s="68"/>
      <c r="C53" s="67">
        <v>41</v>
      </c>
      <c r="D53" s="66"/>
      <c r="E53" s="54"/>
      <c r="F53" s="65"/>
      <c r="G53" s="64">
        <v>43741</v>
      </c>
      <c r="H53" s="63"/>
      <c r="I53" s="62">
        <f>+N53/100</f>
        <v>2.415</v>
      </c>
      <c r="J53" s="71" t="s">
        <v>38</v>
      </c>
      <c r="K53" s="57">
        <v>1</v>
      </c>
      <c r="L53" s="57">
        <v>50</v>
      </c>
      <c r="M53" s="57">
        <v>25</v>
      </c>
      <c r="N53" s="57">
        <v>241.5</v>
      </c>
      <c r="O53" s="60">
        <v>544</v>
      </c>
      <c r="P53" s="59">
        <f>L53*M53*N53/1000000</f>
        <v>0.301875</v>
      </c>
      <c r="Q53" s="58">
        <f>P53*2.5</f>
        <v>0.75468749999999996</v>
      </c>
      <c r="R53" s="57">
        <f>ROUNDUP(N53/150,0)</f>
        <v>2</v>
      </c>
      <c r="S53" s="57"/>
      <c r="T53" s="57"/>
    </row>
    <row r="54" spans="1:21" x14ac:dyDescent="0.2">
      <c r="A54" s="69"/>
      <c r="B54" s="68"/>
      <c r="C54" s="67">
        <v>42</v>
      </c>
      <c r="D54" s="66"/>
      <c r="E54" s="54"/>
      <c r="F54" s="65"/>
      <c r="G54" s="64">
        <v>43741</v>
      </c>
      <c r="H54" s="63" t="s">
        <v>33</v>
      </c>
      <c r="I54" s="62">
        <f>+N54/100</f>
        <v>0</v>
      </c>
      <c r="J54" s="61" t="s">
        <v>37</v>
      </c>
      <c r="K54" s="57"/>
      <c r="L54" s="57"/>
      <c r="M54" s="57"/>
      <c r="N54" s="57"/>
      <c r="O54" s="60"/>
      <c r="P54" s="59">
        <f>L54*M54*N54/1000000</f>
        <v>0</v>
      </c>
      <c r="Q54" s="58">
        <f>P54*2.5</f>
        <v>0</v>
      </c>
      <c r="R54" s="57">
        <f>ROUNDUP(N54/150,0)</f>
        <v>0</v>
      </c>
      <c r="S54" s="57"/>
      <c r="T54" s="57"/>
    </row>
    <row r="55" spans="1:21" x14ac:dyDescent="0.2">
      <c r="A55" s="69"/>
      <c r="B55" s="68"/>
      <c r="C55" s="67">
        <v>43</v>
      </c>
      <c r="D55" s="66"/>
      <c r="E55" s="54"/>
      <c r="F55" s="65"/>
      <c r="G55" s="64">
        <v>43741</v>
      </c>
      <c r="H55" s="63"/>
      <c r="I55" s="62">
        <f>+N55/100</f>
        <v>4.17</v>
      </c>
      <c r="J55" s="71" t="s">
        <v>36</v>
      </c>
      <c r="K55" s="57">
        <v>1</v>
      </c>
      <c r="L55" s="57">
        <v>30</v>
      </c>
      <c r="M55" s="57">
        <v>37</v>
      </c>
      <c r="N55" s="57">
        <v>417</v>
      </c>
      <c r="O55" s="60">
        <v>450</v>
      </c>
      <c r="P55" s="59">
        <f>L55*M55*N55/1000000-0.755*0.3*0.22</f>
        <v>0.41304000000000002</v>
      </c>
      <c r="Q55" s="58">
        <f>P55*2.5</f>
        <v>1.0326</v>
      </c>
      <c r="R55" s="57">
        <f>ROUNDUP(N55/150,0)</f>
        <v>3</v>
      </c>
      <c r="S55" s="57"/>
      <c r="T55" s="57">
        <v>1</v>
      </c>
    </row>
    <row r="56" spans="1:21" x14ac:dyDescent="0.2">
      <c r="A56" s="69"/>
      <c r="B56" s="68"/>
      <c r="C56" s="67">
        <v>44</v>
      </c>
      <c r="D56" s="66"/>
      <c r="E56" s="54"/>
      <c r="F56" s="65"/>
      <c r="G56" s="64">
        <v>43741</v>
      </c>
      <c r="H56" s="63"/>
      <c r="I56" s="62">
        <f>+N56/100</f>
        <v>2.125</v>
      </c>
      <c r="J56" s="71" t="s">
        <v>35</v>
      </c>
      <c r="K56" s="57">
        <v>1</v>
      </c>
      <c r="L56" s="57">
        <v>30</v>
      </c>
      <c r="M56" s="57">
        <v>15</v>
      </c>
      <c r="N56" s="57">
        <v>212.5</v>
      </c>
      <c r="O56" s="60">
        <v>250</v>
      </c>
      <c r="P56" s="59">
        <f>L56*M56*N56/1000000</f>
        <v>9.5625000000000002E-2</v>
      </c>
      <c r="Q56" s="58">
        <f>P56*2.5</f>
        <v>0.23906250000000001</v>
      </c>
      <c r="R56" s="57">
        <f>ROUNDUP(N56/150,0)</f>
        <v>2</v>
      </c>
      <c r="S56" s="57"/>
      <c r="T56" s="57"/>
    </row>
    <row r="57" spans="1:21" x14ac:dyDescent="0.2">
      <c r="A57" s="69"/>
      <c r="B57" s="68"/>
      <c r="C57" s="67">
        <v>45</v>
      </c>
      <c r="D57" s="66"/>
      <c r="E57" s="54"/>
      <c r="F57" s="65"/>
      <c r="G57" s="64">
        <v>43741</v>
      </c>
      <c r="H57" s="63"/>
      <c r="I57" s="62">
        <f>+N57/100</f>
        <v>4.9749999999999996</v>
      </c>
      <c r="J57" s="70" t="s">
        <v>34</v>
      </c>
      <c r="K57" s="57">
        <v>1</v>
      </c>
      <c r="L57" s="57">
        <v>60</v>
      </c>
      <c r="M57" s="57">
        <v>37</v>
      </c>
      <c r="N57" s="57">
        <v>497.5</v>
      </c>
      <c r="O57" s="60">
        <v>497</v>
      </c>
      <c r="P57" s="59">
        <f>L57*M57*N57/1000000-0.22*0.6*(0.9+1.15)</f>
        <v>0.83384999999999998</v>
      </c>
      <c r="Q57" s="58">
        <f>P57*2.5</f>
        <v>2.084625</v>
      </c>
      <c r="R57" s="57">
        <f>ROUNDUP(N57/150,0)</f>
        <v>4</v>
      </c>
      <c r="S57" s="57"/>
      <c r="T57" s="57">
        <v>2</v>
      </c>
    </row>
    <row r="58" spans="1:21" ht="13.5" thickBot="1" x14ac:dyDescent="0.25">
      <c r="A58" s="69"/>
      <c r="B58" s="68"/>
      <c r="C58" s="67">
        <v>46</v>
      </c>
      <c r="D58" s="66"/>
      <c r="E58" s="40"/>
      <c r="F58" s="65"/>
      <c r="G58" s="64">
        <v>43741</v>
      </c>
      <c r="H58" s="63" t="s">
        <v>33</v>
      </c>
      <c r="I58" s="62">
        <f>+N58/100</f>
        <v>0</v>
      </c>
      <c r="J58" s="61" t="s">
        <v>32</v>
      </c>
      <c r="K58" s="57"/>
      <c r="L58" s="57"/>
      <c r="M58" s="57"/>
      <c r="N58" s="57"/>
      <c r="O58" s="60"/>
      <c r="P58" s="59">
        <f>L58*M58*N58/1000000</f>
        <v>0</v>
      </c>
      <c r="Q58" s="58">
        <f>P58*2.5</f>
        <v>0</v>
      </c>
      <c r="R58" s="57">
        <f>ROUNDUP(N58/150,0)</f>
        <v>0</v>
      </c>
      <c r="S58" s="57"/>
      <c r="T58" s="57"/>
    </row>
    <row r="59" spans="1:21" ht="13.5" thickBot="1" x14ac:dyDescent="0.25">
      <c r="A59" s="56"/>
      <c r="B59" s="55"/>
      <c r="C59" s="54"/>
      <c r="D59" s="54"/>
      <c r="E59" s="53" t="s">
        <v>31</v>
      </c>
      <c r="F59" s="53"/>
      <c r="G59" s="53"/>
      <c r="H59" s="46"/>
      <c r="I59" s="52">
        <f>SUM(I12:I58)-SUMIF(E12:E58,"*Sous détails :*",I12:I58)</f>
        <v>170.715</v>
      </c>
      <c r="J59" s="51"/>
      <c r="K59" s="50"/>
      <c r="L59" s="46"/>
      <c r="M59" s="46"/>
      <c r="N59" s="46"/>
      <c r="O59" s="49"/>
      <c r="P59" s="48"/>
      <c r="Q59" s="47"/>
      <c r="R59" s="46"/>
      <c r="S59" s="46"/>
      <c r="T59" s="46"/>
      <c r="U59" s="40">
        <f>SUM(T12:T58)-SUMIF($E12:$E58,"*Sous détails :*",T12:T58)</f>
        <v>36</v>
      </c>
    </row>
    <row r="60" spans="1:21" ht="13.5" thickBot="1" x14ac:dyDescent="0.25">
      <c r="A60" s="36" t="s">
        <v>30</v>
      </c>
      <c r="B60" s="36"/>
      <c r="C60" s="36" t="s">
        <v>29</v>
      </c>
      <c r="D60" s="36"/>
      <c r="E60" s="36"/>
      <c r="L60" s="45">
        <f>SUM(K12:K59)-SUMIF(I12:I59,"*Sous détails :*",K12:K59)</f>
        <v>43</v>
      </c>
      <c r="O60" s="44">
        <f>SUM(N12:N58)/100 -SUMIF($E12:$E58,"*Sous détails :*",N12:N58)/100</f>
        <v>170.715</v>
      </c>
      <c r="P60" s="43"/>
      <c r="Q60" s="42">
        <f>SUM(P12:P58)-SUMIF($E12:$E58,"*Sous détails :*",P12:P58)</f>
        <v>20.599692599507691</v>
      </c>
      <c r="R60" s="41">
        <f>SUM(Q12:Q59)-SUMIF($E12:$E58,"*Sous détails :*",Q12:Q58)</f>
        <v>51.499231498769234</v>
      </c>
      <c r="S60" s="40">
        <f>SUM(R12:R59)-SUMIF($E12:$E58,"*Sous détails :*",R12:R58)</f>
        <v>131</v>
      </c>
      <c r="T60" s="40">
        <f>SUM(S12:S58)-SUMIF($E12:$E58,"*Sous détails :*",S12:S58)</f>
        <v>8</v>
      </c>
    </row>
    <row r="61" spans="1:21" x14ac:dyDescent="0.2">
      <c r="A61" s="36" t="s">
        <v>28</v>
      </c>
      <c r="B61" s="36"/>
      <c r="C61" s="36"/>
      <c r="D61" s="36"/>
      <c r="E61" s="36"/>
      <c r="K61" s="36"/>
      <c r="L61" s="34"/>
      <c r="M61" s="34"/>
      <c r="O61" s="39"/>
      <c r="P61" s="39"/>
      <c r="Q61" s="38"/>
      <c r="U61" s="1" t="s">
        <v>27</v>
      </c>
    </row>
    <row r="62" spans="1:21" x14ac:dyDescent="0.2">
      <c r="A62" s="36" t="s">
        <v>26</v>
      </c>
      <c r="L62" s="34"/>
      <c r="M62" s="37"/>
      <c r="O62" s="35" t="s">
        <v>25</v>
      </c>
      <c r="P62" s="35"/>
      <c r="Q62" s="36"/>
      <c r="R62" s="35" t="s">
        <v>21</v>
      </c>
    </row>
    <row r="63" spans="1:21" x14ac:dyDescent="0.2">
      <c r="A63" s="36" t="s">
        <v>24</v>
      </c>
      <c r="L63" s="34"/>
      <c r="M63" s="34"/>
      <c r="O63" s="14" t="s">
        <v>23</v>
      </c>
      <c r="P63" s="14"/>
      <c r="Q63" s="35" t="s">
        <v>22</v>
      </c>
      <c r="R63" s="35" t="s">
        <v>21</v>
      </c>
    </row>
    <row r="64" spans="1:21" ht="13.5" thickBot="1" x14ac:dyDescent="0.25">
      <c r="L64" s="34"/>
      <c r="M64" s="34"/>
      <c r="O64" s="14" t="s">
        <v>20</v>
      </c>
      <c r="P64" s="14"/>
    </row>
    <row r="65" spans="1:18" x14ac:dyDescent="0.2">
      <c r="A65" s="30" t="s">
        <v>19</v>
      </c>
      <c r="B65" s="29" t="s">
        <v>18</v>
      </c>
      <c r="C65" s="29" t="s">
        <v>17</v>
      </c>
      <c r="D65" s="33"/>
      <c r="E65" s="33"/>
      <c r="F65" s="32" t="s">
        <v>16</v>
      </c>
      <c r="G65" s="31"/>
      <c r="H65" s="31"/>
      <c r="I65" s="30" t="s">
        <v>19</v>
      </c>
      <c r="J65" s="29" t="s">
        <v>18</v>
      </c>
      <c r="K65" s="29" t="s">
        <v>17</v>
      </c>
      <c r="L65" s="28" t="s">
        <v>16</v>
      </c>
      <c r="M65" s="27"/>
      <c r="O65" s="6" t="s">
        <v>15</v>
      </c>
      <c r="P65" s="6"/>
    </row>
    <row r="66" spans="1:18" x14ac:dyDescent="0.2">
      <c r="A66" s="23"/>
      <c r="B66" s="22"/>
      <c r="C66" s="22"/>
      <c r="D66" s="21"/>
      <c r="E66" s="21"/>
      <c r="F66" s="20"/>
      <c r="G66" s="26"/>
      <c r="H66" s="26"/>
      <c r="I66" s="23"/>
      <c r="J66" s="22"/>
      <c r="K66" s="21"/>
      <c r="L66" s="25"/>
      <c r="M66" s="24"/>
      <c r="O66" s="6" t="s">
        <v>14</v>
      </c>
      <c r="P66" s="6"/>
    </row>
    <row r="67" spans="1:18" x14ac:dyDescent="0.2">
      <c r="A67" s="23"/>
      <c r="B67" s="22"/>
      <c r="C67" s="22"/>
      <c r="D67" s="21"/>
      <c r="E67" s="21"/>
      <c r="F67" s="20"/>
      <c r="G67" s="26"/>
      <c r="H67" s="26"/>
      <c r="I67" s="23"/>
      <c r="J67" s="22"/>
      <c r="K67" s="22"/>
      <c r="L67" s="25"/>
      <c r="M67" s="24"/>
      <c r="O67" s="6" t="s">
        <v>13</v>
      </c>
      <c r="P67" s="6"/>
    </row>
    <row r="68" spans="1:18" x14ac:dyDescent="0.2">
      <c r="A68" s="23"/>
      <c r="B68" s="22"/>
      <c r="C68" s="22"/>
      <c r="D68" s="21"/>
      <c r="E68" s="21"/>
      <c r="F68" s="20"/>
      <c r="G68" s="19"/>
      <c r="H68" s="19"/>
      <c r="I68" s="18"/>
      <c r="J68" s="17"/>
      <c r="K68" s="17"/>
      <c r="L68" s="16"/>
      <c r="M68" s="15"/>
      <c r="O68" s="14" t="s">
        <v>12</v>
      </c>
      <c r="P68" s="14"/>
    </row>
    <row r="69" spans="1:18" ht="13.5" thickBot="1" x14ac:dyDescent="0.25">
      <c r="A69" s="10"/>
      <c r="B69" s="9"/>
      <c r="C69" s="9"/>
      <c r="D69" s="13"/>
      <c r="E69" s="13"/>
      <c r="F69" s="12"/>
      <c r="G69" s="11"/>
      <c r="H69" s="11"/>
      <c r="I69" s="10"/>
      <c r="J69" s="9"/>
      <c r="K69" s="9"/>
      <c r="L69" s="8"/>
      <c r="M69" s="7"/>
      <c r="O69" s="6" t="s">
        <v>11</v>
      </c>
      <c r="P69" s="6"/>
    </row>
    <row r="70" spans="1:18" x14ac:dyDescent="0.2">
      <c r="O70" s="6" t="s">
        <v>10</v>
      </c>
      <c r="P70" s="6"/>
    </row>
    <row r="71" spans="1:18" x14ac:dyDescent="0.2">
      <c r="O71" s="6" t="s">
        <v>9</v>
      </c>
      <c r="P71" s="6"/>
    </row>
    <row r="72" spans="1:18" x14ac:dyDescent="0.2">
      <c r="O72" s="6" t="s">
        <v>8</v>
      </c>
      <c r="P72" s="6"/>
    </row>
    <row r="73" spans="1:18" x14ac:dyDescent="0.2">
      <c r="O73" s="6" t="s">
        <v>7</v>
      </c>
      <c r="P73" s="6"/>
    </row>
    <row r="74" spans="1:18" x14ac:dyDescent="0.2">
      <c r="O74" s="6" t="s">
        <v>6</v>
      </c>
      <c r="P74" s="6"/>
    </row>
    <row r="75" spans="1:18" x14ac:dyDescent="0.2">
      <c r="O75" s="6" t="s">
        <v>5</v>
      </c>
      <c r="P75" s="6"/>
    </row>
    <row r="76" spans="1:18" x14ac:dyDescent="0.2">
      <c r="O76" s="6" t="s">
        <v>4</v>
      </c>
      <c r="P76" s="6"/>
    </row>
    <row r="77" spans="1:18" x14ac:dyDescent="0.2">
      <c r="O77" s="6" t="s">
        <v>4</v>
      </c>
      <c r="P77" s="6"/>
    </row>
    <row r="78" spans="1:18" x14ac:dyDescent="0.2">
      <c r="O78" s="6" t="s">
        <v>3</v>
      </c>
      <c r="P78" s="6"/>
    </row>
    <row r="79" spans="1:18" x14ac:dyDescent="0.2">
      <c r="O79" s="6" t="s">
        <v>2</v>
      </c>
      <c r="P79" s="6"/>
    </row>
    <row r="80" spans="1:18" x14ac:dyDescent="0.2">
      <c r="N80" s="4"/>
      <c r="O80" s="5" t="s">
        <v>1</v>
      </c>
      <c r="P80" s="5"/>
      <c r="Q80" s="4"/>
      <c r="R80" s="4"/>
    </row>
    <row r="81" spans="6:16" x14ac:dyDescent="0.2">
      <c r="O81" s="3" t="s">
        <v>0</v>
      </c>
      <c r="P81" s="3"/>
    </row>
    <row r="93" spans="6:16" x14ac:dyDescent="0.2">
      <c r="F93" s="2"/>
      <c r="G93" s="2"/>
      <c r="H93" s="2"/>
    </row>
  </sheetData>
  <mergeCells count="20">
    <mergeCell ref="A1:J1"/>
    <mergeCell ref="A2:B2"/>
    <mergeCell ref="C2:J2"/>
    <mergeCell ref="M2:O2"/>
    <mergeCell ref="A3:B3"/>
    <mergeCell ref="C3:J3"/>
    <mergeCell ref="O3:R3"/>
    <mergeCell ref="A4:B4"/>
    <mergeCell ref="C4:J4"/>
    <mergeCell ref="L4:N4"/>
    <mergeCell ref="A5:B5"/>
    <mergeCell ref="C5:J5"/>
    <mergeCell ref="L5:N5"/>
    <mergeCell ref="L69:M69"/>
    <mergeCell ref="A6:J6"/>
    <mergeCell ref="L6:M6"/>
    <mergeCell ref="N6:O6"/>
    <mergeCell ref="L65:M65"/>
    <mergeCell ref="L66:M66"/>
    <mergeCell ref="L67:M67"/>
  </mergeCells>
  <conditionalFormatting sqref="Q59 Q12:Q38">
    <cfRule type="cellIs" dxfId="10" priority="8" operator="greaterThan">
      <formula>7.5</formula>
    </cfRule>
  </conditionalFormatting>
  <conditionalFormatting sqref="H12:Q12 L53:Q58 L13:Q38 H13:K58">
    <cfRule type="expression" dxfId="9" priority="9">
      <formula>COUNTIF($H12,"*cfa*")</formula>
    </cfRule>
  </conditionalFormatting>
  <conditionalFormatting sqref="H12:Q12 L53:Q58 L13:Q38 H13:K58">
    <cfRule type="expression" dxfId="8" priority="7">
      <formula>COUNTIF($H12,"*stabox*")</formula>
    </cfRule>
    <cfRule type="expression" dxfId="7" priority="10">
      <formula>COUNTIF($H12,"*evidé*")</formula>
    </cfRule>
    <cfRule type="expression" dxfId="6" priority="11">
      <formula>COUNTIF($H12,"*en attente*")</formula>
    </cfRule>
  </conditionalFormatting>
  <conditionalFormatting sqref="H12:H58">
    <cfRule type="expression" dxfId="5" priority="6">
      <formula>COUNTIF($H12,"*prefa*")</formula>
    </cfRule>
  </conditionalFormatting>
  <conditionalFormatting sqref="Q39:Q58">
    <cfRule type="cellIs" dxfId="4" priority="2" operator="greaterThan">
      <formula>7.5</formula>
    </cfRule>
  </conditionalFormatting>
  <conditionalFormatting sqref="L39:Q52">
    <cfRule type="expression" dxfId="3" priority="3">
      <formula>COUNTIF($H39,"*cfa*")</formula>
    </cfRule>
  </conditionalFormatting>
  <conditionalFormatting sqref="L39:Q52">
    <cfRule type="expression" dxfId="2" priority="1">
      <formula>COUNTIF($H39,"*stabox*")</formula>
    </cfRule>
    <cfRule type="expression" dxfId="1" priority="4">
      <formula>COUNTIF($H39,"*evidé*")</formula>
    </cfRule>
    <cfRule type="expression" dxfId="0" priority="5">
      <formula>COUNTIF($H39,"*en attente*")</formula>
    </cfRule>
  </conditionalFormatting>
  <pageMargins left="0.7" right="0.7" top="0.75" bottom="0.75" header="0.3" footer="0.3"/>
  <pageSetup paperSize="8" scale="71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14410-5B93-45B0-8C57-4416C1B00C6C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ENT</vt:lpstr>
      <vt:lpstr>Feuil1</vt:lpstr>
      <vt:lpstr>ENT!Zone_d_impression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AIMAD</dc:creator>
  <cp:lastModifiedBy>AIMAD</cp:lastModifiedBy>
  <dcterms:created xsi:type="dcterms:W3CDTF">2019-10-02T14:02:57Z</dcterms:created>
  <dcterms:modified xsi:type="dcterms:W3CDTF">2019-10-02T14:04:10Z</dcterms:modified>
</cp:coreProperties>
</file>