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75" windowWidth="8475" windowHeight="12600"/>
  </bookViews>
  <sheets>
    <sheet name="Reglages" sheetId="1" r:id="rId1"/>
    <sheet name="usure saison" sheetId="2" r:id="rId2"/>
  </sheets>
  <definedNames>
    <definedName name="Météo">Reglages!$W$3:$W$4</definedName>
    <definedName name="_xlnm.Print_Area" localSheetId="0">Reglages!$CT$73:$ED$123</definedName>
  </definedNames>
  <calcPr calcId="124519"/>
</workbook>
</file>

<file path=xl/calcChain.xml><?xml version="1.0" encoding="utf-8"?>
<calcChain xmlns="http://schemas.openxmlformats.org/spreadsheetml/2006/main">
  <c r="AZ62" i="1"/>
  <c r="AY62"/>
  <c r="AX62"/>
  <c r="AW62"/>
  <c r="AV62"/>
  <c r="AZ61"/>
  <c r="AY61"/>
  <c r="AX61"/>
  <c r="AW61"/>
  <c r="AV61"/>
  <c r="AZ60"/>
  <c r="AY60"/>
  <c r="AX60"/>
  <c r="AW60"/>
  <c r="AV60"/>
  <c r="AZ59"/>
  <c r="AY59"/>
  <c r="AX59"/>
  <c r="AW59"/>
  <c r="AV59"/>
  <c r="AZ58"/>
  <c r="AY58"/>
  <c r="AX58"/>
  <c r="AW58"/>
  <c r="AV58"/>
  <c r="AZ57"/>
  <c r="AY57"/>
  <c r="AX57"/>
  <c r="AW57"/>
  <c r="AV57"/>
  <c r="AZ56"/>
  <c r="AY56"/>
  <c r="AX56"/>
  <c r="AW56"/>
  <c r="AV56"/>
  <c r="AZ55"/>
  <c r="AY55"/>
  <c r="AX55"/>
  <c r="AW55"/>
  <c r="AV55"/>
  <c r="AZ54"/>
  <c r="AY54"/>
  <c r="AX54"/>
  <c r="AW54"/>
  <c r="AV54"/>
  <c r="AZ53"/>
  <c r="AY53"/>
  <c r="AX53"/>
  <c r="AW53"/>
  <c r="AV53"/>
  <c r="AZ52"/>
  <c r="AY52"/>
  <c r="AX52"/>
  <c r="AW52"/>
  <c r="AV52"/>
  <c r="AZ51"/>
  <c r="AY51"/>
  <c r="AX51"/>
  <c r="AW51"/>
  <c r="AV51"/>
  <c r="AZ50"/>
  <c r="AY50"/>
  <c r="AX50"/>
  <c r="AW50"/>
  <c r="AV50"/>
  <c r="AZ49"/>
  <c r="AY49"/>
  <c r="AX49"/>
  <c r="AW49"/>
  <c r="AV49"/>
  <c r="AZ48"/>
  <c r="AY48"/>
  <c r="AX48"/>
  <c r="AW48"/>
  <c r="AV48"/>
  <c r="AZ47"/>
  <c r="AY47"/>
  <c r="AX47"/>
  <c r="AW47"/>
  <c r="AV47"/>
  <c r="AZ46"/>
  <c r="AY46"/>
  <c r="AX46"/>
  <c r="AW46"/>
  <c r="AV46"/>
  <c r="AZ45"/>
  <c r="AY45"/>
  <c r="AX45"/>
  <c r="AW45"/>
  <c r="AV45"/>
  <c r="AZ44"/>
  <c r="AY44"/>
  <c r="AX44"/>
  <c r="AW44"/>
  <c r="AV44"/>
  <c r="AZ43"/>
  <c r="AY43"/>
  <c r="AX43"/>
  <c r="AW43"/>
  <c r="AV43"/>
  <c r="AZ42"/>
  <c r="AY42"/>
  <c r="AX42"/>
  <c r="AW42"/>
  <c r="AV42"/>
  <c r="AZ41"/>
  <c r="AY41"/>
  <c r="AX41"/>
  <c r="AW41"/>
  <c r="AV41"/>
  <c r="AZ40"/>
  <c r="AY40"/>
  <c r="AX40"/>
  <c r="AW40"/>
  <c r="AV40"/>
  <c r="AZ39"/>
  <c r="AY39"/>
  <c r="AX39"/>
  <c r="AW39"/>
  <c r="AV39"/>
  <c r="AZ38"/>
  <c r="AY38"/>
  <c r="AX38"/>
  <c r="AW38"/>
  <c r="AV38"/>
  <c r="AZ37"/>
  <c r="AY37"/>
  <c r="AX37"/>
  <c r="AW37"/>
  <c r="AV37"/>
  <c r="AZ36"/>
  <c r="AY36"/>
  <c r="AX36"/>
  <c r="AW36"/>
  <c r="AV36"/>
  <c r="AZ35"/>
  <c r="AY35"/>
  <c r="AX35"/>
  <c r="AW35"/>
  <c r="AV35"/>
  <c r="AZ34"/>
  <c r="AY34"/>
  <c r="AX34"/>
  <c r="AW34"/>
  <c r="AV34"/>
  <c r="AZ33"/>
  <c r="AY33"/>
  <c r="AX33"/>
  <c r="AW33"/>
  <c r="AV33"/>
  <c r="AZ32"/>
  <c r="AY32"/>
  <c r="AX32"/>
  <c r="AW32"/>
  <c r="AV32"/>
  <c r="AZ31"/>
  <c r="AY31"/>
  <c r="AX31"/>
  <c r="AW31"/>
  <c r="AV31"/>
  <c r="AZ30"/>
  <c r="AY30"/>
  <c r="AX30"/>
  <c r="AW30"/>
  <c r="AV30"/>
  <c r="AZ29"/>
  <c r="AY29"/>
  <c r="AX29"/>
  <c r="AW29"/>
  <c r="AV29"/>
  <c r="AZ28"/>
  <c r="AY28"/>
  <c r="AX28"/>
  <c r="AW28"/>
  <c r="AV28"/>
  <c r="AZ27"/>
  <c r="AY27"/>
  <c r="AX27"/>
  <c r="AW27"/>
  <c r="AV27"/>
  <c r="AZ26"/>
  <c r="AY26"/>
  <c r="AX26"/>
  <c r="AW26"/>
  <c r="AV26"/>
  <c r="AZ25"/>
  <c r="AY25"/>
  <c r="AX25"/>
  <c r="AW25"/>
  <c r="AV25"/>
  <c r="AZ24"/>
  <c r="AY24"/>
  <c r="AX24"/>
  <c r="AW24"/>
  <c r="AV24"/>
  <c r="AZ23"/>
  <c r="AY23"/>
  <c r="AX23"/>
  <c r="AW23"/>
  <c r="AV23"/>
  <c r="AZ22"/>
  <c r="AY22"/>
  <c r="AX22"/>
  <c r="AW22"/>
  <c r="AV22"/>
  <c r="AZ21"/>
  <c r="AY21"/>
  <c r="AX21"/>
  <c r="AW21"/>
  <c r="AV21"/>
  <c r="AZ20"/>
  <c r="AY20"/>
  <c r="AX20"/>
  <c r="AW20"/>
  <c r="AV20"/>
  <c r="AZ19"/>
  <c r="AY19"/>
  <c r="AX19"/>
  <c r="AW19"/>
  <c r="AV19"/>
  <c r="AZ18"/>
  <c r="AY18"/>
  <c r="AX18"/>
  <c r="AW18"/>
  <c r="AV18"/>
  <c r="AZ17"/>
  <c r="AY17"/>
  <c r="AX17"/>
  <c r="AW17"/>
  <c r="AV17"/>
  <c r="AZ16"/>
  <c r="AY16"/>
  <c r="AX16"/>
  <c r="AW16"/>
  <c r="AV16"/>
  <c r="AZ15"/>
  <c r="AY15"/>
  <c r="AX15"/>
  <c r="AW15"/>
  <c r="AV15"/>
  <c r="AZ14"/>
  <c r="AY14"/>
  <c r="AX14"/>
  <c r="AW14"/>
  <c r="AV14"/>
  <c r="AZ13"/>
  <c r="AY13"/>
  <c r="AX13"/>
  <c r="AW13"/>
  <c r="AV13"/>
  <c r="AZ12"/>
  <c r="AY12"/>
  <c r="AX12"/>
  <c r="AW12"/>
  <c r="AV12"/>
  <c r="AZ11"/>
  <c r="AY11"/>
  <c r="AX11"/>
  <c r="AW11"/>
  <c r="AV11"/>
  <c r="AZ10"/>
  <c r="AY10"/>
  <c r="AX10"/>
  <c r="AW10"/>
  <c r="AV10"/>
  <c r="AZ9"/>
  <c r="AY9"/>
  <c r="AX9"/>
  <c r="AW9"/>
  <c r="AV9"/>
  <c r="AZ8"/>
  <c r="AY8"/>
  <c r="AX8"/>
  <c r="AW8"/>
  <c r="AV8"/>
  <c r="AZ7"/>
  <c r="AY7"/>
  <c r="AX7"/>
  <c r="AW7"/>
  <c r="AV7"/>
  <c r="AZ6"/>
  <c r="AY6"/>
  <c r="AX6"/>
  <c r="AW6"/>
  <c r="AV6"/>
  <c r="AZ5"/>
  <c r="AY5"/>
  <c r="AX5"/>
  <c r="AW5"/>
  <c r="AV5"/>
  <c r="AZ4"/>
  <c r="AY4"/>
  <c r="AX4"/>
  <c r="AW4"/>
  <c r="AV4"/>
  <c r="AZ3"/>
  <c r="AY3"/>
  <c r="AX3"/>
  <c r="AW3"/>
  <c r="AV3"/>
  <c r="L10" l="1"/>
  <c r="K10"/>
  <c r="J10"/>
  <c r="I10"/>
  <c r="H10"/>
  <c r="BA30"/>
  <c r="BB30" s="1"/>
  <c r="BA31"/>
  <c r="BB31" s="1"/>
  <c r="BA32"/>
  <c r="BB32" s="1"/>
  <c r="BA33"/>
  <c r="BB33" s="1"/>
  <c r="BA34"/>
  <c r="BB34" s="1"/>
  <c r="BA35"/>
  <c r="BB35" s="1"/>
  <c r="BA36"/>
  <c r="BB36" s="1"/>
  <c r="BA37"/>
  <c r="BB37" s="1"/>
  <c r="BA38"/>
  <c r="BB38" s="1"/>
  <c r="BA39"/>
  <c r="BB39" s="1"/>
  <c r="BA40"/>
  <c r="BB40" s="1"/>
  <c r="BA41"/>
  <c r="BB41" s="1"/>
  <c r="BA42"/>
  <c r="BB42" s="1"/>
  <c r="BA43"/>
  <c r="BB43" s="1"/>
  <c r="BA44"/>
  <c r="BB44" s="1"/>
  <c r="BA45"/>
  <c r="BB45" s="1"/>
  <c r="BA46"/>
  <c r="BB46" s="1"/>
  <c r="BA47"/>
  <c r="BB47" s="1"/>
  <c r="BA48"/>
  <c r="BB48" s="1"/>
  <c r="BA49"/>
  <c r="BB49" s="1"/>
  <c r="BA50"/>
  <c r="BB50" s="1"/>
  <c r="BA51"/>
  <c r="BB51" s="1"/>
  <c r="BA52"/>
  <c r="BB52" s="1"/>
  <c r="BA53"/>
  <c r="BB53" s="1"/>
  <c r="BA54"/>
  <c r="BB54" s="1"/>
  <c r="BA55"/>
  <c r="BB55" s="1"/>
  <c r="BA56"/>
  <c r="BB56" s="1"/>
  <c r="BA57"/>
  <c r="BB57" s="1"/>
  <c r="BA58"/>
  <c r="BB58" s="1"/>
  <c r="BA59"/>
  <c r="BB59" s="1"/>
  <c r="BA60"/>
  <c r="BB60" s="1"/>
  <c r="BA61"/>
  <c r="BB61" s="1"/>
  <c r="BA62"/>
  <c r="BB62" s="1"/>
  <c r="G5" l="1"/>
  <c r="N5" s="1"/>
  <c r="N4"/>
  <c r="N6"/>
  <c r="M9"/>
  <c r="N9" s="1"/>
  <c r="M11"/>
  <c r="N11" s="1"/>
  <c r="M10"/>
  <c r="BA21"/>
  <c r="BB21" s="1"/>
  <c r="BA22"/>
  <c r="BB22" s="1"/>
  <c r="BA23"/>
  <c r="BB23" s="1"/>
  <c r="BA24"/>
  <c r="BB24" s="1"/>
  <c r="BA25"/>
  <c r="BB25" s="1"/>
  <c r="BA26"/>
  <c r="BB26" s="1"/>
  <c r="BA27"/>
  <c r="BB27" s="1"/>
  <c r="BA28"/>
  <c r="BB28" s="1"/>
  <c r="BA29"/>
  <c r="BB29" s="1"/>
  <c r="BA10"/>
  <c r="BB10" s="1"/>
  <c r="BA11"/>
  <c r="BB11" s="1"/>
  <c r="BA12"/>
  <c r="BB12" s="1"/>
  <c r="BA13"/>
  <c r="BB13" s="1"/>
  <c r="BA14"/>
  <c r="BB14" s="1"/>
  <c r="BA15"/>
  <c r="BB15" s="1"/>
  <c r="BA16"/>
  <c r="BB16" s="1"/>
  <c r="BA17"/>
  <c r="BB17" s="1"/>
  <c r="BA18"/>
  <c r="BB18" s="1"/>
  <c r="BA19"/>
  <c r="BB19" s="1"/>
  <c r="BA20"/>
  <c r="BB20" s="1"/>
  <c r="BA9"/>
  <c r="BB9" s="1"/>
  <c r="BA8"/>
  <c r="BB8" s="1"/>
  <c r="BA7"/>
  <c r="BB7" s="1"/>
  <c r="BA6"/>
  <c r="BB6" s="1"/>
  <c r="BA5"/>
  <c r="BB5" s="1"/>
  <c r="BA4"/>
  <c r="BB4" s="1"/>
  <c r="BA3"/>
  <c r="AC3" i="2"/>
  <c r="AD3"/>
  <c r="AE3"/>
  <c r="AF3"/>
  <c r="AG3"/>
  <c r="AH3"/>
  <c r="AI3"/>
  <c r="AJ3"/>
  <c r="AK3"/>
  <c r="AL3"/>
  <c r="AM3"/>
  <c r="AN3"/>
  <c r="AO3"/>
  <c r="AP3"/>
  <c r="AQ3"/>
  <c r="AC4"/>
  <c r="AD4"/>
  <c r="AE4"/>
  <c r="AF4"/>
  <c r="AG4"/>
  <c r="AH4"/>
  <c r="AI4"/>
  <c r="AJ4"/>
  <c r="AK4"/>
  <c r="AL4"/>
  <c r="AM4"/>
  <c r="AN4"/>
  <c r="AO4"/>
  <c r="AP4"/>
  <c r="AQ4"/>
  <c r="AC5"/>
  <c r="AD5"/>
  <c r="AE5"/>
  <c r="AF5"/>
  <c r="AG5"/>
  <c r="AH5"/>
  <c r="AI5"/>
  <c r="AJ5"/>
  <c r="AK5"/>
  <c r="AL5"/>
  <c r="AM5"/>
  <c r="AN5"/>
  <c r="AO5"/>
  <c r="AP5"/>
  <c r="AQ5"/>
  <c r="AC6"/>
  <c r="AD6"/>
  <c r="AE6"/>
  <c r="AF6"/>
  <c r="AG6"/>
  <c r="AH6"/>
  <c r="AI6"/>
  <c r="AJ6"/>
  <c r="AK6"/>
  <c r="AL6"/>
  <c r="AM6"/>
  <c r="AN6"/>
  <c r="AO6"/>
  <c r="AP6"/>
  <c r="AQ6"/>
  <c r="AC7"/>
  <c r="AD7"/>
  <c r="AE7"/>
  <c r="AF7"/>
  <c r="AG7"/>
  <c r="AH7"/>
  <c r="AI7"/>
  <c r="AJ7"/>
  <c r="AK7"/>
  <c r="AL7"/>
  <c r="AM7"/>
  <c r="AN7"/>
  <c r="AO7"/>
  <c r="AP7"/>
  <c r="AQ7"/>
  <c r="AC8"/>
  <c r="AD8"/>
  <c r="AE8"/>
  <c r="AF8"/>
  <c r="AG8"/>
  <c r="AH8"/>
  <c r="AI8"/>
  <c r="AJ8"/>
  <c r="AK8"/>
  <c r="AL8"/>
  <c r="AM8"/>
  <c r="AN8"/>
  <c r="AO8"/>
  <c r="AP8"/>
  <c r="AQ8"/>
  <c r="AC9"/>
  <c r="AD9"/>
  <c r="AE9"/>
  <c r="AF9"/>
  <c r="AG9"/>
  <c r="AH9"/>
  <c r="AI9"/>
  <c r="AJ9"/>
  <c r="AK9"/>
  <c r="AL9"/>
  <c r="AM9"/>
  <c r="AN9"/>
  <c r="AO9"/>
  <c r="AP9"/>
  <c r="AQ9"/>
  <c r="AC10"/>
  <c r="AD10"/>
  <c r="AE10"/>
  <c r="AF10"/>
  <c r="AG10"/>
  <c r="AH10"/>
  <c r="AI10"/>
  <c r="AJ10"/>
  <c r="AK10"/>
  <c r="AL10"/>
  <c r="AM10"/>
  <c r="AN10"/>
  <c r="AO10"/>
  <c r="AP10"/>
  <c r="AQ10"/>
  <c r="AC11"/>
  <c r="AD11"/>
  <c r="AE11"/>
  <c r="AF11"/>
  <c r="AG11"/>
  <c r="AH11"/>
  <c r="AI11"/>
  <c r="AJ11"/>
  <c r="AK11"/>
  <c r="AL11"/>
  <c r="AM11"/>
  <c r="AN11"/>
  <c r="AO11"/>
  <c r="AP11"/>
  <c r="AQ11"/>
  <c r="AC12"/>
  <c r="AD12"/>
  <c r="AE12"/>
  <c r="AF12"/>
  <c r="AG12"/>
  <c r="AH12"/>
  <c r="AI12"/>
  <c r="AJ12"/>
  <c r="AK12"/>
  <c r="AL12"/>
  <c r="AM12"/>
  <c r="AN12"/>
  <c r="AO12"/>
  <c r="AP12"/>
  <c r="AQ12"/>
  <c r="AC13"/>
  <c r="AD13"/>
  <c r="AE13"/>
  <c r="AF13"/>
  <c r="AG13"/>
  <c r="AH13"/>
  <c r="AI13"/>
  <c r="AJ13"/>
  <c r="AK13"/>
  <c r="AL13"/>
  <c r="AM13"/>
  <c r="AN13"/>
  <c r="AO13"/>
  <c r="AP13"/>
  <c r="AQ13"/>
  <c r="AC14"/>
  <c r="AD14"/>
  <c r="AE14"/>
  <c r="AF14"/>
  <c r="AG14"/>
  <c r="AH14"/>
  <c r="AI14"/>
  <c r="AJ14"/>
  <c r="AK14"/>
  <c r="AL14"/>
  <c r="AM14"/>
  <c r="AN14"/>
  <c r="AO14"/>
  <c r="AP14"/>
  <c r="AQ14"/>
  <c r="AC15"/>
  <c r="AD15"/>
  <c r="AE15"/>
  <c r="AF15"/>
  <c r="AG15"/>
  <c r="AH15"/>
  <c r="AI15"/>
  <c r="AJ15"/>
  <c r="AK15"/>
  <c r="AL15"/>
  <c r="AM15"/>
  <c r="AN15"/>
  <c r="AO15"/>
  <c r="AP15"/>
  <c r="AQ15"/>
  <c r="AC16"/>
  <c r="AD16"/>
  <c r="AE16"/>
  <c r="AF16"/>
  <c r="AG16"/>
  <c r="AH16"/>
  <c r="AI16"/>
  <c r="AJ16"/>
  <c r="AK16"/>
  <c r="AL16"/>
  <c r="AM16"/>
  <c r="AN16"/>
  <c r="AO16"/>
  <c r="AP16"/>
  <c r="AQ16"/>
  <c r="AC17"/>
  <c r="AD17"/>
  <c r="AE17"/>
  <c r="AF17"/>
  <c r="AG17"/>
  <c r="AH17"/>
  <c r="AI17"/>
  <c r="AJ17"/>
  <c r="AK17"/>
  <c r="AL17"/>
  <c r="AM17"/>
  <c r="AN17"/>
  <c r="AO17"/>
  <c r="AP17"/>
  <c r="AQ17"/>
  <c r="AC18"/>
  <c r="AD18"/>
  <c r="AE18"/>
  <c r="AF18"/>
  <c r="AG18"/>
  <c r="AH18"/>
  <c r="AI18"/>
  <c r="AJ18"/>
  <c r="AK18"/>
  <c r="AL18"/>
  <c r="AM18"/>
  <c r="AN18"/>
  <c r="AO18"/>
  <c r="AP18"/>
  <c r="AQ18"/>
  <c r="AC19"/>
  <c r="AD19"/>
  <c r="AE19"/>
  <c r="AF19"/>
  <c r="AG19"/>
  <c r="AH19"/>
  <c r="AI19"/>
  <c r="AJ19"/>
  <c r="AK19"/>
  <c r="AL19"/>
  <c r="AM19"/>
  <c r="AN19"/>
  <c r="AO19"/>
  <c r="AP19"/>
  <c r="AQ19"/>
  <c r="AC20"/>
  <c r="AD20"/>
  <c r="AE20"/>
  <c r="AF20"/>
  <c r="AG20"/>
  <c r="AH20"/>
  <c r="AI20"/>
  <c r="AJ20"/>
  <c r="AK20"/>
  <c r="AL20"/>
  <c r="AM20"/>
  <c r="AN20"/>
  <c r="AO20"/>
  <c r="AP20"/>
  <c r="AQ20"/>
  <c r="AC21"/>
  <c r="AD21"/>
  <c r="AE21"/>
  <c r="AF21"/>
  <c r="AG21"/>
  <c r="AH21"/>
  <c r="AI21"/>
  <c r="AJ21"/>
  <c r="AK21"/>
  <c r="AL21"/>
  <c r="AM21"/>
  <c r="AN21"/>
  <c r="AO21"/>
  <c r="AP21"/>
  <c r="AQ21"/>
  <c r="AC22"/>
  <c r="AD22"/>
  <c r="AE22"/>
  <c r="AF22"/>
  <c r="AG22"/>
  <c r="AH22"/>
  <c r="AI22"/>
  <c r="AJ22"/>
  <c r="AK22"/>
  <c r="AL22"/>
  <c r="AM22"/>
  <c r="AN22"/>
  <c r="AO22"/>
  <c r="AP22"/>
  <c r="AQ22"/>
  <c r="AC23"/>
  <c r="AD23"/>
  <c r="AE23"/>
  <c r="AF23"/>
  <c r="AG23"/>
  <c r="AH23"/>
  <c r="AI23"/>
  <c r="AJ23"/>
  <c r="AK23"/>
  <c r="AL23"/>
  <c r="AM23"/>
  <c r="AN23"/>
  <c r="AO23"/>
  <c r="AP23"/>
  <c r="AQ23"/>
  <c r="AC24"/>
  <c r="AD24"/>
  <c r="AE24"/>
  <c r="AF24"/>
  <c r="AG24"/>
  <c r="AH24"/>
  <c r="AI24"/>
  <c r="AJ24"/>
  <c r="AK24"/>
  <c r="AL24"/>
  <c r="AM24"/>
  <c r="AN24"/>
  <c r="AO24"/>
  <c r="AP24"/>
  <c r="AQ24"/>
  <c r="AC25"/>
  <c r="AD25"/>
  <c r="AE25"/>
  <c r="AF25"/>
  <c r="AG25"/>
  <c r="AH25"/>
  <c r="AI25"/>
  <c r="AJ25"/>
  <c r="AK25"/>
  <c r="AL25"/>
  <c r="AM25"/>
  <c r="AN25"/>
  <c r="AO25"/>
  <c r="AP25"/>
  <c r="AQ25"/>
  <c r="AC26"/>
  <c r="AD26"/>
  <c r="AE26"/>
  <c r="AF26"/>
  <c r="AG26"/>
  <c r="AH26"/>
  <c r="AI26"/>
  <c r="AJ26"/>
  <c r="AK26"/>
  <c r="AL26"/>
  <c r="AM26"/>
  <c r="AN26"/>
  <c r="AO26"/>
  <c r="AP26"/>
  <c r="AQ26"/>
  <c r="AC27"/>
  <c r="AD27"/>
  <c r="AE27"/>
  <c r="AF27"/>
  <c r="AG27"/>
  <c r="AH27"/>
  <c r="AI27"/>
  <c r="AJ27"/>
  <c r="AK27"/>
  <c r="AL27"/>
  <c r="AM27"/>
  <c r="AN27"/>
  <c r="AO27"/>
  <c r="AP27"/>
  <c r="AQ27"/>
  <c r="AC28"/>
  <c r="AD28"/>
  <c r="AE28"/>
  <c r="AF28"/>
  <c r="AG28"/>
  <c r="AH28"/>
  <c r="AI28"/>
  <c r="AJ28"/>
  <c r="AK28"/>
  <c r="AL28"/>
  <c r="AM28"/>
  <c r="AN28"/>
  <c r="AO28"/>
  <c r="AP28"/>
  <c r="AQ28"/>
  <c r="AC29"/>
  <c r="AD29"/>
  <c r="AE29"/>
  <c r="AF29"/>
  <c r="AG29"/>
  <c r="AH29"/>
  <c r="AI29"/>
  <c r="AJ29"/>
  <c r="AK29"/>
  <c r="AL29"/>
  <c r="AM29"/>
  <c r="AN29"/>
  <c r="AO29"/>
  <c r="AP29"/>
  <c r="AQ29"/>
  <c r="AC30"/>
  <c r="AD30"/>
  <c r="AE30"/>
  <c r="AF30"/>
  <c r="AG30"/>
  <c r="AH30"/>
  <c r="AI30"/>
  <c r="AJ30"/>
  <c r="AK30"/>
  <c r="AL30"/>
  <c r="AM30"/>
  <c r="AN30"/>
  <c r="AO30"/>
  <c r="AP30"/>
  <c r="AQ30"/>
  <c r="AC31"/>
  <c r="AD31"/>
  <c r="AE31"/>
  <c r="AF31"/>
  <c r="AG31"/>
  <c r="AH31"/>
  <c r="AI31"/>
  <c r="AJ31"/>
  <c r="AK31"/>
  <c r="AL31"/>
  <c r="AM31"/>
  <c r="AN31"/>
  <c r="AO31"/>
  <c r="AP31"/>
  <c r="AQ31"/>
  <c r="AC32"/>
  <c r="AD32"/>
  <c r="AE32"/>
  <c r="AF32"/>
  <c r="AG32"/>
  <c r="AH32"/>
  <c r="AI32"/>
  <c r="AJ32"/>
  <c r="AK32"/>
  <c r="AL32"/>
  <c r="AM32"/>
  <c r="AN32"/>
  <c r="AO32"/>
  <c r="AP32"/>
  <c r="AQ32"/>
  <c r="AC33"/>
  <c r="AD33"/>
  <c r="AE33"/>
  <c r="AF33"/>
  <c r="AG33"/>
  <c r="AH33"/>
  <c r="AI33"/>
  <c r="AJ33"/>
  <c r="AK33"/>
  <c r="AL33"/>
  <c r="AM33"/>
  <c r="AN33"/>
  <c r="AO33"/>
  <c r="AP33"/>
  <c r="AQ33"/>
  <c r="AC34"/>
  <c r="AD34"/>
  <c r="AE34"/>
  <c r="AF34"/>
  <c r="AG34"/>
  <c r="AH34"/>
  <c r="AI34"/>
  <c r="AJ34"/>
  <c r="AK34"/>
  <c r="AL34"/>
  <c r="AM34"/>
  <c r="AN34"/>
  <c r="AO34"/>
  <c r="AP34"/>
  <c r="AQ34"/>
  <c r="AC35"/>
  <c r="AD35"/>
  <c r="AE35"/>
  <c r="AF35"/>
  <c r="AG35"/>
  <c r="AH35"/>
  <c r="AI35"/>
  <c r="AJ35"/>
  <c r="AK35"/>
  <c r="AL35"/>
  <c r="AM35"/>
  <c r="AN35"/>
  <c r="AO35"/>
  <c r="AP35"/>
  <c r="AQ35"/>
  <c r="AC36"/>
  <c r="AD36"/>
  <c r="AE36"/>
  <c r="AF36"/>
  <c r="AG36"/>
  <c r="AH36"/>
  <c r="AI36"/>
  <c r="AJ36"/>
  <c r="AK36"/>
  <c r="AL36"/>
  <c r="AM36"/>
  <c r="AN36"/>
  <c r="AO36"/>
  <c r="AP36"/>
  <c r="AQ36"/>
  <c r="AC37"/>
  <c r="AD37"/>
  <c r="AE37"/>
  <c r="AF37"/>
  <c r="AG37"/>
  <c r="AH37"/>
  <c r="AI37"/>
  <c r="AJ37"/>
  <c r="AK37"/>
  <c r="AL37"/>
  <c r="AM37"/>
  <c r="AN37"/>
  <c r="AO37"/>
  <c r="AP37"/>
  <c r="AQ37"/>
  <c r="AC38"/>
  <c r="AD38"/>
  <c r="AE38"/>
  <c r="AF38"/>
  <c r="AG38"/>
  <c r="AH38"/>
  <c r="AI38"/>
  <c r="AJ38"/>
  <c r="AK38"/>
  <c r="AL38"/>
  <c r="AM38"/>
  <c r="AN38"/>
  <c r="AO38"/>
  <c r="AP38"/>
  <c r="AQ38"/>
  <c r="AC39"/>
  <c r="AD39"/>
  <c r="AE39"/>
  <c r="AF39"/>
  <c r="AG39"/>
  <c r="AH39"/>
  <c r="AI39"/>
  <c r="AJ39"/>
  <c r="AK39"/>
  <c r="AL39"/>
  <c r="AM39"/>
  <c r="AN39"/>
  <c r="AO39"/>
  <c r="AP39"/>
  <c r="AQ39"/>
  <c r="AC40"/>
  <c r="AD40"/>
  <c r="AE40"/>
  <c r="AF40"/>
  <c r="AG40"/>
  <c r="AH40"/>
  <c r="AI40"/>
  <c r="AJ40"/>
  <c r="AK40"/>
  <c r="AL40"/>
  <c r="AM40"/>
  <c r="AN40"/>
  <c r="AO40"/>
  <c r="AP40"/>
  <c r="AQ40"/>
  <c r="AC41"/>
  <c r="AD41"/>
  <c r="AE41"/>
  <c r="AF41"/>
  <c r="AG41"/>
  <c r="AH41"/>
  <c r="AI41"/>
  <c r="AJ41"/>
  <c r="AK41"/>
  <c r="AL41"/>
  <c r="AM41"/>
  <c r="AN41"/>
  <c r="AO41"/>
  <c r="AP41"/>
  <c r="AQ41"/>
  <c r="AC42"/>
  <c r="AD42"/>
  <c r="AE42"/>
  <c r="AF42"/>
  <c r="AG42"/>
  <c r="AH42"/>
  <c r="AI42"/>
  <c r="AJ42"/>
  <c r="AK42"/>
  <c r="AL42"/>
  <c r="AM42"/>
  <c r="AN42"/>
  <c r="AO42"/>
  <c r="AP42"/>
  <c r="AQ42"/>
  <c r="AC43"/>
  <c r="AD43"/>
  <c r="AE43"/>
  <c r="AF43"/>
  <c r="AG43"/>
  <c r="AH43"/>
  <c r="AI43"/>
  <c r="AJ43"/>
  <c r="AK43"/>
  <c r="AL43"/>
  <c r="AM43"/>
  <c r="AN43"/>
  <c r="AO43"/>
  <c r="AP43"/>
  <c r="AQ43"/>
  <c r="AC44"/>
  <c r="AD44"/>
  <c r="AE44"/>
  <c r="AF44"/>
  <c r="AG44"/>
  <c r="AH44"/>
  <c r="AI44"/>
  <c r="AJ44"/>
  <c r="AK44"/>
  <c r="AL44"/>
  <c r="AM44"/>
  <c r="AN44"/>
  <c r="AO44"/>
  <c r="AP44"/>
  <c r="AQ44"/>
  <c r="AC45"/>
  <c r="AD45"/>
  <c r="AE45"/>
  <c r="AF45"/>
  <c r="AG45"/>
  <c r="AH45"/>
  <c r="AI45"/>
  <c r="AJ45"/>
  <c r="AK45"/>
  <c r="AL45"/>
  <c r="AM45"/>
  <c r="AN45"/>
  <c r="AO45"/>
  <c r="AP45"/>
  <c r="AQ45"/>
  <c r="AC46"/>
  <c r="AD46"/>
  <c r="AE46"/>
  <c r="AF46"/>
  <c r="AG46"/>
  <c r="AH46"/>
  <c r="AI46"/>
  <c r="AJ46"/>
  <c r="AK46"/>
  <c r="AL46"/>
  <c r="AM46"/>
  <c r="AN46"/>
  <c r="AO46"/>
  <c r="AP46"/>
  <c r="AQ46"/>
  <c r="AC47"/>
  <c r="AD47"/>
  <c r="AE47"/>
  <c r="AF47"/>
  <c r="AG47"/>
  <c r="AH47"/>
  <c r="AI47"/>
  <c r="AJ47"/>
  <c r="AK47"/>
  <c r="AL47"/>
  <c r="AM47"/>
  <c r="AN47"/>
  <c r="AO47"/>
  <c r="AP47"/>
  <c r="AQ47"/>
  <c r="AC48"/>
  <c r="AD48"/>
  <c r="AE48"/>
  <c r="AF48"/>
  <c r="AG48"/>
  <c r="AH48"/>
  <c r="AI48"/>
  <c r="AJ48"/>
  <c r="AK48"/>
  <c r="AL48"/>
  <c r="AM48"/>
  <c r="AN48"/>
  <c r="AO48"/>
  <c r="AP48"/>
  <c r="AQ48"/>
  <c r="AC49"/>
  <c r="AD49"/>
  <c r="AE49"/>
  <c r="AF49"/>
  <c r="AG49"/>
  <c r="AH49"/>
  <c r="AI49"/>
  <c r="AJ49"/>
  <c r="AK49"/>
  <c r="AL49"/>
  <c r="AM49"/>
  <c r="AN49"/>
  <c r="AO49"/>
  <c r="AP49"/>
  <c r="AQ49"/>
  <c r="AC50"/>
  <c r="AD50"/>
  <c r="AE50"/>
  <c r="AF50"/>
  <c r="AG50"/>
  <c r="AH50"/>
  <c r="AI50"/>
  <c r="AJ50"/>
  <c r="AK50"/>
  <c r="AL50"/>
  <c r="AM50"/>
  <c r="AN50"/>
  <c r="AO50"/>
  <c r="AP50"/>
  <c r="AQ50"/>
  <c r="AC51"/>
  <c r="AD51"/>
  <c r="AE51"/>
  <c r="AF51"/>
  <c r="AG51"/>
  <c r="AH51"/>
  <c r="AI51"/>
  <c r="AJ51"/>
  <c r="AK51"/>
  <c r="AL51"/>
  <c r="AM51"/>
  <c r="AN51"/>
  <c r="AO51"/>
  <c r="AP51"/>
  <c r="AQ51"/>
  <c r="AC52"/>
  <c r="AD52"/>
  <c r="AE52"/>
  <c r="AF52"/>
  <c r="AG52"/>
  <c r="AH52"/>
  <c r="AI52"/>
  <c r="AJ52"/>
  <c r="AK52"/>
  <c r="AL52"/>
  <c r="AM52"/>
  <c r="AN52"/>
  <c r="AO52"/>
  <c r="AP52"/>
  <c r="AQ52"/>
  <c r="AC53"/>
  <c r="AD53"/>
  <c r="AE53"/>
  <c r="AF53"/>
  <c r="AG53"/>
  <c r="AH53"/>
  <c r="AI53"/>
  <c r="AJ53"/>
  <c r="AK53"/>
  <c r="AL53"/>
  <c r="AM53"/>
  <c r="AN53"/>
  <c r="AO53"/>
  <c r="AP53"/>
  <c r="AQ53"/>
  <c r="AC54"/>
  <c r="AD54"/>
  <c r="AE54"/>
  <c r="AF54"/>
  <c r="AG54"/>
  <c r="AH54"/>
  <c r="AI54"/>
  <c r="AJ54"/>
  <c r="AK54"/>
  <c r="AL54"/>
  <c r="AM54"/>
  <c r="AN54"/>
  <c r="AO54"/>
  <c r="AP54"/>
  <c r="AQ54"/>
  <c r="AC55"/>
  <c r="AD55"/>
  <c r="AE55"/>
  <c r="AF55"/>
  <c r="AG55"/>
  <c r="AH55"/>
  <c r="AI55"/>
  <c r="AJ55"/>
  <c r="AK55"/>
  <c r="AL55"/>
  <c r="AM55"/>
  <c r="AN55"/>
  <c r="AO55"/>
  <c r="AP55"/>
  <c r="AQ55"/>
  <c r="AC56"/>
  <c r="AD56"/>
  <c r="AE56"/>
  <c r="AF56"/>
  <c r="AG56"/>
  <c r="AH56"/>
  <c r="AI56"/>
  <c r="AJ56"/>
  <c r="AK56"/>
  <c r="AL56"/>
  <c r="AM56"/>
  <c r="AN56"/>
  <c r="AO56"/>
  <c r="AP56"/>
  <c r="AQ56"/>
  <c r="AC57"/>
  <c r="AD57"/>
  <c r="AE57"/>
  <c r="AF57"/>
  <c r="AG57"/>
  <c r="AH57"/>
  <c r="AI57"/>
  <c r="AJ57"/>
  <c r="AK57"/>
  <c r="AL57"/>
  <c r="AM57"/>
  <c r="AN57"/>
  <c r="AO57"/>
  <c r="AP57"/>
  <c r="AQ57"/>
  <c r="AC58"/>
  <c r="AD58"/>
  <c r="AE58"/>
  <c r="AF58"/>
  <c r="AG58"/>
  <c r="AH58"/>
  <c r="AI58"/>
  <c r="AJ58"/>
  <c r="AK58"/>
  <c r="AL58"/>
  <c r="AM58"/>
  <c r="AN58"/>
  <c r="AO58"/>
  <c r="AP58"/>
  <c r="AQ58"/>
  <c r="AC59"/>
  <c r="AD59"/>
  <c r="AE59"/>
  <c r="AF59"/>
  <c r="AG59"/>
  <c r="AH59"/>
  <c r="AI59"/>
  <c r="AJ59"/>
  <c r="AK59"/>
  <c r="AL59"/>
  <c r="AM59"/>
  <c r="AN59"/>
  <c r="AO59"/>
  <c r="AP59"/>
  <c r="AQ59"/>
  <c r="AC60"/>
  <c r="AD60"/>
  <c r="AE60"/>
  <c r="AF60"/>
  <c r="AG60"/>
  <c r="AH60"/>
  <c r="AI60"/>
  <c r="AJ60"/>
  <c r="AK60"/>
  <c r="AL60"/>
  <c r="AM60"/>
  <c r="AN60"/>
  <c r="AO60"/>
  <c r="AP60"/>
  <c r="AQ60"/>
  <c r="AC61"/>
  <c r="AD61"/>
  <c r="AE61"/>
  <c r="AF61"/>
  <c r="AG61"/>
  <c r="AH61"/>
  <c r="AI61"/>
  <c r="AJ61"/>
  <c r="AK61"/>
  <c r="AL61"/>
  <c r="AM61"/>
  <c r="AN61"/>
  <c r="AO61"/>
  <c r="AP61"/>
  <c r="AQ61"/>
  <c r="AC62"/>
  <c r="AD62"/>
  <c r="AE62"/>
  <c r="AF62"/>
  <c r="AG62"/>
  <c r="AH62"/>
  <c r="AI62"/>
  <c r="AJ62"/>
  <c r="AK62"/>
  <c r="AL62"/>
  <c r="AM62"/>
  <c r="AN62"/>
  <c r="AO62"/>
  <c r="AP62"/>
  <c r="AQ62"/>
  <c r="AC63"/>
  <c r="AD63"/>
  <c r="AE63"/>
  <c r="AF63"/>
  <c r="AG63"/>
  <c r="AH63"/>
  <c r="AI63"/>
  <c r="AJ63"/>
  <c r="AK63"/>
  <c r="AL63"/>
  <c r="AM63"/>
  <c r="AN63"/>
  <c r="AO63"/>
  <c r="AP63"/>
  <c r="AQ63"/>
  <c r="AC64"/>
  <c r="AD64"/>
  <c r="AE64"/>
  <c r="AF64"/>
  <c r="AG64"/>
  <c r="AH64"/>
  <c r="AI64"/>
  <c r="AJ64"/>
  <c r="AK64"/>
  <c r="AL64"/>
  <c r="AM64"/>
  <c r="AN64"/>
  <c r="AO64"/>
  <c r="AP64"/>
  <c r="AQ64"/>
  <c r="AC65"/>
  <c r="AD65"/>
  <c r="AE65"/>
  <c r="AF65"/>
  <c r="AG65"/>
  <c r="AH65"/>
  <c r="AI65"/>
  <c r="AJ65"/>
  <c r="AK65"/>
  <c r="AL65"/>
  <c r="AM65"/>
  <c r="AN65"/>
  <c r="AO65"/>
  <c r="AP65"/>
  <c r="AQ65"/>
  <c r="AC66"/>
  <c r="AD66"/>
  <c r="AE66"/>
  <c r="AF66"/>
  <c r="AG66"/>
  <c r="AH66"/>
  <c r="AI66"/>
  <c r="AJ66"/>
  <c r="AK66"/>
  <c r="AL66"/>
  <c r="AM66"/>
  <c r="AN66"/>
  <c r="AO66"/>
  <c r="AP66"/>
  <c r="AQ66"/>
  <c r="AC67"/>
  <c r="AD67"/>
  <c r="AE67"/>
  <c r="AF67"/>
  <c r="AG67"/>
  <c r="AH67"/>
  <c r="AI67"/>
  <c r="AJ67"/>
  <c r="AK67"/>
  <c r="AL67"/>
  <c r="AM67"/>
  <c r="AN67"/>
  <c r="AO67"/>
  <c r="AP67"/>
  <c r="AQ67"/>
  <c r="AC68"/>
  <c r="AD68"/>
  <c r="AE68"/>
  <c r="AF68"/>
  <c r="AG68"/>
  <c r="AH68"/>
  <c r="AI68"/>
  <c r="AJ68"/>
  <c r="AK68"/>
  <c r="AL68"/>
  <c r="AM68"/>
  <c r="AN68"/>
  <c r="AO68"/>
  <c r="AP68"/>
  <c r="AQ68"/>
  <c r="AC69"/>
  <c r="AD69"/>
  <c r="AE69"/>
  <c r="AF69"/>
  <c r="AG69"/>
  <c r="AH69"/>
  <c r="AI69"/>
  <c r="AJ69"/>
  <c r="AK69"/>
  <c r="AL69"/>
  <c r="AM69"/>
  <c r="AN69"/>
  <c r="AO69"/>
  <c r="AP69"/>
  <c r="AQ69"/>
  <c r="AC70"/>
  <c r="AD70"/>
  <c r="AE70"/>
  <c r="AF70"/>
  <c r="AG70"/>
  <c r="AH70"/>
  <c r="AI70"/>
  <c r="AJ70"/>
  <c r="AK70"/>
  <c r="AL70"/>
  <c r="AM70"/>
  <c r="AN70"/>
  <c r="AO70"/>
  <c r="AP70"/>
  <c r="AQ70"/>
  <c r="AQ2"/>
  <c r="AD2"/>
  <c r="AE2"/>
  <c r="AF2"/>
  <c r="AG2"/>
  <c r="AH2"/>
  <c r="AI2"/>
  <c r="AJ2"/>
  <c r="AK2"/>
  <c r="AL2"/>
  <c r="AM2"/>
  <c r="AN2"/>
  <c r="AO2"/>
  <c r="AP2"/>
  <c r="AC2"/>
  <c r="L15" s="1"/>
  <c r="M78" i="1"/>
  <c r="N92"/>
  <c r="N88"/>
  <c r="M41"/>
  <c r="E5"/>
  <c r="E9" s="1"/>
  <c r="E10" s="1"/>
  <c r="DC68"/>
  <c r="DZ117" s="1"/>
  <c r="E7"/>
  <c r="B13"/>
  <c r="X14"/>
  <c r="AS14" s="1"/>
  <c r="E13"/>
  <c r="S14" s="1"/>
  <c r="G13"/>
  <c r="S25"/>
  <c r="AI25" s="1"/>
  <c r="AI26" s="1"/>
  <c r="I13"/>
  <c r="S36"/>
  <c r="AJ36" s="1"/>
  <c r="AJ37" s="1"/>
  <c r="K13"/>
  <c r="S47"/>
  <c r="AQ47" s="1"/>
  <c r="AQ48" s="1"/>
  <c r="AQ49" s="1"/>
  <c r="AQ50" s="1"/>
  <c r="AQ51" s="1"/>
  <c r="M13"/>
  <c r="B14"/>
  <c r="E14"/>
  <c r="S15" s="1"/>
  <c r="G14"/>
  <c r="S26"/>
  <c r="I14"/>
  <c r="S37"/>
  <c r="K14"/>
  <c r="M14"/>
  <c r="S59"/>
  <c r="B15"/>
  <c r="E15"/>
  <c r="S16" s="1"/>
  <c r="G15"/>
  <c r="S27"/>
  <c r="I15"/>
  <c r="S38"/>
  <c r="AM38" s="1"/>
  <c r="K15"/>
  <c r="S49"/>
  <c r="M15"/>
  <c r="B16"/>
  <c r="E16"/>
  <c r="S17" s="1"/>
  <c r="G16"/>
  <c r="I16"/>
  <c r="S39"/>
  <c r="AO39" s="1"/>
  <c r="K16"/>
  <c r="S50"/>
  <c r="AM50" s="1"/>
  <c r="M16"/>
  <c r="S61"/>
  <c r="AO61" s="1"/>
  <c r="B17"/>
  <c r="E17"/>
  <c r="S18" s="1"/>
  <c r="G17"/>
  <c r="S29"/>
  <c r="AO29" s="1"/>
  <c r="I17"/>
  <c r="S40"/>
  <c r="K17"/>
  <c r="S51"/>
  <c r="AM51" s="1"/>
  <c r="M17"/>
  <c r="B18"/>
  <c r="E18"/>
  <c r="S19" s="1"/>
  <c r="G18"/>
  <c r="I18"/>
  <c r="S41"/>
  <c r="AO41" s="1"/>
  <c r="K18"/>
  <c r="S52"/>
  <c r="AM52" s="1"/>
  <c r="M18"/>
  <c r="S63"/>
  <c r="B19"/>
  <c r="E19"/>
  <c r="G19"/>
  <c r="S31"/>
  <c r="AM32" s="1"/>
  <c r="I19"/>
  <c r="S42"/>
  <c r="AO42" s="1"/>
  <c r="K19"/>
  <c r="M19"/>
  <c r="B20"/>
  <c r="E20"/>
  <c r="S21"/>
  <c r="G20"/>
  <c r="I20"/>
  <c r="K20"/>
  <c r="M20"/>
  <c r="S20"/>
  <c r="V23"/>
  <c r="X25"/>
  <c r="S28"/>
  <c r="S30"/>
  <c r="S32"/>
  <c r="X36"/>
  <c r="AS36" s="1"/>
  <c r="S43"/>
  <c r="X47"/>
  <c r="AS47" s="1"/>
  <c r="S48"/>
  <c r="S53"/>
  <c r="AM53" s="1"/>
  <c r="S54"/>
  <c r="S58"/>
  <c r="AI58" s="1"/>
  <c r="AI59" s="1"/>
  <c r="X58"/>
  <c r="AS58" s="1"/>
  <c r="S60"/>
  <c r="S62"/>
  <c r="S64"/>
  <c r="AO65" s="1"/>
  <c r="S65"/>
  <c r="CY74"/>
  <c r="E78"/>
  <c r="E79" s="1"/>
  <c r="DD106"/>
  <c r="CW68"/>
  <c r="CV117" s="1"/>
  <c r="DF68"/>
  <c r="DF121" s="1"/>
  <c r="DD111"/>
  <c r="DU127"/>
  <c r="CY68"/>
  <c r="DF117" s="1"/>
  <c r="EC106"/>
  <c r="AO37"/>
  <c r="DJ65"/>
  <c r="DK113" s="1"/>
  <c r="DI65"/>
  <c r="DF113" s="1"/>
  <c r="CZ65"/>
  <c r="J9"/>
  <c r="DR65"/>
  <c r="DP108" s="1"/>
  <c r="DL65"/>
  <c r="DU113" s="1"/>
  <c r="DG65"/>
  <c r="CV113" s="1"/>
  <c r="DA65"/>
  <c r="DD65"/>
  <c r="DS65"/>
  <c r="DU108" s="1"/>
  <c r="DP65"/>
  <c r="DF108" s="1"/>
  <c r="DH65"/>
  <c r="DA113" s="1"/>
  <c r="DI106"/>
  <c r="DS111"/>
  <c r="DE68"/>
  <c r="DA121" s="1"/>
  <c r="DS106"/>
  <c r="EC111"/>
  <c r="DG68"/>
  <c r="DK121" s="1"/>
  <c r="L9"/>
  <c r="DO65"/>
  <c r="DA108" s="1"/>
  <c r="DK65"/>
  <c r="DP113" s="1"/>
  <c r="DN65"/>
  <c r="CV108" s="1"/>
  <c r="DN111"/>
  <c r="DD68"/>
  <c r="CV121" s="1"/>
  <c r="DN106"/>
  <c r="DX111"/>
  <c r="DX106"/>
  <c r="CX68"/>
  <c r="DA117" s="1"/>
  <c r="DM65"/>
  <c r="DZ113" s="1"/>
  <c r="DC65"/>
  <c r="DT65"/>
  <c r="DZ108" s="1"/>
  <c r="CY65"/>
  <c r="CX65"/>
  <c r="DQ65"/>
  <c r="DK108" s="1"/>
  <c r="CW66"/>
  <c r="CW65"/>
  <c r="CV82" s="1"/>
  <c r="CZ68"/>
  <c r="DK117" s="1"/>
  <c r="CY111"/>
  <c r="DA68"/>
  <c r="DP117" s="1"/>
  <c r="CY106"/>
  <c r="DB68"/>
  <c r="DU117" s="1"/>
  <c r="DI111"/>
  <c r="AO63"/>
  <c r="AO52"/>
  <c r="AI47"/>
  <c r="AI48" s="1"/>
  <c r="AQ25"/>
  <c r="AQ26" s="1"/>
  <c r="AQ27" s="1"/>
  <c r="AO49"/>
  <c r="C31" i="2"/>
  <c r="D7"/>
  <c r="T15"/>
  <c r="BB3" i="1"/>
  <c r="AM43"/>
  <c r="AO50"/>
  <c r="T11" i="2"/>
  <c r="AO31" i="1"/>
  <c r="H9"/>
  <c r="K9"/>
  <c r="AO54"/>
  <c r="AO32"/>
  <c r="X15"/>
  <c r="AS15" s="1"/>
  <c r="L19" i="2"/>
  <c r="L11"/>
  <c r="R35"/>
  <c r="V35"/>
  <c r="T7"/>
  <c r="AM65" i="1"/>
  <c r="AO43"/>
  <c r="X59"/>
  <c r="AS59" s="1"/>
  <c r="AI36"/>
  <c r="AI37" s="1"/>
  <c r="AI38" s="1"/>
  <c r="AI39" s="1"/>
  <c r="AI40" s="1"/>
  <c r="AI41" s="1"/>
  <c r="AI42" s="1"/>
  <c r="AI43" s="1"/>
  <c r="AQ36"/>
  <c r="AQ37" s="1"/>
  <c r="AQ38" s="1"/>
  <c r="AQ39" s="1"/>
  <c r="AQ40" s="1"/>
  <c r="AQ41" s="1"/>
  <c r="AQ42" s="1"/>
  <c r="AQ43" s="1"/>
  <c r="X16"/>
  <c r="X17" s="1"/>
  <c r="AS17" s="1"/>
  <c r="N5" i="2" l="1"/>
  <c r="O5" s="1"/>
  <c r="O7" s="1"/>
  <c r="R13"/>
  <c r="AM61" i="1"/>
  <c r="J7" i="2"/>
  <c r="AO26" i="1"/>
  <c r="AM39"/>
  <c r="AM62"/>
  <c r="C11" i="2"/>
  <c r="C27"/>
  <c r="H25"/>
  <c r="D37"/>
  <c r="N15"/>
  <c r="AM54" i="1"/>
  <c r="J17" i="2"/>
  <c r="D25"/>
  <c r="R25"/>
  <c r="AO48" i="1"/>
  <c r="AO53"/>
  <c r="AO38"/>
  <c r="F7" i="2"/>
  <c r="AO30" i="1"/>
  <c r="AM21"/>
  <c r="AO40"/>
  <c r="AM28"/>
  <c r="AO59"/>
  <c r="AJ38"/>
  <c r="AJ39" s="1"/>
  <c r="AJ40" s="1"/>
  <c r="AJ41" s="1"/>
  <c r="AJ42" s="1"/>
  <c r="AJ43" s="1"/>
  <c r="J11" i="2"/>
  <c r="N13"/>
  <c r="P13"/>
  <c r="T27"/>
  <c r="P31"/>
  <c r="F35"/>
  <c r="L21"/>
  <c r="J29"/>
  <c r="T37"/>
  <c r="AJ25" i="1"/>
  <c r="AJ26" s="1"/>
  <c r="AJ27" s="1"/>
  <c r="AJ28" s="1"/>
  <c r="AJ29" s="1"/>
  <c r="AJ30" s="1"/>
  <c r="AJ31" s="1"/>
  <c r="AJ32" s="1"/>
  <c r="AJ47"/>
  <c r="AJ48" s="1"/>
  <c r="AJ49" s="1"/>
  <c r="AJ50" s="1"/>
  <c r="AJ51" s="1"/>
  <c r="AJ52" s="1"/>
  <c r="AJ53" s="1"/>
  <c r="AJ54" s="1"/>
  <c r="D33" i="2"/>
  <c r="AM26" i="1"/>
  <c r="AN26" s="1"/>
  <c r="V31" i="2"/>
  <c r="L9"/>
  <c r="L37"/>
  <c r="F5"/>
  <c r="G5" s="1"/>
  <c r="G7" s="1"/>
  <c r="D23"/>
  <c r="R17"/>
  <c r="AM48" i="1"/>
  <c r="AN48" s="1"/>
  <c r="AO51"/>
  <c r="AM42"/>
  <c r="AM41"/>
  <c r="AM59"/>
  <c r="AN59" s="1"/>
  <c r="AI49"/>
  <c r="AI50" s="1"/>
  <c r="AI51" s="1"/>
  <c r="AI52" s="1"/>
  <c r="AI53" s="1"/>
  <c r="AI54" s="1"/>
  <c r="X48"/>
  <c r="AO28"/>
  <c r="AO60"/>
  <c r="AQ58"/>
  <c r="AQ59" s="1"/>
  <c r="AM40"/>
  <c r="AM30"/>
  <c r="AM31"/>
  <c r="AO27"/>
  <c r="AO64"/>
  <c r="AI27"/>
  <c r="AI28" s="1"/>
  <c r="AI29" s="1"/>
  <c r="AI30" s="1"/>
  <c r="AI31" s="1"/>
  <c r="AI32" s="1"/>
  <c r="AM37"/>
  <c r="AN37" s="1"/>
  <c r="AN38" s="1"/>
  <c r="AN39" s="1"/>
  <c r="AN40" s="1"/>
  <c r="AM29"/>
  <c r="AM49"/>
  <c r="AM27"/>
  <c r="AS16"/>
  <c r="X37"/>
  <c r="AM60"/>
  <c r="AO20"/>
  <c r="X26"/>
  <c r="AS26" s="1"/>
  <c r="AS25"/>
  <c r="X23" i="2"/>
  <c r="L35"/>
  <c r="N23"/>
  <c r="J31"/>
  <c r="N7"/>
  <c r="N11"/>
  <c r="X21"/>
  <c r="J35"/>
  <c r="X13"/>
  <c r="H37"/>
  <c r="T29"/>
  <c r="F9"/>
  <c r="V27"/>
  <c r="L23"/>
  <c r="P35"/>
  <c r="T23"/>
  <c r="X25"/>
  <c r="D11"/>
  <c r="J21"/>
  <c r="V25"/>
  <c r="X17"/>
  <c r="J27"/>
  <c r="J37"/>
  <c r="H21"/>
  <c r="V15"/>
  <c r="H9"/>
  <c r="L5"/>
  <c r="M5" s="1"/>
  <c r="N9"/>
  <c r="X29"/>
  <c r="H5"/>
  <c r="I5" s="1"/>
  <c r="R31"/>
  <c r="C35"/>
  <c r="C5"/>
  <c r="N27"/>
  <c r="R11"/>
  <c r="J5"/>
  <c r="N31"/>
  <c r="X15"/>
  <c r="P15"/>
  <c r="V7"/>
  <c r="X19"/>
  <c r="H17"/>
  <c r="P17"/>
  <c r="H35"/>
  <c r="H31"/>
  <c r="F17"/>
  <c r="X31"/>
  <c r="F13"/>
  <c r="C7"/>
  <c r="F27"/>
  <c r="H13"/>
  <c r="X5"/>
  <c r="Y5" s="1"/>
  <c r="N17"/>
  <c r="V11"/>
  <c r="D29"/>
  <c r="X7"/>
  <c r="P21"/>
  <c r="F11"/>
  <c r="X33"/>
  <c r="C17"/>
  <c r="X37"/>
  <c r="L7"/>
  <c r="R19"/>
  <c r="L29"/>
  <c r="F23"/>
  <c r="R27"/>
  <c r="R15"/>
  <c r="D27"/>
  <c r="R37"/>
  <c r="F31"/>
  <c r="R5"/>
  <c r="F29"/>
  <c r="C9"/>
  <c r="V33"/>
  <c r="F15"/>
  <c r="V29"/>
  <c r="N25"/>
  <c r="T21"/>
  <c r="V17"/>
  <c r="C21"/>
  <c r="L33"/>
  <c r="J19"/>
  <c r="P5"/>
  <c r="P6" s="1"/>
  <c r="H23"/>
  <c r="P37"/>
  <c r="P23"/>
  <c r="V5"/>
  <c r="W5" s="1"/>
  <c r="N35"/>
  <c r="D21"/>
  <c r="L27"/>
  <c r="H7"/>
  <c r="D19"/>
  <c r="R29"/>
  <c r="C25"/>
  <c r="R21"/>
  <c r="J15"/>
  <c r="N33"/>
  <c r="P27"/>
  <c r="N29"/>
  <c r="C29"/>
  <c r="R7"/>
  <c r="C15"/>
  <c r="X35"/>
  <c r="H15"/>
  <c r="D15"/>
  <c r="J33"/>
  <c r="CQ16" i="1"/>
  <c r="CR16" s="1"/>
  <c r="CQ17"/>
  <c r="CR17" s="1"/>
  <c r="CQ15"/>
  <c r="CR15" s="1"/>
  <c r="CQ14"/>
  <c r="CR14" s="1"/>
  <c r="CQ18"/>
  <c r="CR18" s="1"/>
  <c r="AM20"/>
  <c r="AQ14"/>
  <c r="AQ15" s="1"/>
  <c r="AQ16" s="1"/>
  <c r="AQ17" s="1"/>
  <c r="AM18"/>
  <c r="AM19"/>
  <c r="O5"/>
  <c r="O6"/>
  <c r="O4"/>
  <c r="AO19"/>
  <c r="AO18"/>
  <c r="AM17"/>
  <c r="AO17"/>
  <c r="AM16"/>
  <c r="AO16"/>
  <c r="AO15"/>
  <c r="AM15"/>
  <c r="AM64"/>
  <c r="X6" i="2"/>
  <c r="N10" i="1"/>
  <c r="X18"/>
  <c r="AS18" s="1"/>
  <c r="AI60"/>
  <c r="AI61" s="1"/>
  <c r="AI62" s="1"/>
  <c r="AI63" s="1"/>
  <c r="AI64" s="1"/>
  <c r="AI65" s="1"/>
  <c r="I9"/>
  <c r="AJ58"/>
  <c r="AJ59" s="1"/>
  <c r="AJ60" s="1"/>
  <c r="AJ61" s="1"/>
  <c r="AJ62" s="1"/>
  <c r="AJ63" s="1"/>
  <c r="AJ64" s="1"/>
  <c r="AJ65" s="1"/>
  <c r="AO62"/>
  <c r="DK128"/>
  <c r="DK129" s="1"/>
  <c r="DK133" s="1"/>
  <c r="DP106"/>
  <c r="DR108" s="1"/>
  <c r="CV111"/>
  <c r="CX113" s="1"/>
  <c r="R23" i="2"/>
  <c r="J23"/>
  <c r="C33"/>
  <c r="V19"/>
  <c r="N19"/>
  <c r="F19"/>
  <c r="T13"/>
  <c r="L13"/>
  <c r="D9"/>
  <c r="J25"/>
  <c r="T19"/>
  <c r="L17"/>
  <c r="D17"/>
  <c r="P25"/>
  <c r="V21"/>
  <c r="N21"/>
  <c r="F21"/>
  <c r="C19"/>
  <c r="P29"/>
  <c r="H29"/>
  <c r="T35"/>
  <c r="D35"/>
  <c r="V9"/>
  <c r="V37"/>
  <c r="N37"/>
  <c r="F37"/>
  <c r="X27"/>
  <c r="P11"/>
  <c r="H11"/>
  <c r="T31"/>
  <c r="L31"/>
  <c r="D31"/>
  <c r="T5"/>
  <c r="T6" s="1"/>
  <c r="T8" s="1"/>
  <c r="D5"/>
  <c r="D6" s="1"/>
  <c r="D8" s="1"/>
  <c r="V23"/>
  <c r="P33"/>
  <c r="R33"/>
  <c r="F33"/>
  <c r="F25"/>
  <c r="P19"/>
  <c r="C23"/>
  <c r="T25"/>
  <c r="C37"/>
  <c r="F6"/>
  <c r="F8" s="1"/>
  <c r="T33"/>
  <c r="H33"/>
  <c r="C13"/>
  <c r="X9"/>
  <c r="V13"/>
  <c r="T17"/>
  <c r="J13"/>
  <c r="L25"/>
  <c r="J9"/>
  <c r="P9"/>
  <c r="R9"/>
  <c r="H19"/>
  <c r="T9"/>
  <c r="G9"/>
  <c r="D13"/>
  <c r="L6"/>
  <c r="H27"/>
  <c r="P7"/>
  <c r="X11"/>
  <c r="DA82" i="1"/>
  <c r="DA83" s="1"/>
  <c r="DB83" s="1"/>
  <c r="DK82"/>
  <c r="DM83" s="1"/>
  <c r="DN83" s="1"/>
  <c r="DP111"/>
  <c r="DR113" s="1"/>
  <c r="DZ82"/>
  <c r="DZ85" s="1"/>
  <c r="DZ87" s="1"/>
  <c r="EA87" s="1"/>
  <c r="DF82"/>
  <c r="DF83" s="1"/>
  <c r="DG83" s="1"/>
  <c r="CV69"/>
  <c r="DU82"/>
  <c r="DW82" s="1"/>
  <c r="DP82"/>
  <c r="DP84" s="1"/>
  <c r="DQ84" s="1"/>
  <c r="DK111"/>
  <c r="DM113" s="1"/>
  <c r="DZ106"/>
  <c r="EB108" s="1"/>
  <c r="DZ111"/>
  <c r="EB113" s="1"/>
  <c r="DU106"/>
  <c r="DW108" s="1"/>
  <c r="DA106"/>
  <c r="DC108" s="1"/>
  <c r="CV106"/>
  <c r="CX108" s="1"/>
  <c r="DU111"/>
  <c r="DW113" s="1"/>
  <c r="DN74"/>
  <c r="DK106"/>
  <c r="DM108" s="1"/>
  <c r="DA111"/>
  <c r="DC113" s="1"/>
  <c r="DF106"/>
  <c r="DH108" s="1"/>
  <c r="DF111"/>
  <c r="DH113" s="1"/>
  <c r="CX83"/>
  <c r="CY83" s="1"/>
  <c r="CV83"/>
  <c r="CW83" s="1"/>
  <c r="CV85"/>
  <c r="CX82"/>
  <c r="CV84"/>
  <c r="CW84" s="1"/>
  <c r="AN49"/>
  <c r="AN50" s="1"/>
  <c r="AN51" s="1"/>
  <c r="AN52" s="1"/>
  <c r="AN53" s="1"/>
  <c r="N6" i="2"/>
  <c r="AQ28" i="1"/>
  <c r="AQ52"/>
  <c r="X60"/>
  <c r="AS60" s="1"/>
  <c r="AN27"/>
  <c r="AN28" s="1"/>
  <c r="AN29" s="1"/>
  <c r="AN30" s="1"/>
  <c r="AN31" s="1"/>
  <c r="AN32" s="1"/>
  <c r="X27"/>
  <c r="AS27" s="1"/>
  <c r="AQ60"/>
  <c r="AO21"/>
  <c r="AM63"/>
  <c r="AN41" l="1"/>
  <c r="AN42" s="1"/>
  <c r="AN43" s="1"/>
  <c r="AN54"/>
  <c r="H6" i="2"/>
  <c r="H8" s="1"/>
  <c r="H10" s="1"/>
  <c r="AN60" i="1"/>
  <c r="AN61" s="1"/>
  <c r="AN62" s="1"/>
  <c r="AS48"/>
  <c r="X49"/>
  <c r="H13"/>
  <c r="F83" s="1"/>
  <c r="J78" s="1"/>
  <c r="L13"/>
  <c r="R58" s="1"/>
  <c r="T58" s="1"/>
  <c r="Z58" s="1"/>
  <c r="F13"/>
  <c r="R25" s="1"/>
  <c r="J13"/>
  <c r="R47" s="1"/>
  <c r="T47" s="1"/>
  <c r="F10" i="2"/>
  <c r="F12" s="1"/>
  <c r="F14" s="1"/>
  <c r="F16" s="1"/>
  <c r="F18" s="1"/>
  <c r="F20" s="1"/>
  <c r="F22" s="1"/>
  <c r="F24" s="1"/>
  <c r="F26" s="1"/>
  <c r="F28" s="1"/>
  <c r="F30" s="1"/>
  <c r="F32" s="1"/>
  <c r="F34" s="1"/>
  <c r="F36" s="1"/>
  <c r="F38" s="1"/>
  <c r="O9"/>
  <c r="O11" s="1"/>
  <c r="O13" s="1"/>
  <c r="O15" s="1"/>
  <c r="O17" s="1"/>
  <c r="O19" s="1"/>
  <c r="O21" s="1"/>
  <c r="O23" s="1"/>
  <c r="O25" s="1"/>
  <c r="O27" s="1"/>
  <c r="O29" s="1"/>
  <c r="O31" s="1"/>
  <c r="O33" s="1"/>
  <c r="O35" s="1"/>
  <c r="O37" s="1"/>
  <c r="X8"/>
  <c r="X10" s="1"/>
  <c r="X12" s="1"/>
  <c r="X14" s="1"/>
  <c r="X16" s="1"/>
  <c r="X18" s="1"/>
  <c r="X20" s="1"/>
  <c r="X22" s="1"/>
  <c r="X24" s="1"/>
  <c r="X26" s="1"/>
  <c r="X28" s="1"/>
  <c r="X30" s="1"/>
  <c r="X32" s="1"/>
  <c r="X34" s="1"/>
  <c r="X36" s="1"/>
  <c r="X38" s="1"/>
  <c r="W7"/>
  <c r="W9" s="1"/>
  <c r="W11" s="1"/>
  <c r="W13" s="1"/>
  <c r="W15" s="1"/>
  <c r="W17" s="1"/>
  <c r="W19" s="1"/>
  <c r="W21" s="1"/>
  <c r="W23" s="1"/>
  <c r="W25" s="1"/>
  <c r="W27" s="1"/>
  <c r="W29" s="1"/>
  <c r="W31" s="1"/>
  <c r="W33" s="1"/>
  <c r="W35" s="1"/>
  <c r="W37" s="1"/>
  <c r="M7"/>
  <c r="M9" s="1"/>
  <c r="M11" s="1"/>
  <c r="M13" s="1"/>
  <c r="M15" s="1"/>
  <c r="M17" s="1"/>
  <c r="M19" s="1"/>
  <c r="M21" s="1"/>
  <c r="M23" s="1"/>
  <c r="M25" s="1"/>
  <c r="M27" s="1"/>
  <c r="M29" s="1"/>
  <c r="M31" s="1"/>
  <c r="M33" s="1"/>
  <c r="M35" s="1"/>
  <c r="M37" s="1"/>
  <c r="V6"/>
  <c r="V8" s="1"/>
  <c r="V10" s="1"/>
  <c r="V12" s="1"/>
  <c r="V14" s="1"/>
  <c r="V16" s="1"/>
  <c r="V18" s="1"/>
  <c r="V20" s="1"/>
  <c r="V22" s="1"/>
  <c r="V24" s="1"/>
  <c r="V26" s="1"/>
  <c r="V28" s="1"/>
  <c r="V30" s="1"/>
  <c r="V32" s="1"/>
  <c r="V34" s="1"/>
  <c r="V36" s="1"/>
  <c r="V38" s="1"/>
  <c r="P8"/>
  <c r="P10" s="1"/>
  <c r="P12" s="1"/>
  <c r="P14" s="1"/>
  <c r="P16" s="1"/>
  <c r="P18" s="1"/>
  <c r="P20" s="1"/>
  <c r="P22" s="1"/>
  <c r="P24" s="1"/>
  <c r="P26" s="1"/>
  <c r="P28" s="1"/>
  <c r="P30" s="1"/>
  <c r="P32" s="1"/>
  <c r="P34" s="1"/>
  <c r="P36" s="1"/>
  <c r="P38" s="1"/>
  <c r="Q5"/>
  <c r="X38" i="1"/>
  <c r="AS37"/>
  <c r="N8" i="2"/>
  <c r="N10" s="1"/>
  <c r="N12" s="1"/>
  <c r="N14" s="1"/>
  <c r="N16" s="1"/>
  <c r="N18" s="1"/>
  <c r="N20" s="1"/>
  <c r="N22" s="1"/>
  <c r="N24" s="1"/>
  <c r="N26" s="1"/>
  <c r="N28" s="1"/>
  <c r="N30" s="1"/>
  <c r="N32" s="1"/>
  <c r="N34" s="1"/>
  <c r="N36" s="1"/>
  <c r="N38" s="1"/>
  <c r="I7"/>
  <c r="I9" s="1"/>
  <c r="I11" s="1"/>
  <c r="I13" s="1"/>
  <c r="I15" s="1"/>
  <c r="I17" s="1"/>
  <c r="I19" s="1"/>
  <c r="I21" s="1"/>
  <c r="I23" s="1"/>
  <c r="I25" s="1"/>
  <c r="I27" s="1"/>
  <c r="I29" s="1"/>
  <c r="I31" s="1"/>
  <c r="I33" s="1"/>
  <c r="I35" s="1"/>
  <c r="I37" s="1"/>
  <c r="R6"/>
  <c r="R8" s="1"/>
  <c r="R10" s="1"/>
  <c r="R12" s="1"/>
  <c r="R14" s="1"/>
  <c r="R16" s="1"/>
  <c r="R18" s="1"/>
  <c r="R20" s="1"/>
  <c r="R22" s="1"/>
  <c r="R24" s="1"/>
  <c r="R26" s="1"/>
  <c r="R28" s="1"/>
  <c r="R30" s="1"/>
  <c r="R32" s="1"/>
  <c r="R34" s="1"/>
  <c r="R36" s="1"/>
  <c r="R38" s="1"/>
  <c r="S5"/>
  <c r="S7" s="1"/>
  <c r="S9" s="1"/>
  <c r="S11" s="1"/>
  <c r="S13" s="1"/>
  <c r="S15" s="1"/>
  <c r="S17" s="1"/>
  <c r="S19" s="1"/>
  <c r="S21" s="1"/>
  <c r="S23" s="1"/>
  <c r="S25" s="1"/>
  <c r="S27" s="1"/>
  <c r="S29" s="1"/>
  <c r="S31" s="1"/>
  <c r="S33" s="1"/>
  <c r="S35" s="1"/>
  <c r="S37" s="1"/>
  <c r="K5"/>
  <c r="K7" s="1"/>
  <c r="K9" s="1"/>
  <c r="K11" s="1"/>
  <c r="K13" s="1"/>
  <c r="K15" s="1"/>
  <c r="K17" s="1"/>
  <c r="K19" s="1"/>
  <c r="K21" s="1"/>
  <c r="K23" s="1"/>
  <c r="K25" s="1"/>
  <c r="K27" s="1"/>
  <c r="K29" s="1"/>
  <c r="K31" s="1"/>
  <c r="K33" s="1"/>
  <c r="K35" s="1"/>
  <c r="K37" s="1"/>
  <c r="J6"/>
  <c r="J8" s="1"/>
  <c r="J10" s="1"/>
  <c r="J12" s="1"/>
  <c r="J14" s="1"/>
  <c r="J16" s="1"/>
  <c r="J18" s="1"/>
  <c r="J20" s="1"/>
  <c r="J22" s="1"/>
  <c r="J24" s="1"/>
  <c r="J26" s="1"/>
  <c r="J28" s="1"/>
  <c r="J30" s="1"/>
  <c r="J32" s="1"/>
  <c r="J34" s="1"/>
  <c r="J36" s="1"/>
  <c r="J38" s="1"/>
  <c r="Y7"/>
  <c r="Y9" s="1"/>
  <c r="Y11" s="1"/>
  <c r="Y13" s="1"/>
  <c r="Y15" s="1"/>
  <c r="Y17" s="1"/>
  <c r="Y19" s="1"/>
  <c r="Y21" s="1"/>
  <c r="Y23" s="1"/>
  <c r="Y25" s="1"/>
  <c r="Y27" s="1"/>
  <c r="Y29" s="1"/>
  <c r="Y31" s="1"/>
  <c r="Y33" s="1"/>
  <c r="Y35" s="1"/>
  <c r="Y37" s="1"/>
  <c r="L8"/>
  <c r="L10" s="1"/>
  <c r="L12" s="1"/>
  <c r="L14" s="1"/>
  <c r="L16" s="1"/>
  <c r="L18" s="1"/>
  <c r="L20" s="1"/>
  <c r="L22" s="1"/>
  <c r="L24" s="1"/>
  <c r="L26" s="1"/>
  <c r="L28" s="1"/>
  <c r="L30" s="1"/>
  <c r="L32" s="1"/>
  <c r="L34" s="1"/>
  <c r="L36" s="1"/>
  <c r="L38" s="1"/>
  <c r="G11"/>
  <c r="G13" s="1"/>
  <c r="G15" s="1"/>
  <c r="G17" s="1"/>
  <c r="G19" s="1"/>
  <c r="G21" s="1"/>
  <c r="G23" s="1"/>
  <c r="G25" s="1"/>
  <c r="G27" s="1"/>
  <c r="G29" s="1"/>
  <c r="G31" s="1"/>
  <c r="G33" s="1"/>
  <c r="G35" s="1"/>
  <c r="G37" s="1"/>
  <c r="D13" i="1"/>
  <c r="R14" s="1"/>
  <c r="AJ14" s="1"/>
  <c r="DK130"/>
  <c r="H12" i="2"/>
  <c r="H14" s="1"/>
  <c r="H16" s="1"/>
  <c r="H18" s="1"/>
  <c r="H20" s="1"/>
  <c r="H22" s="1"/>
  <c r="H24" s="1"/>
  <c r="H26" s="1"/>
  <c r="H28" s="1"/>
  <c r="H30" s="1"/>
  <c r="H32" s="1"/>
  <c r="H34" s="1"/>
  <c r="H36" s="1"/>
  <c r="H38" s="1"/>
  <c r="D10"/>
  <c r="D12" s="1"/>
  <c r="D14" s="1"/>
  <c r="D16" s="1"/>
  <c r="D18" s="1"/>
  <c r="D20" s="1"/>
  <c r="D22" s="1"/>
  <c r="D24" s="1"/>
  <c r="D26" s="1"/>
  <c r="D28" s="1"/>
  <c r="D30" s="1"/>
  <c r="D32" s="1"/>
  <c r="D34" s="1"/>
  <c r="D36" s="1"/>
  <c r="D38" s="1"/>
  <c r="U5"/>
  <c r="U7" s="1"/>
  <c r="U9" s="1"/>
  <c r="U11" s="1"/>
  <c r="U13" s="1"/>
  <c r="U15" s="1"/>
  <c r="U17" s="1"/>
  <c r="U19" s="1"/>
  <c r="U21" s="1"/>
  <c r="U23" s="1"/>
  <c r="U25" s="1"/>
  <c r="U27" s="1"/>
  <c r="U29" s="1"/>
  <c r="U31" s="1"/>
  <c r="U33" s="1"/>
  <c r="U35" s="1"/>
  <c r="U37" s="1"/>
  <c r="E5"/>
  <c r="E7" s="1"/>
  <c r="E9" s="1"/>
  <c r="E11" s="1"/>
  <c r="E13" s="1"/>
  <c r="E15" s="1"/>
  <c r="E17" s="1"/>
  <c r="E19" s="1"/>
  <c r="E21" s="1"/>
  <c r="E23" s="1"/>
  <c r="E25" s="1"/>
  <c r="E27" s="1"/>
  <c r="E29" s="1"/>
  <c r="E31" s="1"/>
  <c r="E33" s="1"/>
  <c r="E35" s="1"/>
  <c r="E37" s="1"/>
  <c r="X19" i="1"/>
  <c r="AS19" s="1"/>
  <c r="DC82"/>
  <c r="EB86"/>
  <c r="EC86" s="1"/>
  <c r="DZ84"/>
  <c r="EA84" s="1"/>
  <c r="EB83"/>
  <c r="EC83" s="1"/>
  <c r="EB85"/>
  <c r="DZ86"/>
  <c r="EA86" s="1"/>
  <c r="DM82"/>
  <c r="DK85"/>
  <c r="DK88" s="1"/>
  <c r="DP83"/>
  <c r="DQ83" s="1"/>
  <c r="DR83"/>
  <c r="DS83" s="1"/>
  <c r="DZ83"/>
  <c r="EA83" s="1"/>
  <c r="DZ88"/>
  <c r="DZ89" s="1"/>
  <c r="EA89" s="1"/>
  <c r="DP85"/>
  <c r="DP88" s="1"/>
  <c r="DP90" s="1"/>
  <c r="DQ90" s="1"/>
  <c r="DR82"/>
  <c r="T10" i="2"/>
  <c r="T12" s="1"/>
  <c r="T14" s="1"/>
  <c r="T16" s="1"/>
  <c r="T18" s="1"/>
  <c r="T20" s="1"/>
  <c r="T22" s="1"/>
  <c r="T24" s="1"/>
  <c r="T26" s="1"/>
  <c r="T28" s="1"/>
  <c r="T30" s="1"/>
  <c r="T32" s="1"/>
  <c r="T34" s="1"/>
  <c r="T36" s="1"/>
  <c r="T38" s="1"/>
  <c r="Q7"/>
  <c r="Q9" s="1"/>
  <c r="Q11" s="1"/>
  <c r="Q13" s="1"/>
  <c r="Q15" s="1"/>
  <c r="Q17" s="1"/>
  <c r="Q19" s="1"/>
  <c r="Q21" s="1"/>
  <c r="Q23" s="1"/>
  <c r="Q25" s="1"/>
  <c r="Q27" s="1"/>
  <c r="Q29" s="1"/>
  <c r="Q31" s="1"/>
  <c r="Q33" s="1"/>
  <c r="Q35" s="1"/>
  <c r="Q37" s="1"/>
  <c r="DU85" i="1"/>
  <c r="DU87" s="1"/>
  <c r="DV87" s="1"/>
  <c r="EB82"/>
  <c r="DW83"/>
  <c r="DX83" s="1"/>
  <c r="DU83"/>
  <c r="DV83" s="1"/>
  <c r="DU84"/>
  <c r="DV84" s="1"/>
  <c r="DA85"/>
  <c r="DA84"/>
  <c r="DB84" s="1"/>
  <c r="DC83"/>
  <c r="DD83" s="1"/>
  <c r="DH83"/>
  <c r="DI83" s="1"/>
  <c r="DF85"/>
  <c r="DH82"/>
  <c r="DF84"/>
  <c r="DG84" s="1"/>
  <c r="DK84"/>
  <c r="DL84" s="1"/>
  <c r="DK83"/>
  <c r="DL83" s="1"/>
  <c r="AN63"/>
  <c r="AN64" s="1"/>
  <c r="AN65" s="1"/>
  <c r="CV87"/>
  <c r="CW87" s="1"/>
  <c r="CX86"/>
  <c r="CY86" s="1"/>
  <c r="CX85"/>
  <c r="CV86"/>
  <c r="CW86" s="1"/>
  <c r="CV88"/>
  <c r="X28"/>
  <c r="AS28" s="1"/>
  <c r="AQ53"/>
  <c r="AQ29"/>
  <c r="X61"/>
  <c r="AS61" s="1"/>
  <c r="AQ61"/>
  <c r="AQ18"/>
  <c r="AR58" l="1"/>
  <c r="F82"/>
  <c r="I78" s="1"/>
  <c r="AS49"/>
  <c r="X50"/>
  <c r="F84"/>
  <c r="K78" s="1"/>
  <c r="AH58"/>
  <c r="R36"/>
  <c r="T36" s="1"/>
  <c r="Z36" s="1"/>
  <c r="F85"/>
  <c r="L78" s="1"/>
  <c r="AG58"/>
  <c r="Y58"/>
  <c r="AA58" s="1"/>
  <c r="L14"/>
  <c r="F91" s="1"/>
  <c r="AH14"/>
  <c r="AG14"/>
  <c r="AS38"/>
  <c r="X39"/>
  <c r="F81"/>
  <c r="H78" s="1"/>
  <c r="T14"/>
  <c r="D14" s="1"/>
  <c r="F87" s="1"/>
  <c r="AR14"/>
  <c r="AT14" s="1"/>
  <c r="AI14"/>
  <c r="AR59"/>
  <c r="AT58"/>
  <c r="AT59"/>
  <c r="Y14"/>
  <c r="AR25"/>
  <c r="T25"/>
  <c r="Y25"/>
  <c r="AG25"/>
  <c r="AH25"/>
  <c r="X20"/>
  <c r="EB88"/>
  <c r="DM85"/>
  <c r="DU88"/>
  <c r="DW89" s="1"/>
  <c r="DX89" s="1"/>
  <c r="DK86"/>
  <c r="DL86" s="1"/>
  <c r="DK87"/>
  <c r="DL87" s="1"/>
  <c r="DM86"/>
  <c r="DN86" s="1"/>
  <c r="DW86"/>
  <c r="DX86" s="1"/>
  <c r="DP91"/>
  <c r="DP92" s="1"/>
  <c r="DQ92" s="1"/>
  <c r="DR85"/>
  <c r="DZ91"/>
  <c r="DZ94" s="1"/>
  <c r="DZ90"/>
  <c r="EA90" s="1"/>
  <c r="EB89"/>
  <c r="EC89" s="1"/>
  <c r="DR89"/>
  <c r="DS89" s="1"/>
  <c r="DP86"/>
  <c r="DQ86" s="1"/>
  <c r="DR88"/>
  <c r="DP87"/>
  <c r="DQ87" s="1"/>
  <c r="DP89"/>
  <c r="DQ89" s="1"/>
  <c r="DR86"/>
  <c r="DS86" s="1"/>
  <c r="DW85"/>
  <c r="DU86"/>
  <c r="DV86" s="1"/>
  <c r="DF86"/>
  <c r="DG86" s="1"/>
  <c r="DF88"/>
  <c r="DF87"/>
  <c r="DG87" s="1"/>
  <c r="DH85"/>
  <c r="DH86"/>
  <c r="DI86" s="1"/>
  <c r="DA88"/>
  <c r="DC86"/>
  <c r="DD86" s="1"/>
  <c r="DC85"/>
  <c r="DA87"/>
  <c r="DB87" s="1"/>
  <c r="DA86"/>
  <c r="DB86" s="1"/>
  <c r="AH47"/>
  <c r="Y47"/>
  <c r="AR47"/>
  <c r="AG47"/>
  <c r="DK89"/>
  <c r="DL89" s="1"/>
  <c r="DM88"/>
  <c r="DM89"/>
  <c r="DN89" s="1"/>
  <c r="DK90"/>
  <c r="DL90" s="1"/>
  <c r="DK91"/>
  <c r="CX89"/>
  <c r="CY89" s="1"/>
  <c r="CV90"/>
  <c r="CW90" s="1"/>
  <c r="CX88"/>
  <c r="CV89"/>
  <c r="CW89" s="1"/>
  <c r="CV91"/>
  <c r="AQ30"/>
  <c r="AQ19"/>
  <c r="X62"/>
  <c r="AS62" s="1"/>
  <c r="AQ54"/>
  <c r="AQ62"/>
  <c r="X29"/>
  <c r="AS29" s="1"/>
  <c r="AH36" l="1"/>
  <c r="AS50"/>
  <c r="X51"/>
  <c r="AK58"/>
  <c r="AL58"/>
  <c r="AG36"/>
  <c r="AR36"/>
  <c r="AT36" s="1"/>
  <c r="H14"/>
  <c r="F89" s="1"/>
  <c r="Y36"/>
  <c r="AA36" s="1"/>
  <c r="AB36" s="1"/>
  <c r="AC36" s="1"/>
  <c r="R59"/>
  <c r="Y59" s="1"/>
  <c r="AL14"/>
  <c r="AS39"/>
  <c r="X40"/>
  <c r="R15"/>
  <c r="AF15" s="1"/>
  <c r="V15" s="1"/>
  <c r="AT15"/>
  <c r="Z14"/>
  <c r="AA14" s="1"/>
  <c r="AB14" s="1"/>
  <c r="AC14" s="1"/>
  <c r="AK14"/>
  <c r="AR26"/>
  <c r="AT25"/>
  <c r="AT26"/>
  <c r="AR48"/>
  <c r="AT47"/>
  <c r="AT48"/>
  <c r="AR37"/>
  <c r="AT37"/>
  <c r="AR60"/>
  <c r="AT60"/>
  <c r="AR15"/>
  <c r="AT16" s="1"/>
  <c r="AB58"/>
  <c r="AC58" s="1"/>
  <c r="AI15"/>
  <c r="AJ15"/>
  <c r="AN15"/>
  <c r="AL25"/>
  <c r="Z25"/>
  <c r="AA25" s="1"/>
  <c r="F14"/>
  <c r="AK25"/>
  <c r="X21"/>
  <c r="DW88"/>
  <c r="DU89"/>
  <c r="DV89" s="1"/>
  <c r="DU91"/>
  <c r="DW92" s="1"/>
  <c r="DX92" s="1"/>
  <c r="EB91"/>
  <c r="DZ93"/>
  <c r="EA93" s="1"/>
  <c r="DU90"/>
  <c r="DV90" s="1"/>
  <c r="DZ92"/>
  <c r="EA92" s="1"/>
  <c r="EB92"/>
  <c r="EC92" s="1"/>
  <c r="DP94"/>
  <c r="DP95" s="1"/>
  <c r="DQ95" s="1"/>
  <c r="DR92"/>
  <c r="DS92" s="1"/>
  <c r="DR91"/>
  <c r="DP93"/>
  <c r="DQ93" s="1"/>
  <c r="DA89"/>
  <c r="DB89" s="1"/>
  <c r="DA90"/>
  <c r="DB90" s="1"/>
  <c r="DC89"/>
  <c r="DD89" s="1"/>
  <c r="DC88"/>
  <c r="DA91"/>
  <c r="DH88"/>
  <c r="DF91"/>
  <c r="DH89"/>
  <c r="DI89" s="1"/>
  <c r="DF89"/>
  <c r="DG89" s="1"/>
  <c r="DF90"/>
  <c r="DG90" s="1"/>
  <c r="DM91"/>
  <c r="DK92"/>
  <c r="DL92" s="1"/>
  <c r="DM92"/>
  <c r="DN92" s="1"/>
  <c r="DK93"/>
  <c r="DL93" s="1"/>
  <c r="DK94"/>
  <c r="AK47"/>
  <c r="AL47"/>
  <c r="J14"/>
  <c r="Z47"/>
  <c r="AA47" s="1"/>
  <c r="CX91"/>
  <c r="CX92"/>
  <c r="CY92" s="1"/>
  <c r="CV92"/>
  <c r="CW92" s="1"/>
  <c r="CV94"/>
  <c r="CV93"/>
  <c r="CW93" s="1"/>
  <c r="X30"/>
  <c r="AS30" s="1"/>
  <c r="X63"/>
  <c r="AS63" s="1"/>
  <c r="EB94"/>
  <c r="DZ95"/>
  <c r="EA95" s="1"/>
  <c r="EB95"/>
  <c r="EC95" s="1"/>
  <c r="DZ96"/>
  <c r="EA96" s="1"/>
  <c r="AQ31"/>
  <c r="AQ20"/>
  <c r="AQ63"/>
  <c r="R37" l="1"/>
  <c r="AL36"/>
  <c r="AK36"/>
  <c r="AS51"/>
  <c r="X52"/>
  <c r="AF59"/>
  <c r="V59" s="1"/>
  <c r="W59" s="1"/>
  <c r="T59" s="1"/>
  <c r="AG37"/>
  <c r="AG15"/>
  <c r="AE59"/>
  <c r="AD59"/>
  <c r="AP59"/>
  <c r="AG59"/>
  <c r="AH59"/>
  <c r="AB59"/>
  <c r="AC59" s="1"/>
  <c r="AH15"/>
  <c r="AD15"/>
  <c r="AE15"/>
  <c r="AS40"/>
  <c r="X41"/>
  <c r="AR27"/>
  <c r="AT27"/>
  <c r="AT61"/>
  <c r="AR61"/>
  <c r="AR38"/>
  <c r="AT38"/>
  <c r="AR49"/>
  <c r="AT49"/>
  <c r="AP37"/>
  <c r="AF37"/>
  <c r="U37" s="1"/>
  <c r="AH37"/>
  <c r="AB37"/>
  <c r="AC37" s="1"/>
  <c r="AB47"/>
  <c r="AC47" s="1"/>
  <c r="AD37"/>
  <c r="AE37"/>
  <c r="Y37"/>
  <c r="AB25"/>
  <c r="AC25" s="1"/>
  <c r="U15"/>
  <c r="W15" s="1"/>
  <c r="T15" s="1"/>
  <c r="Z15" s="1"/>
  <c r="R26"/>
  <c r="AB26" s="1"/>
  <c r="F88"/>
  <c r="DU92"/>
  <c r="DV92" s="1"/>
  <c r="DW91"/>
  <c r="DU93"/>
  <c r="DV93" s="1"/>
  <c r="DU94"/>
  <c r="DW95" s="1"/>
  <c r="DX95" s="1"/>
  <c r="DP96"/>
  <c r="DQ96" s="1"/>
  <c r="DR95"/>
  <c r="DS95" s="1"/>
  <c r="DR94"/>
  <c r="DA94"/>
  <c r="DC91"/>
  <c r="DA93"/>
  <c r="DB93" s="1"/>
  <c r="DC92"/>
  <c r="DD92" s="1"/>
  <c r="DA92"/>
  <c r="DB92" s="1"/>
  <c r="DH91"/>
  <c r="DH92"/>
  <c r="DI92" s="1"/>
  <c r="DF92"/>
  <c r="DG92" s="1"/>
  <c r="DF93"/>
  <c r="DG93" s="1"/>
  <c r="DF94"/>
  <c r="DM95"/>
  <c r="DN95" s="1"/>
  <c r="DK95"/>
  <c r="DL95" s="1"/>
  <c r="DK96"/>
  <c r="DL96" s="1"/>
  <c r="DM94"/>
  <c r="F90"/>
  <c r="R48"/>
  <c r="AB48" s="1"/>
  <c r="CX94"/>
  <c r="CX95"/>
  <c r="CY95" s="1"/>
  <c r="CV95"/>
  <c r="CW95" s="1"/>
  <c r="CV96"/>
  <c r="CW96" s="1"/>
  <c r="AQ21"/>
  <c r="AQ64"/>
  <c r="AQ32"/>
  <c r="X31"/>
  <c r="X64"/>
  <c r="AL15" l="1"/>
  <c r="AK15" s="1"/>
  <c r="X53"/>
  <c r="X54" s="1"/>
  <c r="AS52"/>
  <c r="AL37"/>
  <c r="U59"/>
  <c r="AL59"/>
  <c r="AK59"/>
  <c r="AS41"/>
  <c r="X42"/>
  <c r="X43" s="1"/>
  <c r="AR39"/>
  <c r="AT39"/>
  <c r="AR28"/>
  <c r="AT28"/>
  <c r="AR50"/>
  <c r="AT50"/>
  <c r="AT62"/>
  <c r="AR62"/>
  <c r="V37"/>
  <c r="W37" s="1"/>
  <c r="T37" s="1"/>
  <c r="H15" s="1"/>
  <c r="F95" s="1"/>
  <c r="AK37"/>
  <c r="AB15"/>
  <c r="AC15" s="1"/>
  <c r="AP15" s="1"/>
  <c r="D15"/>
  <c r="Y15"/>
  <c r="AA15" s="1"/>
  <c r="AG26"/>
  <c r="AH26"/>
  <c r="AD26"/>
  <c r="AF26"/>
  <c r="AC26"/>
  <c r="AP26"/>
  <c r="AE26"/>
  <c r="Y26"/>
  <c r="DW94"/>
  <c r="DU96"/>
  <c r="DV96" s="1"/>
  <c r="DU95"/>
  <c r="DV95" s="1"/>
  <c r="DC94"/>
  <c r="DC95"/>
  <c r="DD95" s="1"/>
  <c r="DA95"/>
  <c r="DB95" s="1"/>
  <c r="DA96"/>
  <c r="DB96" s="1"/>
  <c r="DH95"/>
  <c r="DI95" s="1"/>
  <c r="DH94"/>
  <c r="DF95"/>
  <c r="DG95" s="1"/>
  <c r="DF96"/>
  <c r="DG96" s="1"/>
  <c r="L15"/>
  <c r="Z59"/>
  <c r="AA59" s="1"/>
  <c r="AP48"/>
  <c r="AF48"/>
  <c r="U48" s="1"/>
  <c r="AG48"/>
  <c r="AE48"/>
  <c r="AC48"/>
  <c r="AH48"/>
  <c r="Y48"/>
  <c r="AD48"/>
  <c r="X32"/>
  <c r="X65"/>
  <c r="AQ65"/>
  <c r="AT63" l="1"/>
  <c r="AR63"/>
  <c r="AR51"/>
  <c r="AT51"/>
  <c r="AR40"/>
  <c r="AT40"/>
  <c r="AR29"/>
  <c r="AT29"/>
  <c r="Z37"/>
  <c r="AA37" s="1"/>
  <c r="R38"/>
  <c r="AB38" s="1"/>
  <c r="AC38" s="1"/>
  <c r="R16"/>
  <c r="AR16" s="1"/>
  <c r="AT17" s="1"/>
  <c r="F93"/>
  <c r="AK26"/>
  <c r="AL26"/>
  <c r="V26"/>
  <c r="W26" s="1"/>
  <c r="T26" s="1"/>
  <c r="U26"/>
  <c r="F97"/>
  <c r="R60"/>
  <c r="AB60" s="1"/>
  <c r="V48"/>
  <c r="W48" s="1"/>
  <c r="T48" s="1"/>
  <c r="J15" s="1"/>
  <c r="AL48"/>
  <c r="AK48"/>
  <c r="AT64" l="1"/>
  <c r="AS64" s="1"/>
  <c r="AR64"/>
  <c r="AR41"/>
  <c r="AT41"/>
  <c r="AT30"/>
  <c r="AR30"/>
  <c r="AR52"/>
  <c r="AT52"/>
  <c r="Y38"/>
  <c r="AH38"/>
  <c r="AF38"/>
  <c r="U38" s="1"/>
  <c r="AE38"/>
  <c r="AG38"/>
  <c r="AP38"/>
  <c r="AD38"/>
  <c r="AI16"/>
  <c r="AJ16"/>
  <c r="AN16"/>
  <c r="AH16"/>
  <c r="AG16"/>
  <c r="AE16"/>
  <c r="AD16"/>
  <c r="AF16"/>
  <c r="V16" s="1"/>
  <c r="Z26"/>
  <c r="AA26" s="1"/>
  <c r="F15"/>
  <c r="Z48"/>
  <c r="AA48" s="1"/>
  <c r="AH60"/>
  <c r="AP60"/>
  <c r="AC60"/>
  <c r="AF60"/>
  <c r="U60" s="1"/>
  <c r="AE60"/>
  <c r="AD60"/>
  <c r="Y60"/>
  <c r="AG60"/>
  <c r="R49"/>
  <c r="AB49" s="1"/>
  <c r="F96"/>
  <c r="AT31" l="1"/>
  <c r="AS31" s="1"/>
  <c r="AR31"/>
  <c r="AT65"/>
  <c r="AS65" s="1"/>
  <c r="AR65"/>
  <c r="AR53"/>
  <c r="AT53"/>
  <c r="AS53" s="1"/>
  <c r="AR42"/>
  <c r="AT42"/>
  <c r="AS42" s="1"/>
  <c r="AL38"/>
  <c r="AK38"/>
  <c r="V38"/>
  <c r="W38" s="1"/>
  <c r="T38" s="1"/>
  <c r="Z38" s="1"/>
  <c r="AA38" s="1"/>
  <c r="U16"/>
  <c r="W16" s="1"/>
  <c r="T16" s="1"/>
  <c r="Y16" s="1"/>
  <c r="AL16"/>
  <c r="AK16" s="1"/>
  <c r="R27"/>
  <c r="AB27" s="1"/>
  <c r="F94"/>
  <c r="AK60"/>
  <c r="AL60"/>
  <c r="V60"/>
  <c r="W60" s="1"/>
  <c r="T60" s="1"/>
  <c r="AE49"/>
  <c r="AC49"/>
  <c r="AP49"/>
  <c r="AH49"/>
  <c r="AD49"/>
  <c r="AF49"/>
  <c r="U49" s="1"/>
  <c r="AG49"/>
  <c r="Y49"/>
  <c r="AT54" l="1"/>
  <c r="AS54" s="1"/>
  <c r="AR54"/>
  <c r="AT32"/>
  <c r="AS32" s="1"/>
  <c r="AR32"/>
  <c r="AR43"/>
  <c r="AT43"/>
  <c r="AS43" s="1"/>
  <c r="Z16"/>
  <c r="AA16" s="1"/>
  <c r="H16"/>
  <c r="F101" s="1"/>
  <c r="AB16"/>
  <c r="AC16" s="1"/>
  <c r="AP16" s="1"/>
  <c r="D16"/>
  <c r="R17" s="1"/>
  <c r="AC27"/>
  <c r="AP27"/>
  <c r="AH27"/>
  <c r="AE27"/>
  <c r="AF27"/>
  <c r="U27" s="1"/>
  <c r="AG27"/>
  <c r="AD27"/>
  <c r="Y27"/>
  <c r="Z60"/>
  <c r="AA60" s="1"/>
  <c r="L16"/>
  <c r="AK49"/>
  <c r="V49"/>
  <c r="W49" s="1"/>
  <c r="T49" s="1"/>
  <c r="AL49"/>
  <c r="AI17" l="1"/>
  <c r="AJ17"/>
  <c r="AN17"/>
  <c r="AR17"/>
  <c r="AT18" s="1"/>
  <c r="R39"/>
  <c r="AD39" s="1"/>
  <c r="F99"/>
  <c r="AG17"/>
  <c r="AD17"/>
  <c r="AF17"/>
  <c r="AE17"/>
  <c r="AH17"/>
  <c r="AL27"/>
  <c r="V27"/>
  <c r="W27" s="1"/>
  <c r="T27" s="1"/>
  <c r="AK27"/>
  <c r="F103"/>
  <c r="R61"/>
  <c r="AB61" s="1"/>
  <c r="J16"/>
  <c r="Z49"/>
  <c r="AA49" s="1"/>
  <c r="Y39" l="1"/>
  <c r="AG39"/>
  <c r="AP39"/>
  <c r="AH39"/>
  <c r="AB39"/>
  <c r="AC39" s="1"/>
  <c r="AF39"/>
  <c r="AE39"/>
  <c r="U17"/>
  <c r="V17"/>
  <c r="AL17"/>
  <c r="AK17" s="1"/>
  <c r="Z27"/>
  <c r="AA27" s="1"/>
  <c r="F16"/>
  <c r="Y61"/>
  <c r="AF61"/>
  <c r="U61" s="1"/>
  <c r="AH61"/>
  <c r="AC61"/>
  <c r="AD61"/>
  <c r="AP61"/>
  <c r="AE61"/>
  <c r="AG61"/>
  <c r="R50"/>
  <c r="AB50" s="1"/>
  <c r="F102"/>
  <c r="W17" l="1"/>
  <c r="T17" s="1"/>
  <c r="Y17" s="1"/>
  <c r="AK39"/>
  <c r="AL39"/>
  <c r="U39"/>
  <c r="V39"/>
  <c r="W39" s="1"/>
  <c r="T39" s="1"/>
  <c r="AB17"/>
  <c r="AC17" s="1"/>
  <c r="AP17" s="1"/>
  <c r="F100"/>
  <c r="R28"/>
  <c r="AB28" s="1"/>
  <c r="AL61"/>
  <c r="AK61"/>
  <c r="V61"/>
  <c r="W61" s="1"/>
  <c r="T61" s="1"/>
  <c r="AE50"/>
  <c r="AF50"/>
  <c r="V50" s="1"/>
  <c r="W50" s="1"/>
  <c r="T50" s="1"/>
  <c r="AC50"/>
  <c r="Y50"/>
  <c r="AD50"/>
  <c r="AG50"/>
  <c r="AH50"/>
  <c r="AP50"/>
  <c r="D17" l="1"/>
  <c r="R18" s="1"/>
  <c r="AR18" s="1"/>
  <c r="AT19" s="1"/>
  <c r="Z17"/>
  <c r="AA17" s="1"/>
  <c r="H17"/>
  <c r="Z39"/>
  <c r="AA39" s="1"/>
  <c r="AH28"/>
  <c r="AG28"/>
  <c r="Y28"/>
  <c r="AD28"/>
  <c r="AC28"/>
  <c r="AP28"/>
  <c r="AE28"/>
  <c r="AF28"/>
  <c r="U28" s="1"/>
  <c r="L17"/>
  <c r="Z61"/>
  <c r="AA61" s="1"/>
  <c r="U50"/>
  <c r="J17"/>
  <c r="Z50"/>
  <c r="AA50" s="1"/>
  <c r="AK50"/>
  <c r="AL50"/>
  <c r="F105" l="1"/>
  <c r="R40"/>
  <c r="F107"/>
  <c r="AJ18"/>
  <c r="AI18"/>
  <c r="AN18"/>
  <c r="AF18"/>
  <c r="AG18"/>
  <c r="AH18"/>
  <c r="AE18"/>
  <c r="AD18"/>
  <c r="AL28"/>
  <c r="V28"/>
  <c r="W28" s="1"/>
  <c r="T28" s="1"/>
  <c r="Z28" s="1"/>
  <c r="AA28" s="1"/>
  <c r="AK28"/>
  <c r="R62"/>
  <c r="AB62" s="1"/>
  <c r="F109"/>
  <c r="F108"/>
  <c r="R51"/>
  <c r="AB51" s="1"/>
  <c r="AB40" l="1"/>
  <c r="AC40" s="1"/>
  <c r="Y40"/>
  <c r="AE40"/>
  <c r="AD40"/>
  <c r="AG40"/>
  <c r="AP40"/>
  <c r="AH40"/>
  <c r="AF40"/>
  <c r="U40" s="1"/>
  <c r="U18"/>
  <c r="V18"/>
  <c r="AL18"/>
  <c r="AK18" s="1"/>
  <c r="F17"/>
  <c r="F106" s="1"/>
  <c r="AC62"/>
  <c r="Y62"/>
  <c r="AP62"/>
  <c r="AE62"/>
  <c r="AH62"/>
  <c r="AF62"/>
  <c r="U62" s="1"/>
  <c r="AD62"/>
  <c r="AG62"/>
  <c r="AC51"/>
  <c r="AG51"/>
  <c r="Y51"/>
  <c r="AH51"/>
  <c r="AF51"/>
  <c r="U51" s="1"/>
  <c r="AP51"/>
  <c r="AE51"/>
  <c r="AD51"/>
  <c r="AL40" l="1"/>
  <c r="AK40"/>
  <c r="V40"/>
  <c r="W40" s="1"/>
  <c r="T40" s="1"/>
  <c r="H18" s="1"/>
  <c r="AB18"/>
  <c r="AC18" s="1"/>
  <c r="AP18" s="1"/>
  <c r="W18"/>
  <c r="T18" s="1"/>
  <c r="Y18" s="1"/>
  <c r="R29"/>
  <c r="AL62"/>
  <c r="AK62"/>
  <c r="AK51"/>
  <c r="V62"/>
  <c r="W62" s="1"/>
  <c r="T62" s="1"/>
  <c r="AL51"/>
  <c r="V51"/>
  <c r="W51" s="1"/>
  <c r="T51" s="1"/>
  <c r="Z18" l="1"/>
  <c r="AA18" s="1"/>
  <c r="Z40"/>
  <c r="AA40" s="1"/>
  <c r="R41"/>
  <c r="F113"/>
  <c r="Y29"/>
  <c r="AB29"/>
  <c r="AC29" s="1"/>
  <c r="D18"/>
  <c r="F111" s="1"/>
  <c r="AH29"/>
  <c r="AF29"/>
  <c r="U29" s="1"/>
  <c r="AG29"/>
  <c r="AD29"/>
  <c r="AE29"/>
  <c r="AP29"/>
  <c r="Z62"/>
  <c r="AA62" s="1"/>
  <c r="L18"/>
  <c r="Z51"/>
  <c r="AA51" s="1"/>
  <c r="J18"/>
  <c r="AB41" l="1"/>
  <c r="AC41" s="1"/>
  <c r="AE41"/>
  <c r="AG41"/>
  <c r="AP41"/>
  <c r="Y41"/>
  <c r="AD41"/>
  <c r="AH41"/>
  <c r="AF41"/>
  <c r="U41" s="1"/>
  <c r="R19"/>
  <c r="V29"/>
  <c r="W29" s="1"/>
  <c r="T29" s="1"/>
  <c r="Z29" s="1"/>
  <c r="AA29" s="1"/>
  <c r="AL29"/>
  <c r="AK29"/>
  <c r="F115"/>
  <c r="R63"/>
  <c r="AB63" s="1"/>
  <c r="F114"/>
  <c r="R52"/>
  <c r="AB52" s="1"/>
  <c r="AJ19" l="1"/>
  <c r="AJ20" s="1"/>
  <c r="AJ21" s="1"/>
  <c r="AI19"/>
  <c r="AI20" s="1"/>
  <c r="AI21" s="1"/>
  <c r="AN19"/>
  <c r="AR19"/>
  <c r="AT20" s="1"/>
  <c r="AL41"/>
  <c r="V41"/>
  <c r="W41" s="1"/>
  <c r="T41" s="1"/>
  <c r="AK41"/>
  <c r="F18"/>
  <c r="F112" s="1"/>
  <c r="AD19"/>
  <c r="AF19"/>
  <c r="U19" s="1"/>
  <c r="AH19"/>
  <c r="AG19"/>
  <c r="AE19"/>
  <c r="AE63"/>
  <c r="AC63"/>
  <c r="AD63"/>
  <c r="AG63"/>
  <c r="AH63"/>
  <c r="AP63"/>
  <c r="AF63"/>
  <c r="U63" s="1"/>
  <c r="Y63"/>
  <c r="AE52"/>
  <c r="AP52"/>
  <c r="AH52"/>
  <c r="AG52"/>
  <c r="AC52"/>
  <c r="Y52"/>
  <c r="AF52"/>
  <c r="V52" s="1"/>
  <c r="W52" s="1"/>
  <c r="T52" s="1"/>
  <c r="AD52"/>
  <c r="V19" l="1"/>
  <c r="W19" s="1"/>
  <c r="T19" s="1"/>
  <c r="Y19" s="1"/>
  <c r="Z41"/>
  <c r="AA41" s="1"/>
  <c r="H19"/>
  <c r="R30"/>
  <c r="AB30" s="1"/>
  <c r="AC30" s="1"/>
  <c r="AL19"/>
  <c r="V63"/>
  <c r="W63" s="1"/>
  <c r="T63" s="1"/>
  <c r="L19" s="1"/>
  <c r="AL63"/>
  <c r="AK52"/>
  <c r="U52"/>
  <c r="AK63"/>
  <c r="AL52"/>
  <c r="J19"/>
  <c r="Z52"/>
  <c r="AA52" s="1"/>
  <c r="D19" l="1"/>
  <c r="F117" s="1"/>
  <c r="Z19"/>
  <c r="AA19" s="1"/>
  <c r="AK19"/>
  <c r="AB19"/>
  <c r="AC19" s="1"/>
  <c r="AP19" s="1"/>
  <c r="Y30"/>
  <c r="AP30"/>
  <c r="AD30"/>
  <c r="AF30"/>
  <c r="U30" s="1"/>
  <c r="AH30"/>
  <c r="AE30"/>
  <c r="AG30"/>
  <c r="F119"/>
  <c r="R42"/>
  <c r="Z63"/>
  <c r="AA63" s="1"/>
  <c r="F121"/>
  <c r="R64"/>
  <c r="AB64" s="1"/>
  <c r="R53"/>
  <c r="AB53" s="1"/>
  <c r="F120"/>
  <c r="R20" l="1"/>
  <c r="AS20" s="1"/>
  <c r="AN20"/>
  <c r="AN21" s="1"/>
  <c r="AR20"/>
  <c r="AT21" s="1"/>
  <c r="AS21" s="1"/>
  <c r="AK30"/>
  <c r="AL30"/>
  <c r="V30"/>
  <c r="W30" s="1"/>
  <c r="T30" s="1"/>
  <c r="F19" s="1"/>
  <c r="F118" s="1"/>
  <c r="AF42"/>
  <c r="U42" s="1"/>
  <c r="AG42"/>
  <c r="AP42"/>
  <c r="AD42"/>
  <c r="AB42"/>
  <c r="AC42" s="1"/>
  <c r="Y42"/>
  <c r="AE42"/>
  <c r="AH42"/>
  <c r="V42"/>
  <c r="W42" s="1"/>
  <c r="T42" s="1"/>
  <c r="AH64"/>
  <c r="AG64"/>
  <c r="AE64"/>
  <c r="Y64"/>
  <c r="AD64"/>
  <c r="AC64"/>
  <c r="AP64"/>
  <c r="AF64"/>
  <c r="U64" s="1"/>
  <c r="AE53"/>
  <c r="AH53"/>
  <c r="Y53"/>
  <c r="AF53"/>
  <c r="V53" s="1"/>
  <c r="W53" s="1"/>
  <c r="T53" s="1"/>
  <c r="AG53"/>
  <c r="AD53"/>
  <c r="AP53"/>
  <c r="AC53"/>
  <c r="Y20" l="1"/>
  <c r="AF20"/>
  <c r="U20" s="1"/>
  <c r="AE20"/>
  <c r="AH20"/>
  <c r="AD20"/>
  <c r="AP20"/>
  <c r="AG20"/>
  <c r="AR21"/>
  <c r="Z30"/>
  <c r="AA30" s="1"/>
  <c r="R31"/>
  <c r="AB31" s="1"/>
  <c r="AC31" s="1"/>
  <c r="AL42"/>
  <c r="H20"/>
  <c r="Z42"/>
  <c r="AA42" s="1"/>
  <c r="AK42"/>
  <c r="AK64"/>
  <c r="AL64"/>
  <c r="AL53"/>
  <c r="V64"/>
  <c r="W64" s="1"/>
  <c r="T64" s="1"/>
  <c r="Z64" s="1"/>
  <c r="AA64" s="1"/>
  <c r="J20"/>
  <c r="Z53"/>
  <c r="AA53" s="1"/>
  <c r="U53"/>
  <c r="AK53"/>
  <c r="AL20" l="1"/>
  <c r="V20"/>
  <c r="W20" s="1"/>
  <c r="T20" s="1"/>
  <c r="D20" s="1"/>
  <c r="R21" s="1"/>
  <c r="AE31"/>
  <c r="AK20"/>
  <c r="AD31"/>
  <c r="AP31"/>
  <c r="AG31"/>
  <c r="AH31"/>
  <c r="AF31"/>
  <c r="U31" s="1"/>
  <c r="Y31"/>
  <c r="F125"/>
  <c r="R43"/>
  <c r="AB20"/>
  <c r="AC20" s="1"/>
  <c r="L20"/>
  <c r="F127" s="1"/>
  <c r="F126"/>
  <c r="R54"/>
  <c r="AB54" s="1"/>
  <c r="V31" l="1"/>
  <c r="W31" s="1"/>
  <c r="T31" s="1"/>
  <c r="Z31" s="1"/>
  <c r="AA31" s="1"/>
  <c r="F123"/>
  <c r="Z20"/>
  <c r="AA20" s="1"/>
  <c r="AK31"/>
  <c r="AL31"/>
  <c r="AB43"/>
  <c r="AC43" s="1"/>
  <c r="F27" s="1"/>
  <c r="AF43"/>
  <c r="U43" s="1"/>
  <c r="AD43"/>
  <c r="AP43"/>
  <c r="AH43"/>
  <c r="AG43"/>
  <c r="AE43"/>
  <c r="Y43"/>
  <c r="AG21"/>
  <c r="AD21"/>
  <c r="AH21"/>
  <c r="AE21"/>
  <c r="AP21"/>
  <c r="Y21"/>
  <c r="AF21"/>
  <c r="V21" s="1"/>
  <c r="R65"/>
  <c r="AC54"/>
  <c r="F28" s="1"/>
  <c r="AG54"/>
  <c r="AP54"/>
  <c r="AF54"/>
  <c r="U54" s="1"/>
  <c r="AH54"/>
  <c r="AE54"/>
  <c r="AD54"/>
  <c r="Y54"/>
  <c r="F20" l="1"/>
  <c r="F124" s="1"/>
  <c r="AL43"/>
  <c r="AK43"/>
  <c r="N27"/>
  <c r="J27"/>
  <c r="G27"/>
  <c r="F134"/>
  <c r="V43"/>
  <c r="W43" s="1"/>
  <c r="T43" s="1"/>
  <c r="Z43" s="1"/>
  <c r="AA43" s="1"/>
  <c r="AP65"/>
  <c r="AB65"/>
  <c r="AC65" s="1"/>
  <c r="F29" s="1"/>
  <c r="J29" s="1"/>
  <c r="AK21"/>
  <c r="U21"/>
  <c r="W21" s="1"/>
  <c r="T21" s="1"/>
  <c r="Z21" s="1"/>
  <c r="AA21" s="1"/>
  <c r="AL21"/>
  <c r="AF65"/>
  <c r="V65" s="1"/>
  <c r="W65" s="1"/>
  <c r="T65" s="1"/>
  <c r="Z65" s="1"/>
  <c r="AE65"/>
  <c r="AH65"/>
  <c r="AD65"/>
  <c r="Y65"/>
  <c r="AG65"/>
  <c r="V54"/>
  <c r="W54" s="1"/>
  <c r="T54" s="1"/>
  <c r="Z54" s="1"/>
  <c r="AA54" s="1"/>
  <c r="N28"/>
  <c r="F135"/>
  <c r="G28"/>
  <c r="J28"/>
  <c r="AK54"/>
  <c r="AL54"/>
  <c r="R32" l="1"/>
  <c r="Y32" s="1"/>
  <c r="O27"/>
  <c r="K27"/>
  <c r="L134"/>
  <c r="N134" s="1"/>
  <c r="O134" s="1"/>
  <c r="H134"/>
  <c r="J134" s="1"/>
  <c r="K134" s="1"/>
  <c r="G134"/>
  <c r="U65"/>
  <c r="AB21"/>
  <c r="AC21" s="1"/>
  <c r="AB32"/>
  <c r="AC32" s="1"/>
  <c r="F26" s="1"/>
  <c r="J26" s="1"/>
  <c r="AL65"/>
  <c r="AA65"/>
  <c r="G29"/>
  <c r="O29" s="1"/>
  <c r="AK65"/>
  <c r="F136"/>
  <c r="G136" s="1"/>
  <c r="N29"/>
  <c r="H135"/>
  <c r="J135" s="1"/>
  <c r="K135" s="1"/>
  <c r="G135"/>
  <c r="L135"/>
  <c r="N135" s="1"/>
  <c r="O135" s="1"/>
  <c r="K28"/>
  <c r="O28"/>
  <c r="AE32" l="1"/>
  <c r="AG32"/>
  <c r="AH32"/>
  <c r="AP32"/>
  <c r="AF32"/>
  <c r="U32" s="1"/>
  <c r="AD32"/>
  <c r="F24"/>
  <c r="G24" s="1"/>
  <c r="F25"/>
  <c r="F132" s="1"/>
  <c r="G25"/>
  <c r="K25" s="1"/>
  <c r="K29"/>
  <c r="N26"/>
  <c r="G26"/>
  <c r="K26" s="1"/>
  <c r="F133"/>
  <c r="H133" s="1"/>
  <c r="J133" s="1"/>
  <c r="K133" s="1"/>
  <c r="H136"/>
  <c r="J136" s="1"/>
  <c r="K136" s="1"/>
  <c r="L136"/>
  <c r="N136" s="1"/>
  <c r="O136" s="1"/>
  <c r="AL32" l="1"/>
  <c r="AK32"/>
  <c r="V32"/>
  <c r="W32" s="1"/>
  <c r="T32" s="1"/>
  <c r="Z32" s="1"/>
  <c r="AA32" s="1"/>
  <c r="L132"/>
  <c r="N132" s="1"/>
  <c r="O132" s="1"/>
  <c r="G132"/>
  <c r="G133"/>
  <c r="L133"/>
  <c r="N133" s="1"/>
  <c r="O133" s="1"/>
  <c r="J25"/>
  <c r="H132"/>
  <c r="J132" s="1"/>
  <c r="K132" s="1"/>
  <c r="N25"/>
  <c r="O24"/>
  <c r="O26"/>
  <c r="J24"/>
  <c r="F131"/>
  <c r="G131" s="1"/>
  <c r="N24"/>
  <c r="K24"/>
  <c r="O25"/>
  <c r="L131" l="1"/>
  <c r="N131" s="1"/>
  <c r="O131" s="1"/>
  <c r="H131"/>
  <c r="J131" s="1"/>
  <c r="K131" s="1"/>
</calcChain>
</file>

<file path=xl/sharedStrings.xml><?xml version="1.0" encoding="utf-8"?>
<sst xmlns="http://schemas.openxmlformats.org/spreadsheetml/2006/main" count="1059" uniqueCount="306">
  <si>
    <t>Tour</t>
  </si>
  <si>
    <t>Liste 1</t>
  </si>
  <si>
    <t>Stop</t>
  </si>
  <si>
    <t>Aileron</t>
  </si>
  <si>
    <t>Liste 2</t>
  </si>
  <si>
    <t>Moteur</t>
  </si>
  <si>
    <t>Freins</t>
  </si>
  <si>
    <t>Boite de Vitesse</t>
  </si>
  <si>
    <t>Suspension</t>
  </si>
  <si>
    <t>Experience</t>
  </si>
  <si>
    <t>Marge Acceptation</t>
  </si>
  <si>
    <t>Connaisance Tech.</t>
  </si>
  <si>
    <t>REGLAGES GPRO</t>
  </si>
  <si>
    <t>REGLAGE OPTIMAL</t>
  </si>
  <si>
    <t>Aileron Avant :</t>
  </si>
  <si>
    <t>Aileron Arrière :</t>
  </si>
  <si>
    <t>Moteur :</t>
  </si>
  <si>
    <t>Freins :</t>
  </si>
  <si>
    <t>Boite de Vitesse :</t>
  </si>
  <si>
    <t>Suspension :</t>
  </si>
  <si>
    <t>REGLAGE vers le sec</t>
  </si>
  <si>
    <t>REGLAGE vers la pluie</t>
  </si>
  <si>
    <t>Ailerons</t>
  </si>
  <si>
    <t>Donne</t>
  </si>
  <si>
    <t>Min</t>
  </si>
  <si>
    <t>Max</t>
  </si>
  <si>
    <t>Moyenne</t>
  </si>
  <si>
    <t>T1</t>
  </si>
  <si>
    <t>T2</t>
  </si>
  <si>
    <t>T3</t>
  </si>
  <si>
    <t>T4</t>
  </si>
  <si>
    <t>T5</t>
  </si>
  <si>
    <t>T6</t>
  </si>
  <si>
    <t>T7</t>
  </si>
  <si>
    <t>T8</t>
  </si>
  <si>
    <t>Frein</t>
  </si>
  <si>
    <t>Boite</t>
  </si>
  <si>
    <t>Liste 3</t>
  </si>
  <si>
    <t>Buenos Aires</t>
  </si>
  <si>
    <t>Adelaide</t>
  </si>
  <si>
    <t>Melbourne</t>
  </si>
  <si>
    <t>A1-Ring</t>
  </si>
  <si>
    <t>Oesterreichring</t>
  </si>
  <si>
    <t>Sakhir</t>
  </si>
  <si>
    <t>Spa</t>
  </si>
  <si>
    <t>Zolder</t>
  </si>
  <si>
    <t>Brasilia</t>
  </si>
  <si>
    <t>Interlagos</t>
  </si>
  <si>
    <t>Montreal</t>
  </si>
  <si>
    <t>Shanghai</t>
  </si>
  <si>
    <t>Brno</t>
  </si>
  <si>
    <t>Ahvenisto</t>
  </si>
  <si>
    <t>Magny Cours</t>
  </si>
  <si>
    <t>Paul Ricard</t>
  </si>
  <si>
    <t>Hockenheim</t>
  </si>
  <si>
    <t>Nurburgring</t>
  </si>
  <si>
    <t>Serres</t>
  </si>
  <si>
    <t>Hungaroring</t>
  </si>
  <si>
    <t>Irungattukottai</t>
  </si>
  <si>
    <t>New Delhi</t>
  </si>
  <si>
    <t>Fiorano</t>
  </si>
  <si>
    <t>Monza</t>
  </si>
  <si>
    <t>Mugello</t>
  </si>
  <si>
    <t>Fuji</t>
  </si>
  <si>
    <t>Suzuka</t>
  </si>
  <si>
    <t>Kaunas</t>
  </si>
  <si>
    <t>Sepang</t>
  </si>
  <si>
    <t>Mexico City</t>
  </si>
  <si>
    <t>Monte Carlo</t>
  </si>
  <si>
    <t>Zandvoort</t>
  </si>
  <si>
    <t>Poznan</t>
  </si>
  <si>
    <t>Estoril</t>
  </si>
  <si>
    <t>Portimao</t>
  </si>
  <si>
    <t>Bucharest Ring</t>
  </si>
  <si>
    <t>Imola</t>
  </si>
  <si>
    <t>Singapore</t>
  </si>
  <si>
    <t>Slovakiaring</t>
  </si>
  <si>
    <t>Kyalami</t>
  </si>
  <si>
    <t>Yeongam</t>
  </si>
  <si>
    <t>Barcelona</t>
  </si>
  <si>
    <t>Jerez</t>
  </si>
  <si>
    <t>Valencia</t>
  </si>
  <si>
    <t>Istanbul</t>
  </si>
  <si>
    <t>Yas Marina</t>
  </si>
  <si>
    <t>Brands Hatch</t>
  </si>
  <si>
    <t>Silverstone</t>
  </si>
  <si>
    <t>Austin</t>
  </si>
  <si>
    <t>Indianapolis</t>
  </si>
  <si>
    <t>Indianapolis Oval</t>
  </si>
  <si>
    <t>Laguna Seca</t>
  </si>
  <si>
    <t>avant</t>
  </si>
  <si>
    <t>arriere</t>
  </si>
  <si>
    <t>si &gt;0</t>
  </si>
  <si>
    <t>si &lt;0</t>
  </si>
  <si>
    <t>min</t>
  </si>
  <si>
    <t>max</t>
  </si>
  <si>
    <t>Avec Aileron</t>
  </si>
  <si>
    <t>Si les essais ont lieu sous la pluie et la course sur le sec</t>
  </si>
  <si>
    <t xml:space="preserve">Si les essais ont lieu sur le sec et la </t>
  </si>
  <si>
    <t>course sous la pluie</t>
  </si>
  <si>
    <t>Régalge par défaut</t>
  </si>
  <si>
    <t>Suspens.</t>
  </si>
  <si>
    <t>Réglage souhaité :</t>
  </si>
  <si>
    <t>Comment utilisé ce programme</t>
  </si>
  <si>
    <t>Préambule</t>
  </si>
  <si>
    <t>Ce programme est verouillé pour éviter de faire des erreurs de manipulations.</t>
  </si>
  <si>
    <t>Les données initiales de ce programme sont issue de notre partage de données.</t>
  </si>
  <si>
    <t>Astuces : Pour éviter de sytématiquement remettre à 0 le programme, il suffit de ne jamais l'enregistrer.</t>
  </si>
  <si>
    <t>Etape 1 :</t>
  </si>
  <si>
    <t>Choisir le circuit en cliquant dessus et en choisissant le circuit souhaité à l'aide de la liste déroulante.</t>
  </si>
  <si>
    <t>Remarquez que dans le cadre grisé juste en desous apparaît les réglages initiaux pour ce circuit.</t>
  </si>
  <si>
    <t>Vous pouvez si vous le souhaitez utiliser vos popres reglages initiaux, en les inscrivant dans les cases juste en desssous.</t>
  </si>
  <si>
    <t>Etape 2 :</t>
  </si>
  <si>
    <t>Renseignez tout d'abord dans les 2 cases noires l'expérience et les connaissances technique de votre pilote.</t>
  </si>
  <si>
    <t>Sa marge d'acceptation se calculera automatiquement</t>
  </si>
  <si>
    <t>Etape 3 :</t>
  </si>
  <si>
    <t>Dans le même temps vos réglages pour le tour 1 apparaissent dans la premiere ligne du tableau.</t>
  </si>
  <si>
    <t>Servez vous en pour faire votre premier tour d'essai libre. Et lancez votre tour,</t>
  </si>
  <si>
    <t>Reportez dans cette même ligne les commentaires du pilotes à l'aide des listes droulantes à coté du réglage</t>
  </si>
  <si>
    <t>Etape 4 :</t>
  </si>
  <si>
    <t>Au fur et à mesure que vous renseignez les commentaires, le programme vous propose les réglages pour le tour 2.</t>
  </si>
  <si>
    <t>Procédez de la même façon que pour le tour 1 et ainsi de suite pour chaque tour souhaité</t>
  </si>
  <si>
    <t>Etape 5 :</t>
  </si>
  <si>
    <t>Pour arreter les essais, il vous suffit de remplacer la mention "Tour X" par la mention "Stop X" (ou x et le nombre de tour) au tour suivant.</t>
  </si>
  <si>
    <t>Par exemple si vous ne voulez faire que 6 tours d'essai, il vous suffit de remplacer "Tour 7" par "Stop 7"</t>
  </si>
  <si>
    <t>La mention Stop signifie que vous ne souhaitez pas faire ce tour.</t>
  </si>
  <si>
    <t>Etape 6 :</t>
  </si>
  <si>
    <t>Les règlages optimaux se mettent automatiquement à jour. A noter que pour info j'ai inscrit le réglages avec les différences d'aileron pour ceux qui le souhaite.</t>
  </si>
  <si>
    <t>Les règlages vers le sec ou vers la pluie sont pour le cas d'un changement de condition entre les essais et la course.</t>
  </si>
  <si>
    <r>
      <t>REMARQUE :</t>
    </r>
    <r>
      <rPr>
        <sz val="10"/>
        <rFont val="Times New Roman"/>
        <family val="1"/>
      </rPr>
      <t xml:space="preserve"> Si vous souhaitez faire 8 tours d'essai, </t>
    </r>
    <r>
      <rPr>
        <b/>
        <i/>
        <u/>
        <sz val="10"/>
        <color indexed="10"/>
        <rFont val="Times New Roman"/>
        <family val="1"/>
      </rPr>
      <t>vous n'avez pas besoin de la mentions STOP.</t>
    </r>
  </si>
  <si>
    <r>
      <t xml:space="preserve">REMARQUE </t>
    </r>
    <r>
      <rPr>
        <sz val="10"/>
        <rFont val="Times New Roman"/>
        <family val="1"/>
      </rPr>
      <t>: pour plus de lisibilité, je n'ai mis qu'une fois "aileron", il va de soit que vous devez mettre ce réglage dans aileron avant et aileron arrière.</t>
    </r>
  </si>
  <si>
    <t>(+3) Je manque vraiment de beaucoup de vitesse dans les lignes droites</t>
  </si>
  <si>
    <t>(+3) Non non non ! Favoriser beaucoup plus les bas régimes</t>
  </si>
  <si>
    <t>(+3) s'il vous plait, déplacer l'équilibre beaucoup plus vers l'arriere</t>
  </si>
  <si>
    <t>(+3) S'il vous plait, mettez les rapports d'engrenages beaucoup plus bas</t>
  </si>
  <si>
    <t>(+3) La voiture est beaucoup trop rigide, abaissez la rigidité</t>
  </si>
  <si>
    <t>(+2) La voiture manque de vitesse dans les lignes droites</t>
  </si>
  <si>
    <t>(+2) Le régime moteur est trop élevé</t>
  </si>
  <si>
    <t>(+2) Je pense que l'efficacité des freins peut être meilleure si l'on déplace l'équilibre vers l'arrière</t>
  </si>
  <si>
    <t>(+2) Les rapports de boîte sont trop longs</t>
  </si>
  <si>
    <t>(+2) La rigidité de la suspension est trop élevée</t>
  </si>
  <si>
    <t>(+1) La voiture pourrait avoir un peu plus de vitesse dans les lignes droites</t>
  </si>
  <si>
    <t>(+1) Essayez de favoriser un peu plus les bas régimes</t>
  </si>
  <si>
    <t>(+1) Mettez l'équilibre un peu plus à l'arrière</t>
  </si>
  <si>
    <t>(+1) Je ne peux pas profiter de la puissance du moteur. Raccourcissez les rapports de boite</t>
  </si>
  <si>
    <t>(+1) La voiture est trop rigide. Baissez un peu la rigidité.</t>
  </si>
  <si>
    <t>(0) Je suis satisfait du réglages</t>
  </si>
  <si>
    <t>(-1) Je manque un peu d'adhérence dans les courbes</t>
  </si>
  <si>
    <t>(-1) Je ressens que je n'ai pas assez de puissance moteur dans les lignes droites</t>
  </si>
  <si>
    <t>(-1) Je voudrais avoir l'équilibre un peu plus à l'avant</t>
  </si>
  <si>
    <t>(-1) Je suis très souvent dans le rouge. Allongez un peu les rapports de boite</t>
  </si>
  <si>
    <t xml:space="preserve">(-1) Je pense qu'avec une suspension un peu plus rigide, je serai plus rapide </t>
  </si>
  <si>
    <t>(-2) La voiture est très instable dans de nombreux virages</t>
  </si>
  <si>
    <t>(-2) La puissance du moteur dans les lignes droites n'est pas suffisante</t>
  </si>
  <si>
    <t>(-2) Je pense que l'efficacité des freins peut être meilleure si l'on déplace l'équilibre vers l'avant</t>
  </si>
  <si>
    <t>(-2) Les rapports de boîte sont trop courts</t>
  </si>
  <si>
    <t>(-2) La rigidité de la suspension est trop faible</t>
  </si>
  <si>
    <t>(-3) Je ne peux pas conduire la voiture, elle n'a pas d'adhérence</t>
  </si>
  <si>
    <t>(-3) Vous devriez essayer de favoriser beaucoup plus les hauts régimes</t>
  </si>
  <si>
    <t>(-3) Je me sentirais beaucoup plus à l'aise avec l'équilibre vers l'avant</t>
  </si>
  <si>
    <t>(-3) On dirait que le moteur va exploser. Mettez un espace beaucoup plus élevé entre les vitesses</t>
  </si>
  <si>
    <t>(-3) la rigidité de la suspension devrait etre beaucoup plus eleve</t>
  </si>
  <si>
    <t>PRO uniquement</t>
  </si>
  <si>
    <t>Directeur Technique</t>
  </si>
  <si>
    <t>Expérience</t>
  </si>
  <si>
    <t>R&amp;D Mécanique</t>
  </si>
  <si>
    <t>R&amp;D Electronique</t>
  </si>
  <si>
    <t>R&amp;D Aéro</t>
  </si>
  <si>
    <t>DT</t>
  </si>
  <si>
    <t>aileron</t>
  </si>
  <si>
    <t>moteur</t>
  </si>
  <si>
    <t>frein</t>
  </si>
  <si>
    <t>boite</t>
  </si>
  <si>
    <t>suspension</t>
  </si>
  <si>
    <t>Marge</t>
  </si>
  <si>
    <t>tour</t>
  </si>
  <si>
    <t>lng</t>
  </si>
  <si>
    <t>usure</t>
  </si>
  <si>
    <t>conso</t>
  </si>
  <si>
    <t>moyen</t>
  </si>
  <si>
    <t>haute</t>
  </si>
  <si>
    <t>basse</t>
  </si>
  <si>
    <t>tres haute</t>
  </si>
  <si>
    <t>tres basse</t>
  </si>
  <si>
    <t>XT</t>
  </si>
  <si>
    <t>T</t>
  </si>
  <si>
    <t>M</t>
  </si>
  <si>
    <t>D</t>
  </si>
  <si>
    <t>P</t>
  </si>
  <si>
    <t>Tendre</t>
  </si>
  <si>
    <t>Extra
Tendre</t>
  </si>
  <si>
    <t>Medium</t>
  </si>
  <si>
    <t>Dur</t>
  </si>
  <si>
    <t>Pluie</t>
  </si>
  <si>
    <t>CT 0</t>
  </si>
  <si>
    <t>CT 10</t>
  </si>
  <si>
    <t>CT 20</t>
  </si>
  <si>
    <t>CT 30</t>
  </si>
  <si>
    <t>CT 40</t>
  </si>
  <si>
    <t>CT 60</t>
  </si>
  <si>
    <t>CT 80</t>
  </si>
  <si>
    <t>GP DE :</t>
  </si>
  <si>
    <t>Nombre  de
tour :</t>
  </si>
  <si>
    <t>Temperature :</t>
  </si>
  <si>
    <t xml:space="preserve">Humidité : </t>
  </si>
  <si>
    <t>CT :</t>
  </si>
  <si>
    <t>L</t>
  </si>
  <si>
    <t>Legende</t>
  </si>
  <si>
    <t>Pipereli</t>
  </si>
  <si>
    <t>Avonn</t>
  </si>
  <si>
    <t>Dunlop</t>
  </si>
  <si>
    <t>Yoko</t>
  </si>
  <si>
    <t>Km</t>
  </si>
  <si>
    <t>ecart</t>
  </si>
  <si>
    <t>conso pluie</t>
  </si>
  <si>
    <t>conso sec</t>
  </si>
  <si>
    <t>L/km</t>
  </si>
  <si>
    <t>TOTAL</t>
  </si>
  <si>
    <t>L/tour</t>
  </si>
  <si>
    <t>SEC</t>
  </si>
  <si>
    <t>MOTEUR
LVL 1</t>
  </si>
  <si>
    <t>PLUIE</t>
  </si>
  <si>
    <t>MOTEUR
LVL 2</t>
  </si>
  <si>
    <t>MOTEUR
LVL 3</t>
  </si>
  <si>
    <t>MOTEUR
LVL 4</t>
  </si>
  <si>
    <t>MOTEUR
LVL 5</t>
  </si>
  <si>
    <t>MOTEUR
LVL 6</t>
  </si>
  <si>
    <t>MOTEUR
LVL 7</t>
  </si>
  <si>
    <t>PNEU</t>
  </si>
  <si>
    <t>ESSENCE</t>
  </si>
  <si>
    <t>Châssis</t>
  </si>
  <si>
    <t>Aileron Avant</t>
  </si>
  <si>
    <t>Aileron Arrière</t>
  </si>
  <si>
    <t>Fond Plat</t>
  </si>
  <si>
    <t>Pontons</t>
  </si>
  <si>
    <t>Refroidissement</t>
  </si>
  <si>
    <t>Boite de vitesse</t>
  </si>
  <si>
    <t>Electronique</t>
  </si>
  <si>
    <t>USURE</t>
  </si>
  <si>
    <t>cha</t>
  </si>
  <si>
    <t>Mot</t>
  </si>
  <si>
    <t>Aar</t>
  </si>
  <si>
    <t>A Av</t>
  </si>
  <si>
    <t>FP</t>
  </si>
  <si>
    <t>Pont</t>
  </si>
  <si>
    <t>Refro</t>
  </si>
  <si>
    <t>Susp</t>
  </si>
  <si>
    <t>Elec</t>
  </si>
  <si>
    <t>circuit</t>
  </si>
  <si>
    <t>coef ess</t>
  </si>
  <si>
    <t>MOTEUR</t>
  </si>
  <si>
    <t>Niveau</t>
  </si>
  <si>
    <t>Usure %</t>
  </si>
  <si>
    <t>Total Essence</t>
  </si>
  <si>
    <t>Litre/Tour</t>
  </si>
  <si>
    <t>Litre/Km</t>
  </si>
  <si>
    <t>Nombre de tour</t>
  </si>
  <si>
    <t>Essence</t>
  </si>
  <si>
    <t>km/L</t>
  </si>
  <si>
    <t>ELECTRONI</t>
  </si>
  <si>
    <t>Avus</t>
  </si>
  <si>
    <t>Bremgarten</t>
  </si>
  <si>
    <t>Sec</t>
  </si>
  <si>
    <t>Circuit</t>
  </si>
  <si>
    <t>AiMo sec</t>
  </si>
  <si>
    <t>Mot sec</t>
  </si>
  <si>
    <t>Freins sec</t>
  </si>
  <si>
    <t>BV sec</t>
  </si>
  <si>
    <t>Susp sec</t>
  </si>
  <si>
    <t>Ecart sec</t>
  </si>
  <si>
    <t>Compte sec</t>
  </si>
  <si>
    <t>AiMo pluie</t>
  </si>
  <si>
    <t>Mot pluie</t>
  </si>
  <si>
    <t>Freins pluie</t>
  </si>
  <si>
    <t>BV pluie</t>
  </si>
  <si>
    <t>Susp pluie</t>
  </si>
  <si>
    <t>Ecart pluie</t>
  </si>
  <si>
    <t>Compte pluie</t>
  </si>
  <si>
    <t>Anderstorp</t>
  </si>
  <si>
    <t>Rafaela Oval</t>
  </si>
  <si>
    <t>Sochi</t>
  </si>
  <si>
    <t>Essai Libre/Q1</t>
  </si>
  <si>
    <t>Météo</t>
  </si>
  <si>
    <t>Température</t>
  </si>
  <si>
    <t>Course</t>
  </si>
  <si>
    <t>Température Moy</t>
  </si>
  <si>
    <t>Nombre de donnée</t>
  </si>
  <si>
    <t>REGLAGE OPTIMAL Q1</t>
  </si>
  <si>
    <t>REGLAGE OPTIMAL Q2</t>
  </si>
  <si>
    <t>reglage ail</t>
  </si>
  <si>
    <t>Q1</t>
  </si>
  <si>
    <t>Q2</t>
  </si>
  <si>
    <t>Q3</t>
  </si>
  <si>
    <t>REGLAGE OPTIMAL Course</t>
  </si>
  <si>
    <t>compte</t>
  </si>
  <si>
    <t>CALCULATEUR D'ESSENCE SEC (uniquement)</t>
  </si>
  <si>
    <t>Chassis</t>
  </si>
  <si>
    <t>AilAv</t>
  </si>
  <si>
    <t>AilAr</t>
  </si>
  <si>
    <t>Refroid.</t>
  </si>
  <si>
    <t>Elect.</t>
  </si>
  <si>
    <t>USURE SAISON</t>
  </si>
  <si>
    <t>Baku City</t>
  </si>
  <si>
    <t>Grobnik</t>
  </si>
  <si>
    <t>G74</t>
  </si>
  <si>
    <t>Jyllands-Ringen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</si>
</sst>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0.0000"/>
    <numFmt numFmtId="165" formatCode="0.0%"/>
  </numFmts>
  <fonts count="36">
    <font>
      <sz val="10"/>
      <name val="Times New Roman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9"/>
      <name val="Times New Roman"/>
      <family val="1"/>
    </font>
    <font>
      <b/>
      <sz val="10"/>
      <color indexed="9"/>
      <name val="Times New Roman"/>
      <family val="1"/>
    </font>
    <font>
      <b/>
      <i/>
      <sz val="20"/>
      <name val="Times New Roman"/>
      <family val="1"/>
    </font>
    <font>
      <b/>
      <sz val="10"/>
      <color indexed="10"/>
      <name val="Times New Roman"/>
      <family val="1"/>
    </font>
    <font>
      <b/>
      <i/>
      <u/>
      <sz val="10"/>
      <name val="Times New Roman"/>
      <family val="1"/>
    </font>
    <font>
      <b/>
      <sz val="28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i/>
      <sz val="8"/>
      <name val="Times New Roman"/>
      <family val="1"/>
    </font>
    <font>
      <b/>
      <sz val="10"/>
      <color indexed="8"/>
      <name val="Times New Roman"/>
      <family val="1"/>
    </font>
    <font>
      <b/>
      <i/>
      <u/>
      <sz val="10"/>
      <color indexed="10"/>
      <name val="Times New Roman"/>
      <family val="1"/>
    </font>
    <font>
      <b/>
      <sz val="14"/>
      <color indexed="9"/>
      <name val="Times New Roman"/>
      <family val="1"/>
    </font>
    <font>
      <b/>
      <sz val="10"/>
      <color indexed="12"/>
      <name val="Times New Roman"/>
      <family val="1"/>
    </font>
    <font>
      <i/>
      <sz val="8"/>
      <color indexed="10"/>
      <name val="Times New Roman"/>
      <family val="1"/>
    </font>
    <font>
      <b/>
      <i/>
      <sz val="9"/>
      <name val="Times New Roman"/>
      <family val="1"/>
    </font>
    <font>
      <b/>
      <sz val="12"/>
      <name val="Times New Roman"/>
      <family val="1"/>
    </font>
    <font>
      <b/>
      <i/>
      <sz val="8"/>
      <name val="Times New Roman"/>
      <family val="1"/>
    </font>
    <font>
      <sz val="8"/>
      <name val="Times New Roman"/>
      <family val="1"/>
    </font>
    <font>
      <i/>
      <sz val="8"/>
      <color indexed="8"/>
      <name val="Times New Roman"/>
      <family val="1"/>
    </font>
    <font>
      <b/>
      <i/>
      <sz val="28"/>
      <name val="Times New Roman"/>
      <family val="1"/>
    </font>
    <font>
      <b/>
      <sz val="14"/>
      <color indexed="10"/>
      <name val="Times New Roman"/>
      <family val="1"/>
    </font>
    <font>
      <sz val="7"/>
      <color indexed="10"/>
      <name val="Times New Roman"/>
      <family val="1"/>
    </font>
    <font>
      <b/>
      <i/>
      <u/>
      <sz val="18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color theme="0"/>
      <name val="Times New Roman"/>
      <family val="1"/>
    </font>
    <font>
      <sz val="7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0">
    <xf numFmtId="0" fontId="0" fillId="0" borderId="0" xfId="0"/>
    <xf numFmtId="0" fontId="6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14" fillId="3" borderId="0" xfId="0" applyFont="1" applyFill="1" applyAlignment="1" applyProtection="1">
      <alignment horizontal="center"/>
      <protection hidden="1"/>
    </xf>
    <xf numFmtId="0" fontId="2" fillId="3" borderId="2" xfId="0" applyFont="1" applyFill="1" applyBorder="1" applyAlignment="1" applyProtection="1">
      <alignment horizontal="center"/>
      <protection hidden="1"/>
    </xf>
    <xf numFmtId="1" fontId="0" fillId="3" borderId="3" xfId="0" applyNumberFormat="1" applyFill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1" fontId="0" fillId="0" borderId="3" xfId="0" applyNumberFormat="1" applyFill="1" applyBorder="1" applyAlignment="1" applyProtection="1">
      <alignment horizontal="center"/>
      <protection hidden="1"/>
    </xf>
    <xf numFmtId="0" fontId="2" fillId="3" borderId="0" xfId="0" applyFont="1" applyFill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1" fontId="0" fillId="0" borderId="5" xfId="0" applyNumberFormat="1" applyFill="1" applyBorder="1" applyAlignment="1" applyProtection="1">
      <alignment horizontal="center"/>
      <protection hidden="1"/>
    </xf>
    <xf numFmtId="0" fontId="13" fillId="0" borderId="0" xfId="0" applyFont="1" applyAlignment="1" applyProtection="1">
      <alignment horizontal="left"/>
      <protection hidden="1"/>
    </xf>
    <xf numFmtId="0" fontId="0" fillId="4" borderId="3" xfId="0" applyFill="1" applyBorder="1" applyAlignment="1" applyProtection="1">
      <alignment horizontal="center"/>
      <protection hidden="1"/>
    </xf>
    <xf numFmtId="1" fontId="8" fillId="4" borderId="6" xfId="0" applyNumberFormat="1" applyFont="1" applyFill="1" applyBorder="1" applyAlignment="1" applyProtection="1">
      <alignment horizontal="center"/>
      <protection hidden="1"/>
    </xf>
    <xf numFmtId="1" fontId="13" fillId="0" borderId="0" xfId="0" applyNumberFormat="1" applyFont="1" applyAlignment="1" applyProtection="1">
      <alignment horizontal="left"/>
      <protection hidden="1"/>
    </xf>
    <xf numFmtId="0" fontId="0" fillId="4" borderId="5" xfId="0" applyFill="1" applyBorder="1" applyAlignment="1" applyProtection="1">
      <alignment horizontal="center"/>
      <protection hidden="1"/>
    </xf>
    <xf numFmtId="1" fontId="8" fillId="4" borderId="7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11" fillId="0" borderId="0" xfId="0" applyFont="1" applyAlignment="1" applyProtection="1">
      <alignment horizontal="left"/>
      <protection hidden="1"/>
    </xf>
    <xf numFmtId="0" fontId="17" fillId="0" borderId="8" xfId="0" applyFont="1" applyBorder="1" applyAlignment="1" applyProtection="1">
      <alignment horizontal="left"/>
      <protection hidden="1"/>
    </xf>
    <xf numFmtId="0" fontId="0" fillId="0" borderId="9" xfId="0" applyBorder="1" applyAlignment="1" applyProtection="1">
      <alignment horizontal="left"/>
      <protection hidden="1"/>
    </xf>
    <xf numFmtId="0" fontId="0" fillId="0" borderId="10" xfId="0" applyBorder="1" applyAlignment="1" applyProtection="1">
      <alignment horizontal="left"/>
      <protection hidden="1"/>
    </xf>
    <xf numFmtId="0" fontId="0" fillId="0" borderId="0" xfId="0" applyFill="1" applyAlignment="1" applyProtection="1">
      <alignment horizontal="left"/>
      <protection hidden="1"/>
    </xf>
    <xf numFmtId="0" fontId="0" fillId="0" borderId="0" xfId="0" applyFill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left"/>
      <protection hidden="1"/>
    </xf>
    <xf numFmtId="0" fontId="3" fillId="0" borderId="10" xfId="0" applyFont="1" applyBorder="1" applyAlignment="1" applyProtection="1">
      <alignment horizontal="left"/>
      <protection hidden="1"/>
    </xf>
    <xf numFmtId="0" fontId="3" fillId="0" borderId="0" xfId="0" applyFont="1" applyFill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0" fontId="8" fillId="0" borderId="0" xfId="0" applyFont="1" applyAlignment="1" applyProtection="1">
      <alignment horizontal="left"/>
      <protection hidden="1"/>
    </xf>
    <xf numFmtId="0" fontId="17" fillId="0" borderId="8" xfId="0" applyFont="1" applyFill="1" applyBorder="1" applyAlignment="1" applyProtection="1">
      <alignment horizontal="left"/>
      <protection hidden="1"/>
    </xf>
    <xf numFmtId="0" fontId="0" fillId="0" borderId="9" xfId="0" applyFill="1" applyBorder="1" applyAlignment="1" applyProtection="1">
      <alignment horizontal="center"/>
      <protection hidden="1"/>
    </xf>
    <xf numFmtId="0" fontId="0" fillId="0" borderId="10" xfId="0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0" fillId="3" borderId="11" xfId="0" applyFill="1" applyBorder="1" applyAlignment="1" applyProtection="1">
      <alignment horizontal="center"/>
      <protection hidden="1"/>
    </xf>
    <xf numFmtId="1" fontId="0" fillId="3" borderId="2" xfId="0" applyNumberFormat="1" applyFill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1" fontId="0" fillId="0" borderId="0" xfId="0" applyNumberFormat="1" applyBorder="1" applyAlignment="1" applyProtection="1">
      <alignment horizontal="center"/>
      <protection hidden="1"/>
    </xf>
    <xf numFmtId="0" fontId="0" fillId="3" borderId="3" xfId="0" applyFill="1" applyBorder="1" applyAlignment="1" applyProtection="1">
      <alignment horizontal="center"/>
      <protection hidden="1"/>
    </xf>
    <xf numFmtId="1" fontId="0" fillId="3" borderId="0" xfId="0" applyNumberFormat="1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center"/>
      <protection hidden="1"/>
    </xf>
    <xf numFmtId="1" fontId="0" fillId="3" borderId="4" xfId="0" applyNumberForma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3" borderId="6" xfId="0" applyFont="1" applyFill="1" applyBorder="1" applyAlignment="1" applyProtection="1">
      <alignment horizontal="center"/>
      <protection hidden="1"/>
    </xf>
    <xf numFmtId="0" fontId="4" fillId="0" borderId="6" xfId="0" applyFont="1" applyFill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4" fillId="0" borderId="7" xfId="0" applyFont="1" applyFill="1" applyBorder="1" applyAlignment="1" applyProtection="1">
      <alignment horizontal="center"/>
      <protection hidden="1"/>
    </xf>
    <xf numFmtId="0" fontId="11" fillId="3" borderId="3" xfId="0" applyFont="1" applyFill="1" applyBorder="1" applyAlignment="1" applyProtection="1">
      <alignment horizontal="center"/>
      <protection hidden="1"/>
    </xf>
    <xf numFmtId="0" fontId="11" fillId="3" borderId="6" xfId="0" applyFont="1" applyFill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11" fillId="0" borderId="6" xfId="0" applyFont="1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center"/>
      <protection hidden="1"/>
    </xf>
    <xf numFmtId="0" fontId="19" fillId="5" borderId="12" xfId="0" applyFont="1" applyFill="1" applyBorder="1" applyAlignment="1" applyProtection="1">
      <alignment horizontal="center" vertical="center"/>
      <protection hidden="1"/>
    </xf>
    <xf numFmtId="0" fontId="19" fillId="4" borderId="13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18" fillId="5" borderId="14" xfId="0" applyFont="1" applyFill="1" applyBorder="1" applyAlignment="1" applyProtection="1">
      <alignment horizontal="center" vertical="center"/>
      <protection hidden="1"/>
    </xf>
    <xf numFmtId="0" fontId="21" fillId="6" borderId="15" xfId="0" applyFont="1" applyFill="1" applyBorder="1" applyAlignment="1" applyProtection="1">
      <alignment horizontal="center" vertical="center"/>
      <protection hidden="1"/>
    </xf>
    <xf numFmtId="0" fontId="18" fillId="6" borderId="16" xfId="0" applyFont="1" applyFill="1" applyBorder="1" applyAlignment="1" applyProtection="1">
      <alignment horizontal="center" vertical="center"/>
      <protection hidden="1"/>
    </xf>
    <xf numFmtId="0" fontId="18" fillId="2" borderId="0" xfId="0" applyFont="1" applyFill="1" applyBorder="1" applyAlignment="1" applyProtection="1">
      <alignment horizontal="center" vertical="center"/>
      <protection hidden="1"/>
    </xf>
    <xf numFmtId="0" fontId="21" fillId="5" borderId="12" xfId="0" applyFont="1" applyFill="1" applyBorder="1" applyAlignment="1" applyProtection="1">
      <alignment horizontal="center" vertical="center"/>
      <protection hidden="1"/>
    </xf>
    <xf numFmtId="0" fontId="18" fillId="4" borderId="17" xfId="0" applyFont="1" applyFill="1" applyBorder="1" applyAlignment="1" applyProtection="1">
      <alignment horizontal="center" vertical="center"/>
      <protection hidden="1"/>
    </xf>
    <xf numFmtId="0" fontId="21" fillId="7" borderId="18" xfId="0" applyFont="1" applyFill="1" applyBorder="1" applyAlignment="1" applyProtection="1">
      <alignment horizontal="center" vertical="center"/>
      <protection hidden="1"/>
    </xf>
    <xf numFmtId="0" fontId="18" fillId="7" borderId="19" xfId="0" applyFont="1" applyFill="1" applyBorder="1" applyAlignment="1" applyProtection="1">
      <alignment horizontal="center" vertical="center"/>
      <protection hidden="1"/>
    </xf>
    <xf numFmtId="0" fontId="21" fillId="4" borderId="13" xfId="0" applyFont="1" applyFill="1" applyBorder="1" applyAlignment="1" applyProtection="1">
      <alignment horizontal="center" vertic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0" fontId="0" fillId="0" borderId="20" xfId="0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22" fillId="2" borderId="0" xfId="0" applyFont="1" applyFill="1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0" fillId="0" borderId="24" xfId="0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23" fillId="0" borderId="0" xfId="0" applyFont="1" applyAlignment="1" applyProtection="1">
      <alignment horizontal="left"/>
      <protection hidden="1"/>
    </xf>
    <xf numFmtId="1" fontId="23" fillId="0" borderId="0" xfId="0" applyNumberFormat="1" applyFont="1" applyAlignment="1" applyProtection="1">
      <alignment horizontal="left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2" fontId="26" fillId="0" borderId="0" xfId="0" applyNumberFormat="1" applyFont="1" applyAlignment="1" applyProtection="1">
      <alignment horizontal="center"/>
      <protection hidden="1"/>
    </xf>
    <xf numFmtId="0" fontId="11" fillId="0" borderId="25" xfId="0" applyFont="1" applyBorder="1" applyProtection="1">
      <protection hidden="1"/>
    </xf>
    <xf numFmtId="0" fontId="11" fillId="0" borderId="26" xfId="0" applyFont="1" applyBorder="1" applyProtection="1">
      <protection hidden="1"/>
    </xf>
    <xf numFmtId="0" fontId="11" fillId="0" borderId="26" xfId="0" applyFont="1" applyBorder="1" applyAlignment="1" applyProtection="1">
      <alignment horizontal="center"/>
      <protection hidden="1"/>
    </xf>
    <xf numFmtId="0" fontId="11" fillId="0" borderId="27" xfId="0" applyFont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11" fillId="0" borderId="28" xfId="0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11" fillId="0" borderId="29" xfId="0" applyFont="1" applyBorder="1" applyAlignment="1" applyProtection="1">
      <alignment horizontal="center"/>
      <protection hidden="1"/>
    </xf>
    <xf numFmtId="1" fontId="11" fillId="0" borderId="0" xfId="0" applyNumberFormat="1" applyFont="1" applyBorder="1" applyProtection="1">
      <protection hidden="1"/>
    </xf>
    <xf numFmtId="1" fontId="11" fillId="0" borderId="0" xfId="0" applyNumberFormat="1" applyFont="1" applyBorder="1" applyAlignment="1" applyProtection="1">
      <alignment horizontal="center"/>
      <protection hidden="1"/>
    </xf>
    <xf numFmtId="1" fontId="11" fillId="0" borderId="29" xfId="0" applyNumberFormat="1" applyFont="1" applyBorder="1" applyAlignment="1" applyProtection="1">
      <alignment horizontal="center"/>
      <protection hidden="1"/>
    </xf>
    <xf numFmtId="1" fontId="11" fillId="0" borderId="29" xfId="0" applyNumberFormat="1" applyFont="1" applyBorder="1" applyProtection="1">
      <protection hidden="1"/>
    </xf>
    <xf numFmtId="0" fontId="11" fillId="0" borderId="15" xfId="0" applyFont="1" applyBorder="1" applyProtection="1">
      <protection hidden="1"/>
    </xf>
    <xf numFmtId="1" fontId="11" fillId="0" borderId="30" xfId="0" applyNumberFormat="1" applyFont="1" applyBorder="1" applyProtection="1">
      <protection hidden="1"/>
    </xf>
    <xf numFmtId="0" fontId="11" fillId="0" borderId="30" xfId="0" applyFont="1" applyBorder="1" applyProtection="1">
      <protection hidden="1"/>
    </xf>
    <xf numFmtId="1" fontId="11" fillId="0" borderId="14" xfId="0" applyNumberFormat="1" applyFont="1" applyBorder="1" applyProtection="1">
      <protection hidden="1"/>
    </xf>
    <xf numFmtId="0" fontId="11" fillId="0" borderId="0" xfId="0" applyFont="1" applyFill="1" applyBorder="1" applyAlignment="1" applyProtection="1">
      <alignment horizontal="center"/>
      <protection hidden="1"/>
    </xf>
    <xf numFmtId="0" fontId="11" fillId="0" borderId="0" xfId="0" applyFont="1"/>
    <xf numFmtId="1" fontId="11" fillId="0" borderId="0" xfId="0" applyNumberFormat="1" applyFont="1" applyFill="1" applyBorder="1" applyAlignment="1" applyProtection="1">
      <alignment horizontal="center"/>
      <protection hidden="1"/>
    </xf>
    <xf numFmtId="164" fontId="26" fillId="0" borderId="0" xfId="0" applyNumberFormat="1" applyFont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1" xfId="0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3" fillId="2" borderId="9" xfId="0" applyFont="1" applyFill="1" applyBorder="1" applyAlignment="1" applyProtection="1">
      <alignment horizontal="center"/>
      <protection hidden="1"/>
    </xf>
    <xf numFmtId="0" fontId="0" fillId="0" borderId="34" xfId="0" applyBorder="1" applyAlignment="1" applyProtection="1">
      <alignment horizontal="center"/>
      <protection hidden="1"/>
    </xf>
    <xf numFmtId="0" fontId="0" fillId="0" borderId="35" xfId="0" applyBorder="1" applyAlignment="1" applyProtection="1">
      <alignment horizontal="center"/>
      <protection hidden="1"/>
    </xf>
    <xf numFmtId="0" fontId="0" fillId="0" borderId="36" xfId="0" applyBorder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right"/>
      <protection hidden="1"/>
    </xf>
    <xf numFmtId="0" fontId="0" fillId="0" borderId="6" xfId="0" applyBorder="1" applyAlignment="1" applyProtection="1">
      <alignment horizontal="center"/>
      <protection hidden="1"/>
    </xf>
    <xf numFmtId="1" fontId="11" fillId="0" borderId="0" xfId="0" applyNumberFormat="1" applyFont="1" applyAlignment="1" applyProtection="1">
      <alignment horizontal="center"/>
      <protection hidden="1"/>
    </xf>
    <xf numFmtId="1" fontId="3" fillId="3" borderId="0" xfId="0" applyNumberFormat="1" applyFont="1" applyFill="1" applyAlignment="1" applyProtection="1">
      <alignment horizontal="center"/>
      <protection hidden="1"/>
    </xf>
    <xf numFmtId="1" fontId="14" fillId="3" borderId="0" xfId="0" applyNumberFormat="1" applyFont="1" applyFill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30" fillId="0" borderId="0" xfId="0" applyFont="1" applyAlignment="1" applyProtection="1">
      <alignment horizontal="center"/>
      <protection hidden="1"/>
    </xf>
    <xf numFmtId="1" fontId="29" fillId="0" borderId="0" xfId="0" applyNumberFormat="1" applyFont="1" applyAlignment="1" applyProtection="1">
      <alignment horizontal="center"/>
      <protection hidden="1"/>
    </xf>
    <xf numFmtId="0" fontId="31" fillId="0" borderId="0" xfId="0" applyFont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locked="0" hidden="1"/>
    </xf>
    <xf numFmtId="0" fontId="0" fillId="0" borderId="7" xfId="0" applyBorder="1" applyAlignment="1" applyProtection="1">
      <alignment horizontal="center"/>
      <protection locked="0" hidden="1"/>
    </xf>
    <xf numFmtId="0" fontId="28" fillId="0" borderId="16" xfId="0" applyFont="1" applyBorder="1" applyAlignment="1">
      <alignment horizontal="center"/>
    </xf>
    <xf numFmtId="0" fontId="0" fillId="0" borderId="0" xfId="0" applyProtection="1">
      <protection hidden="1"/>
    </xf>
    <xf numFmtId="2" fontId="0" fillId="0" borderId="0" xfId="0" applyNumberFormat="1" applyProtection="1">
      <protection hidden="1"/>
    </xf>
    <xf numFmtId="0" fontId="32" fillId="0" borderId="11" xfId="0" applyFont="1" applyBorder="1" applyAlignment="1" applyProtection="1">
      <alignment horizontal="center"/>
      <protection hidden="1"/>
    </xf>
    <xf numFmtId="0" fontId="3" fillId="11" borderId="31" xfId="0" applyFont="1" applyFill="1" applyBorder="1" applyAlignment="1" applyProtection="1">
      <alignment horizontal="center"/>
      <protection hidden="1"/>
    </xf>
    <xf numFmtId="0" fontId="33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8" fillId="14" borderId="0" xfId="0" applyFont="1" applyFill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0" fillId="0" borderId="25" xfId="0" applyBorder="1" applyAlignment="1" applyProtection="1">
      <alignment horizontal="center"/>
      <protection hidden="1"/>
    </xf>
    <xf numFmtId="0" fontId="0" fillId="0" borderId="26" xfId="0" applyBorder="1" applyAlignment="1" applyProtection="1">
      <alignment horizontal="center"/>
      <protection hidden="1"/>
    </xf>
    <xf numFmtId="164" fontId="0" fillId="0" borderId="26" xfId="0" applyNumberFormat="1" applyBorder="1" applyAlignment="1" applyProtection="1">
      <alignment horizontal="center"/>
      <protection hidden="1"/>
    </xf>
    <xf numFmtId="2" fontId="0" fillId="0" borderId="26" xfId="0" applyNumberFormat="1" applyBorder="1" applyAlignment="1" applyProtection="1">
      <alignment horizontal="center"/>
      <protection hidden="1"/>
    </xf>
    <xf numFmtId="2" fontId="0" fillId="0" borderId="27" xfId="0" applyNumberFormat="1" applyBorder="1" applyAlignment="1" applyProtection="1">
      <alignment horizontal="center"/>
      <protection hidden="1"/>
    </xf>
    <xf numFmtId="0" fontId="0" fillId="0" borderId="28" xfId="0" applyBorder="1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30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1" fontId="35" fillId="0" borderId="0" xfId="0" applyNumberFormat="1" applyFont="1" applyAlignment="1" applyProtection="1">
      <alignment horizontal="center"/>
      <protection hidden="1"/>
    </xf>
    <xf numFmtId="0" fontId="3" fillId="3" borderId="8" xfId="0" applyFont="1" applyFill="1" applyBorder="1" applyAlignment="1" applyProtection="1">
      <alignment horizontal="center"/>
      <protection hidden="1"/>
    </xf>
    <xf numFmtId="0" fontId="3" fillId="3" borderId="9" xfId="0" applyFont="1" applyFill="1" applyBorder="1" applyAlignment="1" applyProtection="1">
      <alignment horizontal="center"/>
      <protection hidden="1"/>
    </xf>
    <xf numFmtId="164" fontId="8" fillId="0" borderId="9" xfId="0" applyNumberFormat="1" applyFont="1" applyBorder="1" applyAlignment="1" applyProtection="1">
      <alignment horizontal="center"/>
      <protection hidden="1"/>
    </xf>
    <xf numFmtId="164" fontId="8" fillId="0" borderId="10" xfId="0" applyNumberFormat="1" applyFont="1" applyBorder="1" applyAlignment="1" applyProtection="1">
      <alignment horizontal="center"/>
      <protection hidden="1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0" fontId="27" fillId="0" borderId="20" xfId="0" applyFont="1" applyBorder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horizontal="center" vertical="center"/>
      <protection hidden="1"/>
    </xf>
    <xf numFmtId="0" fontId="3" fillId="12" borderId="11" xfId="0" applyFont="1" applyFill="1" applyBorder="1" applyAlignment="1" applyProtection="1">
      <alignment horizontal="center"/>
      <protection hidden="1"/>
    </xf>
    <xf numFmtId="0" fontId="3" fillId="12" borderId="31" xfId="0" applyFont="1" applyFill="1" applyBorder="1" applyAlignment="1" applyProtection="1">
      <alignment horizontal="center"/>
      <protection hidden="1"/>
    </xf>
    <xf numFmtId="1" fontId="8" fillId="0" borderId="12" xfId="0" applyNumberFormat="1" applyFont="1" applyBorder="1" applyAlignment="1" applyProtection="1">
      <alignment horizontal="center"/>
      <protection hidden="1"/>
    </xf>
    <xf numFmtId="1" fontId="8" fillId="0" borderId="30" xfId="0" applyNumberFormat="1" applyFont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31" xfId="0" applyFont="1" applyBorder="1" applyAlignment="1" applyProtection="1">
      <alignment horizont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2" fontId="0" fillId="10" borderId="5" xfId="0" applyNumberFormat="1" applyFill="1" applyBorder="1" applyAlignment="1" applyProtection="1">
      <alignment horizontal="center"/>
      <protection hidden="1"/>
    </xf>
    <xf numFmtId="0" fontId="0" fillId="10" borderId="48" xfId="0" applyFill="1" applyBorder="1" applyAlignment="1" applyProtection="1">
      <alignment horizont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0" borderId="47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hidden="1"/>
    </xf>
    <xf numFmtId="43" fontId="0" fillId="9" borderId="45" xfId="1" applyFont="1" applyFill="1" applyBorder="1" applyAlignment="1" applyProtection="1">
      <alignment horizontal="center"/>
      <protection hidden="1"/>
    </xf>
    <xf numFmtId="43" fontId="0" fillId="9" borderId="7" xfId="1" applyFont="1" applyFill="1" applyBorder="1" applyAlignment="1" applyProtection="1">
      <alignment horizontal="center"/>
      <protection hidden="1"/>
    </xf>
    <xf numFmtId="2" fontId="0" fillId="9" borderId="45" xfId="0" applyNumberFormat="1" applyFill="1" applyBorder="1" applyAlignment="1" applyProtection="1">
      <alignment horizontal="center"/>
      <protection hidden="1"/>
    </xf>
    <xf numFmtId="2" fontId="0" fillId="9" borderId="7" xfId="0" applyNumberFormat="1" applyFill="1" applyBorder="1" applyAlignment="1" applyProtection="1">
      <alignment horizontal="center"/>
      <protection hidden="1"/>
    </xf>
    <xf numFmtId="0" fontId="3" fillId="10" borderId="46" xfId="0" applyFont="1" applyFill="1" applyBorder="1" applyAlignment="1" applyProtection="1">
      <alignment horizontal="center"/>
      <protection hidden="1"/>
    </xf>
    <xf numFmtId="0" fontId="3" fillId="10" borderId="27" xfId="0" applyFont="1" applyFill="1" applyBorder="1" applyAlignment="1" applyProtection="1">
      <alignment horizontal="center"/>
      <protection hidden="1"/>
    </xf>
    <xf numFmtId="0" fontId="3" fillId="9" borderId="25" xfId="0" applyFont="1" applyFill="1" applyBorder="1" applyAlignment="1" applyProtection="1">
      <alignment horizontal="center"/>
      <protection hidden="1"/>
    </xf>
    <xf numFmtId="0" fontId="3" fillId="9" borderId="47" xfId="0" applyFont="1" applyFill="1" applyBorder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1" fontId="3" fillId="0" borderId="8" xfId="0" applyNumberFormat="1" applyFont="1" applyBorder="1" applyAlignment="1" applyProtection="1">
      <alignment horizontal="center" vertical="center"/>
      <protection hidden="1"/>
    </xf>
    <xf numFmtId="1" fontId="3" fillId="0" borderId="9" xfId="0" applyNumberFormat="1" applyFont="1" applyBorder="1" applyAlignment="1" applyProtection="1">
      <alignment horizontal="center" vertical="center"/>
      <protection hidden="1"/>
    </xf>
    <xf numFmtId="1" fontId="8" fillId="0" borderId="9" xfId="0" applyNumberFormat="1" applyFont="1" applyBorder="1" applyAlignment="1" applyProtection="1">
      <alignment horizontal="center" vertical="center"/>
      <protection hidden="1"/>
    </xf>
    <xf numFmtId="1" fontId="8" fillId="0" borderId="10" xfId="0" applyNumberFormat="1" applyFont="1" applyBorder="1" applyAlignment="1" applyProtection="1">
      <alignment horizontal="center" vertical="center"/>
      <protection hidden="1"/>
    </xf>
    <xf numFmtId="0" fontId="6" fillId="2" borderId="9" xfId="0" applyFont="1" applyFill="1" applyBorder="1" applyAlignment="1" applyProtection="1">
      <alignment horizontal="center" vertical="center"/>
      <protection locked="0" hidden="1"/>
    </xf>
    <xf numFmtId="0" fontId="6" fillId="2" borderId="10" xfId="0" applyFont="1" applyFill="1" applyBorder="1" applyAlignment="1" applyProtection="1">
      <alignment horizontal="center" vertical="center"/>
      <protection locked="0"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3" fillId="0" borderId="31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/>
      <protection hidden="1"/>
    </xf>
    <xf numFmtId="0" fontId="8" fillId="0" borderId="44" xfId="0" applyFont="1" applyBorder="1" applyAlignment="1" applyProtection="1">
      <alignment horizontal="center"/>
      <protection hidden="1"/>
    </xf>
    <xf numFmtId="0" fontId="3" fillId="0" borderId="31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wrapText="1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1" fontId="3" fillId="0" borderId="10" xfId="0" applyNumberFormat="1" applyFont="1" applyBorder="1" applyAlignment="1" applyProtection="1">
      <alignment horizontal="center" vertical="center"/>
      <protection hidden="1"/>
    </xf>
    <xf numFmtId="0" fontId="19" fillId="5" borderId="40" xfId="0" applyFont="1" applyFill="1" applyBorder="1" applyAlignment="1" applyProtection="1">
      <alignment horizontal="center" vertical="center"/>
      <protection hidden="1"/>
    </xf>
    <xf numFmtId="0" fontId="19" fillId="5" borderId="41" xfId="0" applyFont="1" applyFill="1" applyBorder="1" applyAlignment="1" applyProtection="1">
      <alignment horizontal="center" vertical="center"/>
      <protection hidden="1"/>
    </xf>
    <xf numFmtId="0" fontId="19" fillId="6" borderId="42" xfId="0" applyFont="1" applyFill="1" applyBorder="1" applyAlignment="1" applyProtection="1">
      <alignment horizontal="center" vertical="center"/>
      <protection hidden="1"/>
    </xf>
    <xf numFmtId="0" fontId="19" fillId="6" borderId="43" xfId="0" applyFont="1" applyFill="1" applyBorder="1" applyAlignment="1" applyProtection="1">
      <alignment horizontal="center" vertical="center"/>
      <protection hidden="1"/>
    </xf>
    <xf numFmtId="0" fontId="19" fillId="4" borderId="13" xfId="0" applyFont="1" applyFill="1" applyBorder="1" applyAlignment="1" applyProtection="1">
      <alignment horizontal="center" vertical="center"/>
      <protection hidden="1"/>
    </xf>
    <xf numFmtId="0" fontId="19" fillId="4" borderId="17" xfId="0" applyFont="1" applyFill="1" applyBorder="1" applyAlignment="1" applyProtection="1">
      <alignment horizontal="center" vertical="center"/>
      <protection hidden="1"/>
    </xf>
    <xf numFmtId="0" fontId="19" fillId="7" borderId="18" xfId="0" applyFont="1" applyFill="1" applyBorder="1" applyAlignment="1" applyProtection="1">
      <alignment horizontal="center" vertical="center"/>
      <protection hidden="1"/>
    </xf>
    <xf numFmtId="0" fontId="19" fillId="7" borderId="19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left"/>
      <protection hidden="1"/>
    </xf>
    <xf numFmtId="0" fontId="16" fillId="8" borderId="0" xfId="0" applyFont="1" applyFill="1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horizontal="center"/>
      <protection hidden="1"/>
    </xf>
    <xf numFmtId="0" fontId="4" fillId="0" borderId="31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textRotation="90"/>
      <protection hidden="1"/>
    </xf>
    <xf numFmtId="0" fontId="9" fillId="4" borderId="11" xfId="0" applyFont="1" applyFill="1" applyBorder="1" applyAlignment="1" applyProtection="1">
      <alignment horizontal="center"/>
      <protection hidden="1"/>
    </xf>
    <xf numFmtId="0" fontId="9" fillId="4" borderId="31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3" fillId="0" borderId="8" xfId="0" applyFont="1" applyBorder="1" applyAlignment="1" applyProtection="1">
      <alignment horizontal="right"/>
      <protection locked="0"/>
    </xf>
    <xf numFmtId="0" fontId="3" fillId="0" borderId="9" xfId="0" applyFont="1" applyBorder="1" applyAlignment="1" applyProtection="1">
      <alignment horizontal="right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1" xfId="0" applyFill="1" applyBorder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24" fillId="0" borderId="37" xfId="0" applyFont="1" applyBorder="1" applyAlignment="1" applyProtection="1">
      <alignment horizontal="center" vertical="center" textRotation="90"/>
      <protection hidden="1"/>
    </xf>
    <xf numFmtId="0" fontId="24" fillId="0" borderId="38" xfId="0" applyFont="1" applyBorder="1" applyAlignment="1" applyProtection="1">
      <alignment horizontal="center" vertical="center" textRotation="90"/>
      <protection hidden="1"/>
    </xf>
    <xf numFmtId="0" fontId="24" fillId="0" borderId="39" xfId="0" applyFont="1" applyBorder="1" applyAlignment="1" applyProtection="1">
      <alignment horizontal="center" vertical="center" textRotation="90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165" fontId="25" fillId="0" borderId="3" xfId="0" applyNumberFormat="1" applyFont="1" applyBorder="1" applyAlignment="1" applyProtection="1">
      <alignment horizontal="center" vertical="center"/>
      <protection hidden="1"/>
    </xf>
    <xf numFmtId="165" fontId="25" fillId="0" borderId="0" xfId="0" applyNumberFormat="1" applyFont="1" applyBorder="1" applyAlignment="1" applyProtection="1">
      <alignment horizontal="center" vertical="center"/>
      <protection hidden="1"/>
    </xf>
    <xf numFmtId="165" fontId="25" fillId="0" borderId="6" xfId="0" applyNumberFormat="1" applyFont="1" applyBorder="1" applyAlignment="1" applyProtection="1">
      <alignment horizontal="center" vertical="center"/>
      <protection hidden="1"/>
    </xf>
    <xf numFmtId="165" fontId="25" fillId="0" borderId="5" xfId="0" applyNumberFormat="1" applyFont="1" applyBorder="1" applyAlignment="1" applyProtection="1">
      <alignment horizontal="center" vertical="center"/>
      <protection hidden="1"/>
    </xf>
    <xf numFmtId="165" fontId="25" fillId="0" borderId="4" xfId="0" applyNumberFormat="1" applyFont="1" applyBorder="1" applyAlignment="1" applyProtection="1">
      <alignment horizontal="center" vertical="center"/>
      <protection hidden="1"/>
    </xf>
    <xf numFmtId="165" fontId="25" fillId="0" borderId="7" xfId="0" applyNumberFormat="1" applyFont="1" applyBorder="1" applyAlignment="1" applyProtection="1">
      <alignment horizontal="center" vertical="center"/>
      <protection hidden="1"/>
    </xf>
    <xf numFmtId="0" fontId="20" fillId="3" borderId="25" xfId="0" applyFont="1" applyFill="1" applyBorder="1" applyAlignment="1" applyProtection="1">
      <alignment horizontal="center" vertical="center"/>
      <protection hidden="1"/>
    </xf>
    <xf numFmtId="0" fontId="20" fillId="3" borderId="26" xfId="0" applyFont="1" applyFill="1" applyBorder="1" applyAlignment="1" applyProtection="1">
      <alignment horizontal="center" vertical="center"/>
      <protection hidden="1"/>
    </xf>
    <xf numFmtId="0" fontId="20" fillId="3" borderId="15" xfId="0" applyFont="1" applyFill="1" applyBorder="1" applyAlignment="1" applyProtection="1">
      <alignment horizontal="center" vertical="center"/>
      <protection hidden="1"/>
    </xf>
    <xf numFmtId="0" fontId="20" fillId="3" borderId="30" xfId="0" applyFont="1" applyFill="1" applyBorder="1" applyAlignment="1" applyProtection="1">
      <alignment horizontal="center" vertical="center"/>
      <protection hidden="1"/>
    </xf>
    <xf numFmtId="0" fontId="20" fillId="3" borderId="27" xfId="0" applyFont="1" applyFill="1" applyBorder="1" applyAlignment="1" applyProtection="1">
      <alignment horizontal="center" vertical="center"/>
      <protection hidden="1"/>
    </xf>
    <xf numFmtId="0" fontId="20" fillId="3" borderId="14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28" fillId="0" borderId="31" xfId="0" applyFont="1" applyBorder="1" applyAlignment="1" applyProtection="1">
      <alignment horizontal="center" vertical="center"/>
      <protection hidden="1"/>
    </xf>
    <xf numFmtId="0" fontId="28" fillId="0" borderId="7" xfId="0" applyFont="1" applyBorder="1" applyAlignment="1" applyProtection="1">
      <alignment horizontal="center" vertical="center"/>
      <protection hidden="1"/>
    </xf>
    <xf numFmtId="2" fontId="34" fillId="13" borderId="5" xfId="0" applyNumberFormat="1" applyFont="1" applyFill="1" applyBorder="1" applyAlignment="1" applyProtection="1">
      <alignment horizontal="center"/>
      <protection hidden="1"/>
    </xf>
    <xf numFmtId="0" fontId="34" fillId="13" borderId="7" xfId="0" applyFont="1" applyFill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 vertical="center"/>
      <protection locked="0" hidden="1"/>
    </xf>
    <xf numFmtId="0" fontId="3" fillId="0" borderId="5" xfId="0" applyFont="1" applyBorder="1" applyAlignment="1" applyProtection="1">
      <alignment horizontal="center" vertical="center"/>
      <protection locked="0" hidden="1"/>
    </xf>
    <xf numFmtId="2" fontId="34" fillId="13" borderId="7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D184"/>
  <sheetViews>
    <sheetView showGridLines="0" tabSelected="1" workbookViewId="0">
      <selection activeCell="G74" sqref="G74:M75"/>
    </sheetView>
  </sheetViews>
  <sheetFormatPr baseColWidth="10" defaultRowHeight="12.75"/>
  <cols>
    <col min="1" max="1" width="2.83203125" style="5" customWidth="1"/>
    <col min="2" max="2" width="6.6640625" style="5" customWidth="1"/>
    <col min="3" max="3" width="4.1640625" style="5" customWidth="1"/>
    <col min="4" max="4" width="7.83203125" style="5" customWidth="1"/>
    <col min="5" max="5" width="20.83203125" style="5" customWidth="1"/>
    <col min="6" max="6" width="7.83203125" style="5" customWidth="1"/>
    <col min="7" max="7" width="20.83203125" style="5" customWidth="1"/>
    <col min="8" max="8" width="7.83203125" style="5" customWidth="1"/>
    <col min="9" max="9" width="20.83203125" style="5" customWidth="1"/>
    <col min="10" max="10" width="7.83203125" style="5" customWidth="1"/>
    <col min="11" max="11" width="20.83203125" style="5" customWidth="1"/>
    <col min="12" max="12" width="7.83203125" style="5" customWidth="1"/>
    <col min="13" max="13" width="20.83203125" style="5" customWidth="1"/>
    <col min="14" max="14" width="7.83203125" style="5" customWidth="1"/>
    <col min="15" max="15" width="5.83203125" style="4" customWidth="1"/>
    <col min="16" max="45" width="5.83203125" style="4" hidden="1" customWidth="1"/>
    <col min="46" max="46" width="5.83203125" style="143" hidden="1" customWidth="1"/>
    <col min="47" max="96" width="5.83203125" style="4" hidden="1" customWidth="1"/>
    <col min="97" max="97" width="5.83203125" style="4" customWidth="1"/>
    <col min="98" max="99" width="12" style="5"/>
    <col min="100" max="103" width="4.33203125" style="5" customWidth="1"/>
    <col min="104" max="104" width="1.83203125" style="5" customWidth="1"/>
    <col min="105" max="108" width="4.33203125" style="5" customWidth="1"/>
    <col min="109" max="109" width="1.83203125" style="5" customWidth="1"/>
    <col min="110" max="113" width="4.33203125" style="5" customWidth="1"/>
    <col min="114" max="114" width="1.83203125" style="5" customWidth="1"/>
    <col min="115" max="118" width="4.33203125" style="5" customWidth="1"/>
    <col min="119" max="119" width="1.83203125" style="5" customWidth="1"/>
    <col min="120" max="123" width="4.33203125" style="5" customWidth="1"/>
    <col min="124" max="124" width="1.83203125" style="5" customWidth="1"/>
    <col min="125" max="128" width="4.33203125" style="5" customWidth="1"/>
    <col min="129" max="129" width="1.83203125" style="5" customWidth="1"/>
    <col min="130" max="135" width="4.33203125" style="5" customWidth="1"/>
    <col min="136" max="16384" width="12" style="5"/>
  </cols>
  <sheetData>
    <row r="1" spans="2:130" ht="15" customHeight="1">
      <c r="BM1" s="198" t="s">
        <v>214</v>
      </c>
      <c r="BN1" s="198"/>
      <c r="BO1" s="198"/>
      <c r="BP1" s="198"/>
      <c r="BQ1" s="198"/>
      <c r="BR1" s="198"/>
      <c r="BS1" s="198"/>
      <c r="BT1" s="198" t="s">
        <v>215</v>
      </c>
      <c r="BU1" s="198"/>
      <c r="BV1" s="198"/>
      <c r="BW1" s="198"/>
      <c r="BX1" s="198"/>
      <c r="BY1" s="198"/>
      <c r="BZ1" s="198"/>
    </row>
    <row r="2" spans="2:130" ht="15" hidden="1" customHeight="1">
      <c r="B2" s="249" t="s">
        <v>12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P2" s="4" t="s">
        <v>1</v>
      </c>
      <c r="Q2" s="4" t="s">
        <v>4</v>
      </c>
      <c r="W2" s="4" t="s">
        <v>37</v>
      </c>
      <c r="AC2" s="141" t="s">
        <v>304</v>
      </c>
      <c r="AU2" s="4" t="s">
        <v>37</v>
      </c>
      <c r="AV2" s="4" t="s">
        <v>3</v>
      </c>
      <c r="AW2" s="4" t="s">
        <v>5</v>
      </c>
      <c r="AX2" s="4" t="s">
        <v>35</v>
      </c>
      <c r="AY2" s="4" t="s">
        <v>36</v>
      </c>
      <c r="AZ2" s="4" t="s">
        <v>8</v>
      </c>
      <c r="BA2" s="4" t="s">
        <v>90</v>
      </c>
      <c r="BB2" s="4" t="s">
        <v>91</v>
      </c>
      <c r="BC2" s="4" t="s">
        <v>175</v>
      </c>
      <c r="BD2" s="4" t="s">
        <v>176</v>
      </c>
      <c r="BE2" s="4" t="s">
        <v>177</v>
      </c>
      <c r="BF2" s="4" t="s">
        <v>178</v>
      </c>
      <c r="BG2" s="4" t="s">
        <v>184</v>
      </c>
      <c r="BH2" s="4" t="s">
        <v>185</v>
      </c>
      <c r="BI2" s="4" t="s">
        <v>186</v>
      </c>
      <c r="BJ2" s="4" t="s">
        <v>187</v>
      </c>
      <c r="BK2" s="4" t="s">
        <v>188</v>
      </c>
      <c r="BL2" s="4" t="s">
        <v>213</v>
      </c>
      <c r="BM2" s="4">
        <v>1</v>
      </c>
      <c r="BN2" s="4">
        <v>2</v>
      </c>
      <c r="BO2" s="4">
        <v>3</v>
      </c>
      <c r="BP2" s="4">
        <v>4</v>
      </c>
      <c r="BQ2" s="4">
        <v>5</v>
      </c>
      <c r="BR2" s="4">
        <v>6</v>
      </c>
      <c r="BS2" s="4">
        <v>7</v>
      </c>
      <c r="BT2" s="4">
        <v>1</v>
      </c>
      <c r="BU2" s="4">
        <v>2</v>
      </c>
      <c r="BV2" s="4">
        <v>3</v>
      </c>
      <c r="BW2" s="4">
        <v>4</v>
      </c>
      <c r="BX2" s="4">
        <v>5</v>
      </c>
      <c r="BY2" s="4">
        <v>6</v>
      </c>
      <c r="BZ2" s="4">
        <v>7</v>
      </c>
      <c r="CA2" s="4" t="s">
        <v>248</v>
      </c>
      <c r="CB2" s="4" t="s">
        <v>239</v>
      </c>
      <c r="CC2" s="4" t="s">
        <v>240</v>
      </c>
      <c r="CD2" s="4" t="s">
        <v>242</v>
      </c>
      <c r="CE2" s="4" t="s">
        <v>241</v>
      </c>
      <c r="CF2" s="4" t="s">
        <v>243</v>
      </c>
      <c r="CG2" s="4" t="s">
        <v>244</v>
      </c>
      <c r="CH2" s="4" t="s">
        <v>245</v>
      </c>
      <c r="CI2" s="4" t="s">
        <v>36</v>
      </c>
      <c r="CJ2" s="4" t="s">
        <v>35</v>
      </c>
      <c r="CK2" s="4" t="s">
        <v>246</v>
      </c>
      <c r="CL2" s="4" t="s">
        <v>247</v>
      </c>
      <c r="CM2" s="4" t="s">
        <v>249</v>
      </c>
      <c r="CN2" s="4" t="s">
        <v>178</v>
      </c>
      <c r="CO2" s="4" t="s">
        <v>294</v>
      </c>
      <c r="CU2" s="4" t="s">
        <v>248</v>
      </c>
      <c r="CV2" s="5" t="s">
        <v>263</v>
      </c>
      <c r="CW2" s="5" t="s">
        <v>264</v>
      </c>
      <c r="CX2" s="5" t="s">
        <v>265</v>
      </c>
      <c r="CY2" s="5" t="s">
        <v>266</v>
      </c>
      <c r="CZ2" s="5" t="s">
        <v>267</v>
      </c>
      <c r="DA2" s="5" t="s">
        <v>268</v>
      </c>
      <c r="DB2" s="5" t="s">
        <v>269</v>
      </c>
      <c r="DC2" s="5" t="s">
        <v>270</v>
      </c>
      <c r="DD2" s="5" t="s">
        <v>271</v>
      </c>
      <c r="DE2" s="5" t="s">
        <v>272</v>
      </c>
      <c r="DF2" s="5" t="s">
        <v>273</v>
      </c>
      <c r="DG2" s="5" t="s">
        <v>274</v>
      </c>
      <c r="DH2" s="5" t="s">
        <v>275</v>
      </c>
      <c r="DI2" s="5" t="s">
        <v>276</v>
      </c>
      <c r="DJ2" s="5" t="s">
        <v>277</v>
      </c>
      <c r="DL2" s="4" t="s">
        <v>248</v>
      </c>
    </row>
    <row r="3" spans="2:130" ht="15" hidden="1" customHeight="1"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P3" s="4" t="s">
        <v>0</v>
      </c>
      <c r="Q3" s="87" t="s">
        <v>131</v>
      </c>
      <c r="R3" s="87" t="s">
        <v>132</v>
      </c>
      <c r="S3" s="87" t="s">
        <v>133</v>
      </c>
      <c r="T3" s="87" t="s">
        <v>134</v>
      </c>
      <c r="U3" s="87" t="s">
        <v>135</v>
      </c>
      <c r="V3" s="87">
        <v>3</v>
      </c>
      <c r="W3" s="4" t="s">
        <v>193</v>
      </c>
      <c r="AU3" s="4" t="s">
        <v>41</v>
      </c>
      <c r="AV3" s="124">
        <f>IF($N$82="Sec",CW3,IF(DD3=0,IF($N$83=0,CW3+90,(CW3+((-3.898*$N$83)+202.5))),DD3))</f>
        <v>355.75581395348837</v>
      </c>
      <c r="AW3" s="124">
        <f t="shared" ref="AW3:AZ3" si="0">IF($N$82="Sec",CX3,IF(DE3=0,IF($N$83=0,CX3+90,(CX3+((-3.898*$N$83)+202.5))),DE3))</f>
        <v>884.75581395348843</v>
      </c>
      <c r="AX3" s="124">
        <f t="shared" si="0"/>
        <v>642.22093023255809</v>
      </c>
      <c r="AY3" s="124">
        <f t="shared" si="0"/>
        <v>661.39534883720933</v>
      </c>
      <c r="AZ3" s="124">
        <f t="shared" si="0"/>
        <v>648.47674418604652</v>
      </c>
      <c r="BA3" s="124">
        <f t="shared" ref="BA3:BA9" si="1">IF($N$82="Sec",IF(ABS(DB3/2)&gt;0,DB3/2,-(DB3/2)),IF(ISBLANK(DI3),IF(ABS(DB3/2)&gt;0,DB3/2,-(DB3/2)),IF(ABS(DI3/2)&gt;0,-(DI3/2),(DI3/2))))</f>
        <v>52.395348837209305</v>
      </c>
      <c r="BB3" s="124">
        <f>-(BA3)</f>
        <v>-52.395348837209305</v>
      </c>
      <c r="BC3" s="4">
        <v>71</v>
      </c>
      <c r="BD3" s="4">
        <v>4.3250000000000002</v>
      </c>
      <c r="BE3" s="4" t="s">
        <v>179</v>
      </c>
      <c r="BF3" s="4" t="s">
        <v>180</v>
      </c>
      <c r="BG3" s="4">
        <v>120</v>
      </c>
      <c r="BH3" s="4">
        <v>161</v>
      </c>
      <c r="BI3" s="4">
        <v>202</v>
      </c>
      <c r="BJ3" s="4">
        <v>243</v>
      </c>
      <c r="BK3" s="4">
        <v>279</v>
      </c>
      <c r="BL3" s="4">
        <v>41</v>
      </c>
      <c r="BM3" s="88"/>
      <c r="BN3" s="88">
        <v>0.67466666666666664</v>
      </c>
      <c r="BO3" s="88">
        <v>0.69828571428571418</v>
      </c>
      <c r="BP3" s="88"/>
      <c r="BQ3" s="88">
        <v>0.64280000000000004</v>
      </c>
      <c r="BR3" s="88">
        <v>0.62158333333333338</v>
      </c>
      <c r="BS3" s="88">
        <v>0.60884615384615381</v>
      </c>
      <c r="BT3" s="88">
        <v>0.84833333333333327</v>
      </c>
      <c r="BU3" s="88">
        <v>0.81780000000000008</v>
      </c>
      <c r="BV3" s="88">
        <v>0.76176923076923075</v>
      </c>
      <c r="BW3" s="88">
        <v>0.76460000000000006</v>
      </c>
      <c r="BX3" s="88">
        <v>0.7505545454545457</v>
      </c>
      <c r="BY3" s="88">
        <v>0.72037323943662002</v>
      </c>
      <c r="BZ3" s="88">
        <v>0.69635000000000002</v>
      </c>
      <c r="CA3" s="4" t="s">
        <v>41</v>
      </c>
      <c r="CB3" s="88">
        <v>18.663716814159294</v>
      </c>
      <c r="CC3" s="88">
        <v>34.690265486725664</v>
      </c>
      <c r="CD3" s="88">
        <v>12.513274336283185</v>
      </c>
      <c r="CE3" s="88">
        <v>13.380530973451327</v>
      </c>
      <c r="CF3" s="88">
        <v>13.63716814159292</v>
      </c>
      <c r="CG3" s="88">
        <v>16.053097345132745</v>
      </c>
      <c r="CH3" s="88">
        <v>12.212389380530974</v>
      </c>
      <c r="CI3" s="88">
        <v>23.238938053097346</v>
      </c>
      <c r="CJ3" s="88">
        <v>27.973451327433629</v>
      </c>
      <c r="CK3" s="88">
        <v>18.221238938053098</v>
      </c>
      <c r="CL3" s="88">
        <v>13.902654867256636</v>
      </c>
      <c r="CM3" s="108">
        <v>1.0900000000000001</v>
      </c>
      <c r="CN3" s="4" t="s">
        <v>180</v>
      </c>
      <c r="CO3" s="4">
        <v>113</v>
      </c>
      <c r="CU3" s="4" t="s">
        <v>41</v>
      </c>
      <c r="CV3" s="5" t="s">
        <v>41</v>
      </c>
      <c r="CW3" s="5">
        <v>355.75581395348837</v>
      </c>
      <c r="CX3" s="5">
        <v>884.75581395348843</v>
      </c>
      <c r="CY3" s="5">
        <v>642.22093023255809</v>
      </c>
      <c r="CZ3" s="5">
        <v>661.39534883720933</v>
      </c>
      <c r="DA3" s="5">
        <v>648.47674418604652</v>
      </c>
      <c r="DB3" s="157">
        <v>104.79069767441861</v>
      </c>
      <c r="DC3" s="5">
        <v>86</v>
      </c>
      <c r="DD3" s="5">
        <v>495.33333333333331</v>
      </c>
      <c r="DE3" s="5">
        <v>744.77777777777783</v>
      </c>
      <c r="DF3" s="5">
        <v>761.66666666666663</v>
      </c>
      <c r="DG3" s="5">
        <v>502.44444444444446</v>
      </c>
      <c r="DH3" s="5">
        <v>510.11111111111109</v>
      </c>
      <c r="DI3" s="5">
        <v>128.88888888888889</v>
      </c>
      <c r="DJ3" s="5">
        <v>9</v>
      </c>
      <c r="DL3" s="4" t="s">
        <v>41</v>
      </c>
      <c r="DM3" s="5">
        <v>9</v>
      </c>
      <c r="DN3" s="5">
        <v>20</v>
      </c>
      <c r="DO3" s="5">
        <v>13</v>
      </c>
      <c r="DP3" s="5">
        <v>15</v>
      </c>
      <c r="DR3" s="5">
        <v>142</v>
      </c>
      <c r="DS3" s="5">
        <v>40</v>
      </c>
      <c r="DU3" s="5">
        <v>3</v>
      </c>
      <c r="DV3" s="5">
        <v>7</v>
      </c>
      <c r="DX3" s="5">
        <v>5</v>
      </c>
      <c r="DY3" s="5">
        <v>12</v>
      </c>
      <c r="DZ3" s="5">
        <v>13</v>
      </c>
    </row>
    <row r="4" spans="2:130" ht="15" hidden="1" customHeight="1" thickBot="1">
      <c r="N4" s="5">
        <f>ROUND(IF(N82="pluie",IF(VLOOKUP($G$5,$CU$3:$DK$62,8,FALSE)&lt;0,(VLOOKUP($G$5,$CU$3:$DK$62,8,FALSE)/2),(VLOOKUP($G$5,$CU$3:$DK$62,8,FALSE)/2)),IF(VLOOKUP($G$5,$CU$3:$DK$62,15,FALSE)&gt;0,VLOOKUP($G$5,$CU$3:$DK$62,15,FALSE)/2,(VLOOKUP($G$5,$CU$3:$DK$62,15,FALSE)/2))),0)</f>
        <v>64</v>
      </c>
      <c r="O4" s="4">
        <f>IF(VLOOKUP($G$5,$CU$3:$DJ$62,10,FALSE)=0,IF(N82="pluie",$N$4,$M$9),$M$9)</f>
        <v>52</v>
      </c>
      <c r="P4" s="4" t="s">
        <v>2</v>
      </c>
      <c r="Q4" s="87" t="s">
        <v>136</v>
      </c>
      <c r="R4" s="87" t="s">
        <v>137</v>
      </c>
      <c r="S4" s="87" t="s">
        <v>138</v>
      </c>
      <c r="T4" s="87" t="s">
        <v>139</v>
      </c>
      <c r="U4" s="87" t="s">
        <v>140</v>
      </c>
      <c r="V4" s="87">
        <v>2</v>
      </c>
      <c r="W4" s="4" t="s">
        <v>262</v>
      </c>
      <c r="AU4" s="4" t="s">
        <v>39</v>
      </c>
      <c r="AV4" s="124">
        <f t="shared" ref="AV4:AV62" si="2">IF($N$82="Sec",CW4,IF(DD4=0,IF($N$83=0,CW4+90,(CW4+((-3.898*$N$83)+202.5))),DD4))</f>
        <v>641.48192771084337</v>
      </c>
      <c r="AW4" s="124">
        <f t="shared" ref="AW4:AW62" si="3">IF($N$82="Sec",CX4,IF(DE4=0,IF($N$83=0,CX4+90,(CX4+((-3.898*$N$83)+202.5))),DE4))</f>
        <v>637.07228915662654</v>
      </c>
      <c r="AX4" s="124">
        <f t="shared" ref="AX4:AX62" si="4">IF($N$82="Sec",CY4,IF(DF4=0,IF($N$83=0,CY4+90,(CY4+((-3.898*$N$83)+202.5))),DF4))</f>
        <v>326.80722891566268</v>
      </c>
      <c r="AY4" s="124">
        <f t="shared" ref="AY4:AY62" si="5">IF($N$82="Sec",CZ4,IF(DG4=0,IF($N$83=0,CZ4+90,(CZ4+((-3.898*$N$83)+202.5))),DG4))</f>
        <v>425.09638554216866</v>
      </c>
      <c r="AZ4" s="124">
        <f t="shared" ref="AZ4:AZ62" si="6">IF($N$82="Sec",DA4,IF(DH4=0,IF($N$83=0,DA4+90,(DA4+((-3.898*$N$83)+202.5))),DH4))</f>
        <v>794.73493975903614</v>
      </c>
      <c r="BA4" s="124">
        <f t="shared" si="1"/>
        <v>-38.132530120481931</v>
      </c>
      <c r="BB4" s="124">
        <f t="shared" ref="BB4:BB9" si="7">-(BA4)</f>
        <v>38.132530120481931</v>
      </c>
      <c r="BC4" s="4">
        <v>79</v>
      </c>
      <c r="BD4" s="4">
        <v>3.78</v>
      </c>
      <c r="BE4" s="4" t="s">
        <v>179</v>
      </c>
      <c r="BF4" s="4" t="s">
        <v>181</v>
      </c>
      <c r="BG4" s="4">
        <v>120</v>
      </c>
      <c r="BH4" s="4">
        <v>161</v>
      </c>
      <c r="BI4" s="4">
        <v>202</v>
      </c>
      <c r="BJ4" s="4">
        <v>243</v>
      </c>
      <c r="BK4" s="4">
        <v>279</v>
      </c>
      <c r="BL4" s="4">
        <v>41</v>
      </c>
      <c r="BM4" s="88">
        <v>0.60561538461538456</v>
      </c>
      <c r="BN4" s="88">
        <v>0.57733333333333325</v>
      </c>
      <c r="BO4" s="88">
        <v>0.58033333333333326</v>
      </c>
      <c r="BP4" s="88">
        <v>0.54575000000000007</v>
      </c>
      <c r="BQ4" s="88">
        <v>0.53068965517241395</v>
      </c>
      <c r="BR4" s="88">
        <v>0.51497297297297273</v>
      </c>
      <c r="BS4" s="88">
        <v>0.49803703703703694</v>
      </c>
      <c r="BT4" s="88">
        <v>0.72041666666666682</v>
      </c>
      <c r="BU4" s="88"/>
      <c r="BV4" s="88">
        <v>0.71775</v>
      </c>
      <c r="BW4" s="88">
        <v>0.68560563380281692</v>
      </c>
      <c r="BX4" s="88">
        <v>0.65776562500000013</v>
      </c>
      <c r="BY4" s="88">
        <v>0.63652808988764042</v>
      </c>
      <c r="BZ4" s="88">
        <v>0.61232692307692327</v>
      </c>
      <c r="CA4" s="4" t="s">
        <v>39</v>
      </c>
      <c r="CB4" s="88">
        <v>25.518518518518519</v>
      </c>
      <c r="CC4" s="88">
        <v>13.796296296296296</v>
      </c>
      <c r="CD4" s="88">
        <v>27.061728395061728</v>
      </c>
      <c r="CE4" s="88">
        <v>31.283950617283949</v>
      </c>
      <c r="CF4" s="88">
        <v>29.179012345679013</v>
      </c>
      <c r="CG4" s="88">
        <v>17.864197530864196</v>
      </c>
      <c r="CH4" s="88">
        <v>21.080246913580247</v>
      </c>
      <c r="CI4" s="88">
        <v>19.901234567901234</v>
      </c>
      <c r="CJ4" s="88">
        <v>16.234567901234566</v>
      </c>
      <c r="CK4" s="88">
        <v>10.641975308641975</v>
      </c>
      <c r="CL4" s="88">
        <v>15.228395061728396</v>
      </c>
      <c r="CM4" s="108">
        <v>1.25</v>
      </c>
      <c r="CN4" s="4" t="s">
        <v>181</v>
      </c>
      <c r="CO4" s="4">
        <v>162</v>
      </c>
      <c r="CU4" s="4" t="s">
        <v>39</v>
      </c>
      <c r="CV4" s="5" t="s">
        <v>39</v>
      </c>
      <c r="CW4" s="5">
        <v>641.48192771084337</v>
      </c>
      <c r="CX4" s="5">
        <v>637.07228915662654</v>
      </c>
      <c r="CY4" s="5">
        <v>326.80722891566268</v>
      </c>
      <c r="CZ4" s="5">
        <v>425.09638554216866</v>
      </c>
      <c r="DA4" s="5">
        <v>794.73493975903614</v>
      </c>
      <c r="DB4" s="157">
        <v>-76.265060240963862</v>
      </c>
      <c r="DC4" s="5">
        <v>83</v>
      </c>
      <c r="DD4" s="5">
        <v>768.75510204081638</v>
      </c>
      <c r="DE4" s="5">
        <v>510.0612244897959</v>
      </c>
      <c r="DF4" s="5">
        <v>441.10204081632651</v>
      </c>
      <c r="DG4" s="5">
        <v>267.79591836734693</v>
      </c>
      <c r="DH4" s="5">
        <v>648.0204081632653</v>
      </c>
      <c r="DI4" s="5">
        <v>-37.775510204081634</v>
      </c>
      <c r="DJ4" s="5">
        <v>49</v>
      </c>
      <c r="DL4" s="4" t="s">
        <v>39</v>
      </c>
      <c r="DM4" s="5">
        <v>24</v>
      </c>
      <c r="DO4" s="5">
        <v>12</v>
      </c>
      <c r="DP4" s="5">
        <v>71</v>
      </c>
      <c r="DR4" s="5">
        <v>89</v>
      </c>
      <c r="DS4" s="5">
        <v>52</v>
      </c>
      <c r="DT4" s="5">
        <v>13</v>
      </c>
      <c r="DU4" s="5">
        <v>3</v>
      </c>
      <c r="DV4" s="5">
        <v>3</v>
      </c>
      <c r="DW4" s="5">
        <v>8</v>
      </c>
      <c r="DX4" s="5">
        <v>29</v>
      </c>
      <c r="DY4" s="5">
        <v>37</v>
      </c>
      <c r="DZ4" s="5">
        <v>27</v>
      </c>
    </row>
    <row r="5" spans="2:130" ht="15" hidden="1" customHeight="1" thickBot="1">
      <c r="B5" s="251" t="s">
        <v>9</v>
      </c>
      <c r="C5" s="251"/>
      <c r="D5" s="251"/>
      <c r="E5" s="47">
        <f>E74</f>
        <v>0</v>
      </c>
      <c r="G5" s="253" t="str">
        <f>G74</f>
        <v>A1-Ring</v>
      </c>
      <c r="H5" s="253"/>
      <c r="I5" s="253"/>
      <c r="J5" s="253"/>
      <c r="K5" s="253"/>
      <c r="L5" s="253"/>
      <c r="M5" s="253"/>
      <c r="N5" s="5">
        <f>ROUND(IF(N86="pluie",IF(VLOOKUP($G$5,$CU$3:$DK$62,8,FALSE)&lt;0,(VLOOKUP($G$5,$CU$3:$DK$62,8,FALSE)/2),(VLOOKUP($G$5,$CU$3:$DK$62,8,FALSE)/2)),IF(VLOOKUP($G$5,$CU$3:$DK$62,15,FALSE)&gt;0,VLOOKUP($G$5,$CU$3:$DK$62,15,FALSE)/2,(VLOOKUP($G$5,$CU$3:$DK$62,15,FALSE)/2))),0)</f>
        <v>64</v>
      </c>
      <c r="O5" s="141">
        <f>IF(VLOOKUP($G$5,$CU$3:$DJ$62,10,FALSE)=0,IF(N86="pluie",$N$5,$M$10),$M$10)</f>
        <v>52</v>
      </c>
      <c r="Q5" s="87" t="s">
        <v>141</v>
      </c>
      <c r="R5" s="87" t="s">
        <v>142</v>
      </c>
      <c r="S5" s="87" t="s">
        <v>143</v>
      </c>
      <c r="T5" s="87" t="s">
        <v>144</v>
      </c>
      <c r="U5" s="87" t="s">
        <v>145</v>
      </c>
      <c r="V5" s="87">
        <v>1</v>
      </c>
      <c r="AU5" s="4" t="s">
        <v>51</v>
      </c>
      <c r="AV5" s="124">
        <f t="shared" si="2"/>
        <v>928.68867924528297</v>
      </c>
      <c r="AW5" s="124">
        <f t="shared" si="3"/>
        <v>584.62264150943395</v>
      </c>
      <c r="AX5" s="124">
        <f t="shared" si="4"/>
        <v>679.2358490566038</v>
      </c>
      <c r="AY5" s="124">
        <f t="shared" si="5"/>
        <v>625.19811320754718</v>
      </c>
      <c r="AZ5" s="124">
        <f t="shared" si="6"/>
        <v>375.08490566037733</v>
      </c>
      <c r="BA5" s="124">
        <f t="shared" si="1"/>
        <v>21.30188679245283</v>
      </c>
      <c r="BB5" s="124">
        <f t="shared" si="7"/>
        <v>-21.30188679245283</v>
      </c>
      <c r="BC5" s="4">
        <v>80</v>
      </c>
      <c r="BD5" s="4">
        <v>3.04</v>
      </c>
      <c r="BE5" s="4" t="s">
        <v>180</v>
      </c>
      <c r="BF5" s="4" t="s">
        <v>179</v>
      </c>
      <c r="BG5" s="4">
        <v>109</v>
      </c>
      <c r="BH5" s="4">
        <v>146</v>
      </c>
      <c r="BI5" s="4">
        <v>183</v>
      </c>
      <c r="BJ5" s="4">
        <v>221</v>
      </c>
      <c r="BK5" s="4">
        <v>254</v>
      </c>
      <c r="BL5" s="4">
        <v>38</v>
      </c>
      <c r="BM5" s="88"/>
      <c r="BN5" s="88"/>
      <c r="BO5" s="88">
        <v>0.64149999999999996</v>
      </c>
      <c r="BP5" s="88">
        <v>0.55066666666666675</v>
      </c>
      <c r="BQ5" s="88">
        <v>0.54120000000000013</v>
      </c>
      <c r="BR5" s="88">
        <v>0.52806666666666668</v>
      </c>
      <c r="BS5" s="88">
        <v>0.51049999999999995</v>
      </c>
      <c r="BT5" s="88">
        <v>0.80360000000000009</v>
      </c>
      <c r="BU5" s="88">
        <v>0.7422352941176471</v>
      </c>
      <c r="BV5" s="88">
        <v>0.74400000000000011</v>
      </c>
      <c r="BW5" s="88">
        <v>0.72034210526315778</v>
      </c>
      <c r="BX5" s="88">
        <v>0.69725806451612904</v>
      </c>
      <c r="BY5" s="88">
        <v>0.67489473684210544</v>
      </c>
      <c r="BZ5" s="88">
        <v>0.65574626865671704</v>
      </c>
      <c r="CA5" s="4" t="s">
        <v>51</v>
      </c>
      <c r="CB5" s="88">
        <v>12.904458598726114</v>
      </c>
      <c r="CC5" s="88">
        <v>16.535031847133759</v>
      </c>
      <c r="CD5" s="88">
        <v>17.343949044585987</v>
      </c>
      <c r="CE5" s="88">
        <v>17</v>
      </c>
      <c r="CF5" s="88">
        <v>14.764331210191083</v>
      </c>
      <c r="CG5" s="88">
        <v>13.076433121019109</v>
      </c>
      <c r="CH5" s="88">
        <v>10.305732484076433</v>
      </c>
      <c r="CI5" s="88">
        <v>15.904458598726114</v>
      </c>
      <c r="CJ5" s="88">
        <v>19.738853503184714</v>
      </c>
      <c r="CK5" s="88">
        <v>15.019108280254777</v>
      </c>
      <c r="CL5" s="88">
        <v>8.0382165605095537</v>
      </c>
      <c r="CM5" s="108">
        <v>1.1499999999999999</v>
      </c>
      <c r="CN5" s="4" t="s">
        <v>179</v>
      </c>
      <c r="CO5" s="4">
        <v>157</v>
      </c>
      <c r="CU5" s="4" t="s">
        <v>51</v>
      </c>
      <c r="CV5" s="5" t="s">
        <v>51</v>
      </c>
      <c r="CW5" s="5">
        <v>928.68867924528297</v>
      </c>
      <c r="CX5" s="5">
        <v>584.62264150943395</v>
      </c>
      <c r="CY5" s="5">
        <v>679.2358490566038</v>
      </c>
      <c r="CZ5" s="5">
        <v>625.19811320754718</v>
      </c>
      <c r="DA5" s="5">
        <v>375.08490566037733</v>
      </c>
      <c r="DB5" s="157">
        <v>42.60377358490566</v>
      </c>
      <c r="DC5" s="5">
        <v>106</v>
      </c>
      <c r="DD5" s="5">
        <v>967.61904761904759</v>
      </c>
      <c r="DE5" s="5">
        <v>458.47619047619048</v>
      </c>
      <c r="DF5" s="5">
        <v>690.61904761904759</v>
      </c>
      <c r="DG5" s="5">
        <v>628.42857142857144</v>
      </c>
      <c r="DH5" s="5">
        <v>245.28571428571428</v>
      </c>
      <c r="DI5" s="5">
        <v>49.333333333333336</v>
      </c>
      <c r="DJ5" s="5">
        <v>21</v>
      </c>
      <c r="DL5" s="4" t="s">
        <v>51</v>
      </c>
      <c r="DM5" s="5">
        <v>10</v>
      </c>
      <c r="DN5" s="5">
        <v>17</v>
      </c>
      <c r="DO5" s="5">
        <v>18</v>
      </c>
      <c r="DP5" s="5">
        <v>38</v>
      </c>
      <c r="DR5" s="5">
        <v>152</v>
      </c>
      <c r="DS5" s="5">
        <v>67</v>
      </c>
      <c r="DV5" s="5">
        <v>4</v>
      </c>
      <c r="DW5" s="5">
        <v>3</v>
      </c>
      <c r="DX5" s="5">
        <v>5</v>
      </c>
      <c r="DY5" s="5">
        <v>15</v>
      </c>
      <c r="DZ5" s="5">
        <v>2</v>
      </c>
    </row>
    <row r="6" spans="2:130" ht="15" hidden="1" customHeight="1" thickBot="1">
      <c r="G6" s="253"/>
      <c r="H6" s="253"/>
      <c r="I6" s="253"/>
      <c r="J6" s="253"/>
      <c r="K6" s="253"/>
      <c r="L6" s="253"/>
      <c r="M6" s="253"/>
      <c r="N6" s="5">
        <f>ROUND(IF(N90="pluie",IF(VLOOKUP($G$5,$CU$3:$DK$62,8,FALSE)&lt;0,(VLOOKUP($G$5,$CU$3:$DK$62,8,FALSE)/2),(VLOOKUP($G$5,$CU$3:$DK$62,8,FALSE)/2)),IF(VLOOKUP($G$5,$CU$3:$DK$62,15,FALSE)&gt;0,VLOOKUP($G$5,$CU$3:$DK$62,15,FALSE)/2,(VLOOKUP($G$5,$CU$3:$DK$62,15,FALSE)/2))),0)</f>
        <v>64</v>
      </c>
      <c r="O6" s="141">
        <f>IF(VLOOKUP($G$5,$CU$3:$DJ$62,10,FALSE)=0,IF(N90="pluie",$N$6,$M$11),$M$11)</f>
        <v>52</v>
      </c>
      <c r="Q6" s="87" t="s">
        <v>146</v>
      </c>
      <c r="R6" s="87" t="s">
        <v>146</v>
      </c>
      <c r="S6" s="87" t="s">
        <v>146</v>
      </c>
      <c r="T6" s="87" t="s">
        <v>146</v>
      </c>
      <c r="U6" s="87" t="s">
        <v>146</v>
      </c>
      <c r="V6" s="87">
        <v>0</v>
      </c>
      <c r="AU6" s="4" t="s">
        <v>278</v>
      </c>
      <c r="AV6" s="124">
        <f t="shared" si="2"/>
        <v>344.52083333333331</v>
      </c>
      <c r="AW6" s="124">
        <f t="shared" si="3"/>
        <v>871.38541666666663</v>
      </c>
      <c r="AX6" s="124">
        <f t="shared" si="4"/>
        <v>736.13541666666663</v>
      </c>
      <c r="AY6" s="124">
        <f t="shared" si="5"/>
        <v>490.8125</v>
      </c>
      <c r="AZ6" s="124">
        <f t="shared" si="6"/>
        <v>257.76041666666669</v>
      </c>
      <c r="BA6" s="124">
        <f t="shared" si="1"/>
        <v>-1.9270833333333333</v>
      </c>
      <c r="BB6" s="124">
        <f t="shared" si="7"/>
        <v>1.9270833333333333</v>
      </c>
      <c r="BC6" s="4">
        <v>70</v>
      </c>
      <c r="BD6" s="4">
        <v>4.0259999999999998</v>
      </c>
      <c r="BE6" s="4" t="s">
        <v>179</v>
      </c>
      <c r="BF6" s="4" t="s">
        <v>180</v>
      </c>
      <c r="BG6" s="4">
        <v>120</v>
      </c>
      <c r="BH6" s="4">
        <v>161</v>
      </c>
      <c r="BI6" s="4">
        <v>202</v>
      </c>
      <c r="BJ6" s="4">
        <v>243</v>
      </c>
      <c r="BK6" s="4">
        <v>279</v>
      </c>
      <c r="BL6" s="4">
        <v>41</v>
      </c>
      <c r="BM6" s="88"/>
      <c r="BN6" s="88">
        <v>0.79500000000000004</v>
      </c>
      <c r="BO6" s="88">
        <v>0.69499999999999995</v>
      </c>
      <c r="BP6" s="88">
        <v>0.62024999999999997</v>
      </c>
      <c r="BQ6" s="88">
        <v>0.60028571428571431</v>
      </c>
      <c r="BR6" s="88">
        <v>0.58933333333333338</v>
      </c>
      <c r="BS6" s="88">
        <v>0.55042857142857149</v>
      </c>
      <c r="BT6" s="88">
        <v>0.83260000000000001</v>
      </c>
      <c r="BU6" s="88">
        <v>0.84456756756756746</v>
      </c>
      <c r="BV6" s="88">
        <v>0.81661538461538463</v>
      </c>
      <c r="BW6" s="88">
        <v>0.81424657534246669</v>
      </c>
      <c r="BX6" s="88">
        <v>0.73988333333333312</v>
      </c>
      <c r="BY6" s="88">
        <v>0.71876811594202894</v>
      </c>
      <c r="BZ6" s="88">
        <v>0.69830769230769252</v>
      </c>
      <c r="CA6" s="4" t="s">
        <v>278</v>
      </c>
      <c r="CB6" s="88">
        <v>16.713235294117649</v>
      </c>
      <c r="CC6" s="88">
        <v>33.551470588235297</v>
      </c>
      <c r="CD6" s="88">
        <v>13.426470588235293</v>
      </c>
      <c r="CE6" s="88">
        <v>12.544117647058824</v>
      </c>
      <c r="CF6" s="88">
        <v>28.823529411764707</v>
      </c>
      <c r="CG6" s="88">
        <v>18.698529411764707</v>
      </c>
      <c r="CH6" s="88">
        <v>10.713235294117647</v>
      </c>
      <c r="CI6" s="88">
        <v>26.713235294117649</v>
      </c>
      <c r="CJ6" s="88">
        <v>34.595588235294116</v>
      </c>
      <c r="CK6" s="88">
        <v>14.757352941176471</v>
      </c>
      <c r="CL6" s="88">
        <v>9.0955882352941178</v>
      </c>
      <c r="CM6" s="108">
        <v>1.085</v>
      </c>
      <c r="CN6" s="4" t="s">
        <v>180</v>
      </c>
      <c r="CO6" s="4">
        <v>136</v>
      </c>
      <c r="CU6" s="4" t="s">
        <v>278</v>
      </c>
      <c r="CV6" s="5" t="s">
        <v>278</v>
      </c>
      <c r="CW6" s="5">
        <v>344.52083333333331</v>
      </c>
      <c r="CX6" s="5">
        <v>871.38541666666663</v>
      </c>
      <c r="CY6" s="5">
        <v>736.13541666666663</v>
      </c>
      <c r="CZ6" s="5">
        <v>490.8125</v>
      </c>
      <c r="DA6" s="5">
        <v>257.76041666666669</v>
      </c>
      <c r="DB6" s="157">
        <v>-3.8541666666666665</v>
      </c>
      <c r="DC6" s="5">
        <v>96</v>
      </c>
      <c r="DD6" s="5">
        <v>468.72727272727275</v>
      </c>
      <c r="DE6" s="5">
        <v>749.36363636363637</v>
      </c>
      <c r="DF6" s="5">
        <v>840.90909090909088</v>
      </c>
      <c r="DG6" s="5">
        <v>244.09090909090909</v>
      </c>
      <c r="DH6" s="5">
        <v>130.36363636363637</v>
      </c>
      <c r="DI6" s="5">
        <v>54.454545454545453</v>
      </c>
      <c r="DJ6" s="5">
        <v>11</v>
      </c>
      <c r="DL6" s="4" t="s">
        <v>278</v>
      </c>
      <c r="DM6" s="5">
        <v>5</v>
      </c>
      <c r="DN6" s="5">
        <v>37</v>
      </c>
      <c r="DO6" s="5">
        <v>39</v>
      </c>
      <c r="DP6" s="5">
        <v>73</v>
      </c>
      <c r="DR6" s="5">
        <v>138</v>
      </c>
      <c r="DS6" s="5">
        <v>52</v>
      </c>
      <c r="DU6" s="5">
        <v>2</v>
      </c>
      <c r="DV6" s="5">
        <v>2</v>
      </c>
      <c r="DW6" s="5">
        <v>8</v>
      </c>
      <c r="DX6" s="5">
        <v>14</v>
      </c>
      <c r="DY6" s="5">
        <v>6</v>
      </c>
      <c r="DZ6" s="5">
        <v>7</v>
      </c>
    </row>
    <row r="7" spans="2:130" ht="15" hidden="1" customHeight="1" thickBot="1">
      <c r="B7" s="251" t="s">
        <v>11</v>
      </c>
      <c r="C7" s="251"/>
      <c r="D7" s="251"/>
      <c r="E7" s="47">
        <f>E76</f>
        <v>0</v>
      </c>
      <c r="M7" s="252" t="s">
        <v>289</v>
      </c>
      <c r="N7" s="251"/>
      <c r="Q7" s="87" t="s">
        <v>147</v>
      </c>
      <c r="R7" s="87" t="s">
        <v>148</v>
      </c>
      <c r="S7" s="87" t="s">
        <v>149</v>
      </c>
      <c r="T7" s="87" t="s">
        <v>150</v>
      </c>
      <c r="U7" s="87" t="s">
        <v>151</v>
      </c>
      <c r="V7" s="87">
        <v>-1</v>
      </c>
      <c r="AU7" s="4" t="s">
        <v>86</v>
      </c>
      <c r="AV7" s="124">
        <f t="shared" si="2"/>
        <v>573.33333333333337</v>
      </c>
      <c r="AW7" s="124">
        <f t="shared" si="3"/>
        <v>766.78787878787875</v>
      </c>
      <c r="AX7" s="124">
        <f t="shared" si="4"/>
        <v>578.25252525252529</v>
      </c>
      <c r="AY7" s="124">
        <f t="shared" si="5"/>
        <v>512.53535353535358</v>
      </c>
      <c r="AZ7" s="124">
        <f t="shared" si="6"/>
        <v>919.46464646464642</v>
      </c>
      <c r="BA7" s="124">
        <f t="shared" si="1"/>
        <v>49.888888888888886</v>
      </c>
      <c r="BB7" s="124">
        <f t="shared" si="7"/>
        <v>-49.888888888888886</v>
      </c>
      <c r="BC7" s="4">
        <v>56</v>
      </c>
      <c r="BD7" s="4">
        <v>5.516</v>
      </c>
      <c r="BE7" s="4" t="s">
        <v>179</v>
      </c>
      <c r="BF7" s="4" t="s">
        <v>179</v>
      </c>
      <c r="BG7" s="4">
        <v>120</v>
      </c>
      <c r="BH7" s="4">
        <v>161</v>
      </c>
      <c r="BI7" s="4">
        <v>202</v>
      </c>
      <c r="BJ7" s="4">
        <v>243</v>
      </c>
      <c r="BK7" s="4">
        <v>279</v>
      </c>
      <c r="BL7" s="4">
        <v>41</v>
      </c>
      <c r="BM7" s="88">
        <v>0.66500000000000004</v>
      </c>
      <c r="BN7" s="88"/>
      <c r="BO7" s="88"/>
      <c r="BP7" s="88"/>
      <c r="BQ7" s="88">
        <v>0.59342857142857142</v>
      </c>
      <c r="BR7" s="88">
        <v>0.57099999999999995</v>
      </c>
      <c r="BS7" s="88">
        <v>0.56399999999999995</v>
      </c>
      <c r="BT7" s="88">
        <v>0.80006250000000012</v>
      </c>
      <c r="BU7" s="88">
        <v>0.78991666666666671</v>
      </c>
      <c r="BV7" s="88">
        <v>0.77785714285714291</v>
      </c>
      <c r="BW7" s="88">
        <v>0.73683870967741971</v>
      </c>
      <c r="BX7" s="88">
        <v>0.71051445086705212</v>
      </c>
      <c r="BY7" s="88">
        <v>0.69794244604316491</v>
      </c>
      <c r="BZ7" s="88">
        <v>0.6706721311475411</v>
      </c>
      <c r="CA7" s="4" t="s">
        <v>86</v>
      </c>
      <c r="CB7" s="88">
        <v>11.661764705882353</v>
      </c>
      <c r="CC7" s="88">
        <v>24.955882352941178</v>
      </c>
      <c r="CD7" s="88">
        <v>19.058823529411764</v>
      </c>
      <c r="CE7" s="88">
        <v>19.176470588235293</v>
      </c>
      <c r="CF7" s="88">
        <v>13.014705882352942</v>
      </c>
      <c r="CG7" s="88">
        <v>12.463235294117647</v>
      </c>
      <c r="CH7" s="88">
        <v>13.073529411764707</v>
      </c>
      <c r="CI7" s="88">
        <v>20.044117647058822</v>
      </c>
      <c r="CJ7" s="88">
        <v>23.455882352941178</v>
      </c>
      <c r="CK7" s="88">
        <v>10.051470588235293</v>
      </c>
      <c r="CL7" s="88">
        <v>10.463235294117647</v>
      </c>
      <c r="CM7" s="108">
        <v>1.18</v>
      </c>
      <c r="CN7" s="4" t="s">
        <v>179</v>
      </c>
      <c r="CO7" s="4">
        <v>136</v>
      </c>
      <c r="CU7" s="4" t="s">
        <v>86</v>
      </c>
      <c r="CV7" s="5" t="s">
        <v>86</v>
      </c>
      <c r="CW7" s="5">
        <v>573.33333333333337</v>
      </c>
      <c r="CX7" s="5">
        <v>766.78787878787875</v>
      </c>
      <c r="CY7" s="5">
        <v>578.25252525252529</v>
      </c>
      <c r="CZ7" s="5">
        <v>512.53535353535358</v>
      </c>
      <c r="DA7" s="5">
        <v>919.46464646464642</v>
      </c>
      <c r="DB7" s="157">
        <v>99.777777777777771</v>
      </c>
      <c r="DC7" s="5">
        <v>99</v>
      </c>
      <c r="DD7" s="5">
        <v>684.4545454545455</v>
      </c>
      <c r="DE7" s="5">
        <v>657.81818181818187</v>
      </c>
      <c r="DF7" s="5">
        <v>649.63636363636363</v>
      </c>
      <c r="DG7" s="5">
        <v>382.09090909090907</v>
      </c>
      <c r="DH7" s="5">
        <v>799.5454545454545</v>
      </c>
      <c r="DI7" s="5">
        <v>155.54545454545453</v>
      </c>
      <c r="DJ7" s="5">
        <v>11</v>
      </c>
      <c r="DL7" s="4" t="s">
        <v>86</v>
      </c>
      <c r="DM7" s="5">
        <v>16</v>
      </c>
      <c r="DN7" s="5">
        <v>12</v>
      </c>
      <c r="DO7" s="5">
        <v>7</v>
      </c>
      <c r="DP7" s="5">
        <v>62</v>
      </c>
      <c r="DR7" s="5">
        <v>139</v>
      </c>
      <c r="DS7" s="5">
        <v>61</v>
      </c>
      <c r="DT7" s="5">
        <v>4</v>
      </c>
      <c r="DX7" s="5">
        <v>7</v>
      </c>
      <c r="DY7" s="5">
        <v>4</v>
      </c>
      <c r="DZ7" s="5">
        <v>2</v>
      </c>
    </row>
    <row r="8" spans="2:130" ht="15" hidden="1" customHeight="1">
      <c r="G8" s="6"/>
      <c r="H8" s="6" t="s">
        <v>3</v>
      </c>
      <c r="I8" s="6" t="s">
        <v>5</v>
      </c>
      <c r="J8" s="6" t="s">
        <v>35</v>
      </c>
      <c r="K8" s="6" t="s">
        <v>36</v>
      </c>
      <c r="L8" s="6" t="s">
        <v>101</v>
      </c>
      <c r="M8" s="127" t="s">
        <v>90</v>
      </c>
      <c r="N8" s="127" t="s">
        <v>91</v>
      </c>
      <c r="Q8" s="87" t="s">
        <v>152</v>
      </c>
      <c r="R8" s="87" t="s">
        <v>153</v>
      </c>
      <c r="S8" s="87" t="s">
        <v>154</v>
      </c>
      <c r="T8" s="87" t="s">
        <v>155</v>
      </c>
      <c r="U8" s="87" t="s">
        <v>156</v>
      </c>
      <c r="V8" s="87">
        <v>-2</v>
      </c>
      <c r="AU8" s="4" t="s">
        <v>260</v>
      </c>
      <c r="AV8" s="124">
        <f t="shared" si="2"/>
        <v>421.76744186046511</v>
      </c>
      <c r="AW8" s="124">
        <f t="shared" si="3"/>
        <v>803.27906976744191</v>
      </c>
      <c r="AX8" s="124">
        <f t="shared" si="4"/>
        <v>415.81395348837208</v>
      </c>
      <c r="AY8" s="124">
        <f t="shared" si="5"/>
        <v>230.69767441860466</v>
      </c>
      <c r="AZ8" s="124">
        <f t="shared" si="6"/>
        <v>941.67441860465112</v>
      </c>
      <c r="BA8" s="124">
        <f t="shared" si="1"/>
        <v>7.4651162790697674</v>
      </c>
      <c r="BB8" s="124">
        <f t="shared" si="7"/>
        <v>-7.4651162790697674</v>
      </c>
      <c r="BC8" s="4">
        <v>65</v>
      </c>
      <c r="BD8" s="4">
        <v>4.7279999999999998</v>
      </c>
      <c r="BE8" s="4" t="s">
        <v>179</v>
      </c>
      <c r="BF8" s="4" t="s">
        <v>180</v>
      </c>
      <c r="BG8" s="4">
        <v>120</v>
      </c>
      <c r="BH8" s="4">
        <v>161</v>
      </c>
      <c r="BI8" s="4">
        <v>202</v>
      </c>
      <c r="BJ8" s="4">
        <v>243</v>
      </c>
      <c r="BK8" s="4">
        <v>279</v>
      </c>
      <c r="BL8" s="4">
        <v>41</v>
      </c>
      <c r="BM8" s="88"/>
      <c r="BN8" s="88"/>
      <c r="BO8" s="88"/>
      <c r="BP8" s="88"/>
      <c r="BQ8" s="88"/>
      <c r="BR8" s="88">
        <v>0.54399999999999993</v>
      </c>
      <c r="BS8" s="88">
        <v>0.52500000000000002</v>
      </c>
      <c r="BT8" s="88">
        <v>0.76733333333333331</v>
      </c>
      <c r="BU8" s="88"/>
      <c r="BV8" s="88"/>
      <c r="BW8" s="88">
        <v>0.76355555555555554</v>
      </c>
      <c r="BX8" s="88">
        <v>0.75520833333333337</v>
      </c>
      <c r="BY8" s="88">
        <v>0.74154385964912262</v>
      </c>
      <c r="BZ8" s="88">
        <v>0.70827272727272728</v>
      </c>
      <c r="CA8" s="4" t="s">
        <v>260</v>
      </c>
      <c r="CB8" s="88">
        <v>17.893617021276597</v>
      </c>
      <c r="CC8" s="88">
        <v>54.468085106382979</v>
      </c>
      <c r="CD8" s="88">
        <v>9.5744680851063837</v>
      </c>
      <c r="CE8" s="88">
        <v>10.702127659574469</v>
      </c>
      <c r="CF8" s="88">
        <v>23.106382978723403</v>
      </c>
      <c r="CG8" s="88">
        <v>10.468085106382979</v>
      </c>
      <c r="CH8" s="88">
        <v>11.787234042553191</v>
      </c>
      <c r="CI8" s="88">
        <v>15.680851063829786</v>
      </c>
      <c r="CJ8" s="88">
        <v>14.446808510638299</v>
      </c>
      <c r="CK8" s="88">
        <v>37.255319148936174</v>
      </c>
      <c r="CL8" s="88">
        <v>14.170212765957446</v>
      </c>
      <c r="CM8" s="108">
        <v>1.125</v>
      </c>
      <c r="CN8" s="4" t="s">
        <v>180</v>
      </c>
      <c r="CO8" s="4">
        <v>47</v>
      </c>
      <c r="CU8" s="4" t="s">
        <v>260</v>
      </c>
      <c r="CV8" s="5" t="s">
        <v>260</v>
      </c>
      <c r="CW8" s="5">
        <v>421.76744186046511</v>
      </c>
      <c r="CX8" s="5">
        <v>803.27906976744191</v>
      </c>
      <c r="CY8" s="5">
        <v>415.81395348837208</v>
      </c>
      <c r="CZ8" s="5">
        <v>230.69767441860466</v>
      </c>
      <c r="DA8" s="5">
        <v>941.67441860465112</v>
      </c>
      <c r="DB8" s="157">
        <v>14.930232558139535</v>
      </c>
      <c r="DC8" s="5">
        <v>43</v>
      </c>
      <c r="DL8" s="4" t="s">
        <v>260</v>
      </c>
      <c r="DM8" s="5">
        <v>6</v>
      </c>
      <c r="DP8" s="5">
        <v>9</v>
      </c>
      <c r="DR8" s="5">
        <v>57</v>
      </c>
      <c r="DS8" s="5">
        <v>11</v>
      </c>
      <c r="DY8" s="5">
        <v>19</v>
      </c>
      <c r="DZ8" s="5">
        <v>2</v>
      </c>
    </row>
    <row r="9" spans="2:130" ht="15" hidden="1" customHeight="1">
      <c r="B9" s="251" t="s">
        <v>10</v>
      </c>
      <c r="C9" s="251"/>
      <c r="D9" s="251"/>
      <c r="E9" s="8">
        <f>135-(0.1*E5)-(0.3*E7)</f>
        <v>135</v>
      </c>
      <c r="G9" s="6" t="s">
        <v>100</v>
      </c>
      <c r="H9" s="6">
        <f>VLOOKUP($G$5,$AU$3:$BB$65,2,FALSE)</f>
        <v>355.75581395348837</v>
      </c>
      <c r="I9" s="9">
        <f>VLOOKUP($G$5,$AU$3:$BB$65,3,FALSE)</f>
        <v>884.75581395348843</v>
      </c>
      <c r="J9" s="9">
        <f>VLOOKUP($G$5,$AU$3:$BB$65,4,FALSE)</f>
        <v>642.22093023255809</v>
      </c>
      <c r="K9" s="9">
        <f>VLOOKUP($G$5,$AU$3:$BB$65,5,FALSE)</f>
        <v>661.39534883720933</v>
      </c>
      <c r="L9" s="9">
        <f>VLOOKUP($G$5,$AU$3:$BB$65,6,FALSE)</f>
        <v>648.47674418604652</v>
      </c>
      <c r="M9" s="129">
        <f>ROUND(IF(N82="sec",IF(VLOOKUP($G$5,$CU$3:$DK$62,8,FALSE)&lt;0,(VLOOKUP($G$5,$CU$3:$DK$62,8,FALSE)/2),(VLOOKUP($G$5,$CU$3:$DK$62,8,FALSE)/2)),IF(VLOOKUP($G$5,$CU$3:$DK$62,15,FALSE)&gt;0,VLOOKUP($G$5,$CU$3:$DK$62,15,FALSE)/2,(VLOOKUP($G$5,$CU$3:$DK$62,15,FALSE)/2))),0)</f>
        <v>52</v>
      </c>
      <c r="N9" s="142">
        <f>-M9</f>
        <v>-52</v>
      </c>
      <c r="O9" s="4" t="s">
        <v>290</v>
      </c>
      <c r="Q9" s="87" t="s">
        <v>157</v>
      </c>
      <c r="R9" s="87" t="s">
        <v>158</v>
      </c>
      <c r="S9" s="87" t="s">
        <v>159</v>
      </c>
      <c r="T9" s="87" t="s">
        <v>160</v>
      </c>
      <c r="U9" s="87" t="s">
        <v>161</v>
      </c>
      <c r="V9" s="87">
        <v>-3</v>
      </c>
      <c r="AU9" s="140" t="s">
        <v>302</v>
      </c>
      <c r="AV9" s="124">
        <f t="shared" si="2"/>
        <v>446.68888888888887</v>
      </c>
      <c r="AW9" s="124">
        <f t="shared" si="3"/>
        <v>782.78888888888889</v>
      </c>
      <c r="AX9" s="124">
        <f t="shared" si="4"/>
        <v>578.4</v>
      </c>
      <c r="AY9" s="124">
        <f t="shared" si="5"/>
        <v>542.51111111111106</v>
      </c>
      <c r="AZ9" s="124">
        <f t="shared" si="6"/>
        <v>913.85555555555561</v>
      </c>
      <c r="BA9" s="124">
        <f t="shared" si="1"/>
        <v>-0.36666666666666664</v>
      </c>
      <c r="BB9" s="124">
        <f t="shared" si="7"/>
        <v>0.36666666666666664</v>
      </c>
      <c r="BC9" s="4">
        <v>51</v>
      </c>
      <c r="BD9" s="4">
        <v>6.0060000000000002</v>
      </c>
      <c r="BE9" s="4" t="s">
        <v>182</v>
      </c>
      <c r="BF9" s="4" t="s">
        <v>180</v>
      </c>
      <c r="BG9" s="4">
        <v>99</v>
      </c>
      <c r="BH9" s="4">
        <v>133</v>
      </c>
      <c r="BI9" s="4">
        <v>168</v>
      </c>
      <c r="BJ9" s="4">
        <v>202</v>
      </c>
      <c r="BK9" s="4">
        <v>232</v>
      </c>
      <c r="BL9" s="4">
        <v>35</v>
      </c>
      <c r="BM9" s="88"/>
      <c r="BN9" s="88"/>
      <c r="BO9" s="88"/>
      <c r="BP9" s="88"/>
      <c r="BQ9" s="88"/>
      <c r="BR9" s="88"/>
      <c r="BS9" s="88"/>
      <c r="BT9" s="88">
        <v>0.82545454545454566</v>
      </c>
      <c r="BU9" s="88"/>
      <c r="BV9" s="88"/>
      <c r="BW9" s="88">
        <v>0.77191428571428544</v>
      </c>
      <c r="BX9" s="88">
        <v>0.74331506849315054</v>
      </c>
      <c r="BY9" s="88">
        <v>0.730592814371257</v>
      </c>
      <c r="BZ9" s="88">
        <v>0.71037349397590377</v>
      </c>
      <c r="CA9" s="4" t="s">
        <v>302</v>
      </c>
      <c r="CB9" s="88">
        <v>13.481481481481481</v>
      </c>
      <c r="CC9" s="88">
        <v>37.111111111111114</v>
      </c>
      <c r="CD9" s="88">
        <v>12.75</v>
      </c>
      <c r="CE9" s="88">
        <v>13.916666666666666</v>
      </c>
      <c r="CF9" s="88">
        <v>12.064814814814815</v>
      </c>
      <c r="CG9" s="88">
        <v>15.648148148148149</v>
      </c>
      <c r="CH9" s="88">
        <v>11.527777777777779</v>
      </c>
      <c r="CI9" s="88">
        <v>17.472222222222221</v>
      </c>
      <c r="CJ9" s="88">
        <v>29.805555555555557</v>
      </c>
      <c r="CK9" s="88">
        <v>12.101851851851851</v>
      </c>
      <c r="CL9" s="88">
        <v>9.3148148148148149</v>
      </c>
      <c r="CM9" s="108">
        <v>1.1000000000000001</v>
      </c>
      <c r="CN9" s="4" t="s">
        <v>180</v>
      </c>
      <c r="CO9" s="4">
        <v>108</v>
      </c>
      <c r="CU9" s="4" t="s">
        <v>302</v>
      </c>
      <c r="CV9" s="5" t="s">
        <v>302</v>
      </c>
      <c r="CW9" s="5">
        <v>446.68888888888887</v>
      </c>
      <c r="CX9" s="5">
        <v>782.78888888888889</v>
      </c>
      <c r="CY9" s="5">
        <v>578.4</v>
      </c>
      <c r="CZ9" s="5">
        <v>542.51111111111106</v>
      </c>
      <c r="DA9" s="5">
        <v>913.85555555555561</v>
      </c>
      <c r="DB9" s="157">
        <v>-0.73333333333333328</v>
      </c>
      <c r="DC9" s="5">
        <v>90</v>
      </c>
      <c r="DL9" s="4" t="s">
        <v>302</v>
      </c>
      <c r="DM9" s="5">
        <v>22</v>
      </c>
      <c r="DP9" s="5">
        <v>35</v>
      </c>
      <c r="DR9" s="5">
        <v>167</v>
      </c>
      <c r="DS9" s="5">
        <v>83</v>
      </c>
    </row>
    <row r="10" spans="2:130" ht="15" hidden="1" customHeight="1">
      <c r="E10" s="7">
        <f>E9/2</f>
        <v>67.5</v>
      </c>
      <c r="G10" s="5" t="s">
        <v>102</v>
      </c>
      <c r="H10" s="48">
        <f>H79</f>
        <v>0</v>
      </c>
      <c r="I10" s="48">
        <f>I79</f>
        <v>0</v>
      </c>
      <c r="J10" s="48">
        <f>J79</f>
        <v>0</v>
      </c>
      <c r="K10" s="48">
        <f>K79</f>
        <v>0</v>
      </c>
      <c r="L10" s="48">
        <f>L79</f>
        <v>0</v>
      </c>
      <c r="M10" s="5">
        <f>ROUND(IF(N86="sec",IF(VLOOKUP($G$5,$CU$3:$DK$62,8,FALSE)&lt;0,(VLOOKUP($G$5,$CU$3:$DK$62,8,FALSE)/2),(VLOOKUP($G$5,$CU$3:$DK$62,8,FALSE)/2)),IF(VLOOKUP($G$5,$CU$3:$DK$62,15,FALSE)&gt;0,VLOOKUP($G$5,$CU$3:$DK$62,15,FALSE)/2,(VLOOKUP($G$5,$CU$3:$DK$62,15,FALSE)/2))),0)</f>
        <v>52</v>
      </c>
      <c r="N10" s="5">
        <f>-M10</f>
        <v>-52</v>
      </c>
      <c r="O10" s="4" t="s">
        <v>291</v>
      </c>
      <c r="AU10" s="4" t="s">
        <v>79</v>
      </c>
      <c r="AV10" s="124">
        <f t="shared" si="2"/>
        <v>545.22222222222217</v>
      </c>
      <c r="AW10" s="124">
        <f t="shared" si="3"/>
        <v>822.47222222222217</v>
      </c>
      <c r="AX10" s="124">
        <f t="shared" si="4"/>
        <v>496.79166666666669</v>
      </c>
      <c r="AY10" s="124">
        <f t="shared" si="5"/>
        <v>516.31944444444446</v>
      </c>
      <c r="AZ10" s="124">
        <f t="shared" si="6"/>
        <v>439.91666666666669</v>
      </c>
      <c r="BA10" s="124">
        <f t="shared" ref="BA10:BA20" si="8">IF($N$82="Sec",IF(ABS(DB10/2)&gt;0,DB10/2,-(DB10/2)),IF(ISBLANK(DI10),IF(ABS(DB10/2)&gt;0,DB10/2,-(DB10/2)),IF(ABS(DI10/2)&gt;0,-(DI10/2),(DI10/2))))</f>
        <v>20.263888888888889</v>
      </c>
      <c r="BB10" s="124">
        <f t="shared" ref="BB10:BB20" si="9">-(BA10)</f>
        <v>-20.263888888888889</v>
      </c>
      <c r="BC10" s="4">
        <v>65</v>
      </c>
      <c r="BD10" s="4">
        <v>4.7279999999999998</v>
      </c>
      <c r="BE10" s="4" t="s">
        <v>179</v>
      </c>
      <c r="BF10" s="4" t="s">
        <v>180</v>
      </c>
      <c r="BG10" s="4">
        <v>120</v>
      </c>
      <c r="BH10" s="4">
        <v>161</v>
      </c>
      <c r="BI10" s="4">
        <v>202</v>
      </c>
      <c r="BJ10" s="4">
        <v>243</v>
      </c>
      <c r="BK10" s="4">
        <v>279</v>
      </c>
      <c r="BL10" s="4">
        <v>41</v>
      </c>
      <c r="BM10" s="88"/>
      <c r="BN10" s="88"/>
      <c r="BO10" s="88"/>
      <c r="BP10" s="88"/>
      <c r="BQ10" s="88"/>
      <c r="BR10" s="88">
        <v>0.46950000000000003</v>
      </c>
      <c r="BS10" s="88"/>
      <c r="BT10" s="88">
        <v>0.80284615384615399</v>
      </c>
      <c r="BU10" s="88">
        <v>0.79892000000000007</v>
      </c>
      <c r="BV10" s="88">
        <v>0.76762499999999989</v>
      </c>
      <c r="BW10" s="88">
        <v>0.74252000000000007</v>
      </c>
      <c r="BX10" s="88">
        <v>0.71866666666666679</v>
      </c>
      <c r="BY10" s="88">
        <v>0.69215789473684186</v>
      </c>
      <c r="BZ10" s="88">
        <v>0.67920895522388058</v>
      </c>
      <c r="CA10" s="4" t="s">
        <v>79</v>
      </c>
      <c r="CB10" s="88">
        <v>18.06451612903226</v>
      </c>
      <c r="CC10" s="88">
        <v>39.236559139784944</v>
      </c>
      <c r="CD10" s="88">
        <v>29.408602150537636</v>
      </c>
      <c r="CE10" s="88">
        <v>34.56989247311828</v>
      </c>
      <c r="CF10" s="88">
        <v>22.387096774193548</v>
      </c>
      <c r="CG10" s="88">
        <v>15.989247311827956</v>
      </c>
      <c r="CH10" s="88">
        <v>15.53763440860215</v>
      </c>
      <c r="CI10" s="88">
        <v>23.86021505376344</v>
      </c>
      <c r="CJ10" s="88">
        <v>34.698924731182792</v>
      </c>
      <c r="CK10" s="88">
        <v>28.49462365591398</v>
      </c>
      <c r="CL10" s="88">
        <v>13.56989247311828</v>
      </c>
      <c r="CM10" s="108">
        <v>1.125</v>
      </c>
      <c r="CN10" s="4" t="s">
        <v>180</v>
      </c>
      <c r="CO10" s="4">
        <v>93</v>
      </c>
      <c r="CU10" s="4" t="s">
        <v>79</v>
      </c>
      <c r="CV10" s="5" t="s">
        <v>79</v>
      </c>
      <c r="CW10" s="5">
        <v>545.22222222222217</v>
      </c>
      <c r="CX10" s="5">
        <v>822.47222222222217</v>
      </c>
      <c r="CY10" s="5">
        <v>496.79166666666669</v>
      </c>
      <c r="CZ10" s="5">
        <v>516.31944444444446</v>
      </c>
      <c r="DA10" s="5">
        <v>439.91666666666669</v>
      </c>
      <c r="DB10" s="157">
        <v>40.527777777777779</v>
      </c>
      <c r="DC10" s="5">
        <v>72</v>
      </c>
      <c r="DD10" s="5">
        <v>675</v>
      </c>
      <c r="DE10" s="5">
        <v>725</v>
      </c>
      <c r="DF10" s="5">
        <v>550</v>
      </c>
      <c r="DG10" s="5">
        <v>325</v>
      </c>
      <c r="DH10" s="5">
        <v>275</v>
      </c>
      <c r="DI10" s="5">
        <v>50</v>
      </c>
      <c r="DJ10" s="5">
        <v>1</v>
      </c>
      <c r="DL10" s="4" t="s">
        <v>79</v>
      </c>
      <c r="DM10" s="5">
        <v>13</v>
      </c>
      <c r="DN10" s="5">
        <v>25</v>
      </c>
      <c r="DO10" s="5">
        <v>8</v>
      </c>
      <c r="DP10" s="5">
        <v>25</v>
      </c>
      <c r="DR10" s="5">
        <v>76</v>
      </c>
      <c r="DS10" s="5">
        <v>67</v>
      </c>
      <c r="DY10" s="5">
        <v>4</v>
      </c>
    </row>
    <row r="11" spans="2:130" ht="15" hidden="1" customHeight="1" thickBot="1">
      <c r="E11" s="7"/>
      <c r="M11" s="5">
        <f>ROUND(IF(N90="sec",IF(VLOOKUP($G$5,$CU$3:$DK$62,8,FALSE)&lt;0,(VLOOKUP($G$5,$CU$3:$DK$62,8,FALSE)/2),(VLOOKUP($G$5,$CU$3:$DK$62,8,FALSE)/2)),IF(VLOOKUP($G$5,$CU$3:$DK$62,15,FALSE)&gt;0,VLOOKUP($G$5,$CU$3:$DK$62,15,FALSE)/2,(VLOOKUP($G$5,$CU$3:$DK$62,15,FALSE)/2))),0)</f>
        <v>52</v>
      </c>
      <c r="N11" s="5">
        <f>-M11</f>
        <v>-52</v>
      </c>
      <c r="O11" s="4" t="s">
        <v>292</v>
      </c>
      <c r="AU11" s="4" t="s">
        <v>84</v>
      </c>
      <c r="AV11" s="124">
        <f t="shared" si="2"/>
        <v>531.05882352941171</v>
      </c>
      <c r="AW11" s="124">
        <f t="shared" si="3"/>
        <v>813.29411764705878</v>
      </c>
      <c r="AX11" s="124">
        <f t="shared" si="4"/>
        <v>357.92941176470589</v>
      </c>
      <c r="AY11" s="124">
        <f t="shared" si="5"/>
        <v>586.24705882352941</v>
      </c>
      <c r="AZ11" s="124">
        <f t="shared" si="6"/>
        <v>787.94117647058829</v>
      </c>
      <c r="BA11" s="124">
        <f t="shared" si="8"/>
        <v>9.1411764705882348</v>
      </c>
      <c r="BB11" s="124">
        <f t="shared" si="9"/>
        <v>-9.1411764705882348</v>
      </c>
      <c r="BC11" s="4">
        <v>75</v>
      </c>
      <c r="BD11" s="4">
        <v>4.2069999999999999</v>
      </c>
      <c r="BE11" s="4" t="s">
        <v>181</v>
      </c>
      <c r="BF11" s="4" t="s">
        <v>181</v>
      </c>
      <c r="BG11" s="4">
        <v>134</v>
      </c>
      <c r="BH11" s="4">
        <v>180</v>
      </c>
      <c r="BI11" s="4">
        <v>226</v>
      </c>
      <c r="BJ11" s="4">
        <v>272</v>
      </c>
      <c r="BK11" s="4">
        <v>313</v>
      </c>
      <c r="BL11" s="4">
        <v>46</v>
      </c>
      <c r="BM11" s="88"/>
      <c r="BN11" s="88">
        <v>0.54600000000000004</v>
      </c>
      <c r="BO11" s="88">
        <v>0.55699999999999994</v>
      </c>
      <c r="BP11" s="88">
        <v>0.501</v>
      </c>
      <c r="BQ11" s="88">
        <v>0.52141666666666675</v>
      </c>
      <c r="BR11" s="88">
        <v>0.48660869565217385</v>
      </c>
      <c r="BS11" s="88">
        <v>0.46762500000000001</v>
      </c>
      <c r="BT11" s="88">
        <v>0.77250000000000008</v>
      </c>
      <c r="BU11" s="88">
        <v>0.7337499999999999</v>
      </c>
      <c r="BV11" s="88">
        <v>0.7331428571428571</v>
      </c>
      <c r="BW11" s="88">
        <v>0.70897727272727284</v>
      </c>
      <c r="BX11" s="88">
        <v>0.69145312500000045</v>
      </c>
      <c r="BY11" s="88">
        <v>0.6547338129496405</v>
      </c>
      <c r="BZ11" s="88">
        <v>0.63611111111111107</v>
      </c>
      <c r="CA11" s="4" t="s">
        <v>84</v>
      </c>
      <c r="CB11" s="88">
        <v>8.21830985915493</v>
      </c>
      <c r="CC11" s="88">
        <v>22.253521126760564</v>
      </c>
      <c r="CD11" s="88">
        <v>13.943661971830986</v>
      </c>
      <c r="CE11" s="88">
        <v>17.133802816901408</v>
      </c>
      <c r="CF11" s="88">
        <v>19.218309859154928</v>
      </c>
      <c r="CG11" s="88">
        <v>10.964788732394366</v>
      </c>
      <c r="CH11" s="88">
        <v>9.0492957746478879</v>
      </c>
      <c r="CI11" s="88">
        <v>14.73943661971831</v>
      </c>
      <c r="CJ11" s="88">
        <v>26.204225352112676</v>
      </c>
      <c r="CK11" s="88">
        <v>26.112676056338028</v>
      </c>
      <c r="CL11" s="88">
        <v>13.80281690140845</v>
      </c>
      <c r="CM11" s="108">
        <v>1.2</v>
      </c>
      <c r="CN11" s="4" t="s">
        <v>181</v>
      </c>
      <c r="CO11" s="4">
        <v>142</v>
      </c>
      <c r="CU11" s="4" t="s">
        <v>84</v>
      </c>
      <c r="CV11" s="5" t="s">
        <v>84</v>
      </c>
      <c r="CW11" s="5">
        <v>531.05882352941171</v>
      </c>
      <c r="CX11" s="5">
        <v>813.29411764705878</v>
      </c>
      <c r="CY11" s="5">
        <v>357.92941176470589</v>
      </c>
      <c r="CZ11" s="5">
        <v>586.24705882352941</v>
      </c>
      <c r="DA11" s="5">
        <v>787.94117647058829</v>
      </c>
      <c r="DB11" s="157">
        <v>18.28235294117647</v>
      </c>
      <c r="DC11" s="5">
        <v>85</v>
      </c>
      <c r="DD11" s="5">
        <v>642.4</v>
      </c>
      <c r="DE11" s="5">
        <v>669.43333333333328</v>
      </c>
      <c r="DF11" s="5">
        <v>383.2</v>
      </c>
      <c r="DG11" s="5">
        <v>554.16666666666663</v>
      </c>
      <c r="DH11" s="5">
        <v>665.2</v>
      </c>
      <c r="DI11" s="5">
        <v>66.599999999999994</v>
      </c>
      <c r="DJ11" s="5">
        <v>30</v>
      </c>
      <c r="DL11" s="4" t="s">
        <v>84</v>
      </c>
      <c r="DM11" s="5">
        <v>4</v>
      </c>
      <c r="DN11" s="5">
        <v>4</v>
      </c>
      <c r="DO11" s="5">
        <v>14</v>
      </c>
      <c r="DP11" s="5">
        <v>44</v>
      </c>
      <c r="DR11" s="5">
        <v>139</v>
      </c>
      <c r="DS11" s="5">
        <v>36</v>
      </c>
      <c r="DU11" s="5">
        <v>2</v>
      </c>
      <c r="DV11" s="5">
        <v>2</v>
      </c>
      <c r="DW11" s="5">
        <v>2</v>
      </c>
      <c r="DX11" s="5">
        <v>24</v>
      </c>
      <c r="DY11" s="5">
        <v>23</v>
      </c>
      <c r="DZ11" s="5">
        <v>8</v>
      </c>
    </row>
    <row r="12" spans="2:130" ht="15" hidden="1" customHeight="1" thickBot="1">
      <c r="D12" s="173" t="s">
        <v>3</v>
      </c>
      <c r="E12" s="175"/>
      <c r="F12" s="173" t="s">
        <v>5</v>
      </c>
      <c r="G12" s="175"/>
      <c r="H12" s="173" t="s">
        <v>6</v>
      </c>
      <c r="I12" s="175"/>
      <c r="J12" s="173" t="s">
        <v>7</v>
      </c>
      <c r="K12" s="175"/>
      <c r="L12" s="173" t="s">
        <v>8</v>
      </c>
      <c r="M12" s="175"/>
      <c r="Q12" s="89" t="s">
        <v>22</v>
      </c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1"/>
      <c r="AE12" s="91"/>
      <c r="AF12" s="92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4" t="s">
        <v>46</v>
      </c>
      <c r="AV12" s="124">
        <f t="shared" si="2"/>
        <v>638.55645161290317</v>
      </c>
      <c r="AW12" s="124">
        <f t="shared" si="3"/>
        <v>507.47580645161293</v>
      </c>
      <c r="AX12" s="124">
        <f t="shared" si="4"/>
        <v>694.93548387096769</v>
      </c>
      <c r="AY12" s="124">
        <f t="shared" si="5"/>
        <v>706.43548387096769</v>
      </c>
      <c r="AZ12" s="124">
        <f t="shared" si="6"/>
        <v>886.90322580645159</v>
      </c>
      <c r="BA12" s="124">
        <f t="shared" si="8"/>
        <v>-86.483870967741936</v>
      </c>
      <c r="BB12" s="124">
        <f t="shared" si="9"/>
        <v>86.483870967741936</v>
      </c>
      <c r="BC12" s="4">
        <v>55</v>
      </c>
      <c r="BD12" s="4">
        <v>5.4749999999999996</v>
      </c>
      <c r="BE12" s="4" t="s">
        <v>179</v>
      </c>
      <c r="BF12" s="4" t="s">
        <v>180</v>
      </c>
      <c r="BG12" s="4">
        <v>120</v>
      </c>
      <c r="BH12" s="4">
        <v>161</v>
      </c>
      <c r="BI12" s="4">
        <v>202</v>
      </c>
      <c r="BJ12" s="4">
        <v>243</v>
      </c>
      <c r="BK12" s="4">
        <v>279</v>
      </c>
      <c r="BL12" s="4">
        <v>41</v>
      </c>
      <c r="BM12" s="88"/>
      <c r="BN12" s="88">
        <v>0.54500000000000004</v>
      </c>
      <c r="BO12" s="88"/>
      <c r="BP12" s="88">
        <v>0.50900000000000001</v>
      </c>
      <c r="BQ12" s="88">
        <v>0.50366666666666671</v>
      </c>
      <c r="BR12" s="88">
        <v>0.52433333333333332</v>
      </c>
      <c r="BS12" s="88"/>
      <c r="BT12" s="88">
        <v>0.84752631578947357</v>
      </c>
      <c r="BU12" s="88">
        <v>0.82743243243243292</v>
      </c>
      <c r="BV12" s="88">
        <v>0.76242857142857157</v>
      </c>
      <c r="BW12" s="88">
        <v>0.76322448979591817</v>
      </c>
      <c r="BX12" s="88">
        <v>0.74252419354838695</v>
      </c>
      <c r="BY12" s="88">
        <v>0.72840540540540488</v>
      </c>
      <c r="BZ12" s="88">
        <v>0.69981132075471719</v>
      </c>
      <c r="CA12" s="4" t="s">
        <v>46</v>
      </c>
      <c r="CB12" s="88">
        <v>12.626436781609195</v>
      </c>
      <c r="CC12" s="88">
        <v>25.511494252873565</v>
      </c>
      <c r="CD12" s="88">
        <v>16.270114942528735</v>
      </c>
      <c r="CE12" s="88">
        <v>19.896551724137932</v>
      </c>
      <c r="CF12" s="88">
        <v>13.402298850574713</v>
      </c>
      <c r="CG12" s="88">
        <v>12.310344827586206</v>
      </c>
      <c r="CH12" s="88">
        <v>14.39080459770115</v>
      </c>
      <c r="CI12" s="88">
        <v>20.637931034482758</v>
      </c>
      <c r="CJ12" s="88">
        <v>28.126436781609197</v>
      </c>
      <c r="CK12" s="88">
        <v>13.24712643678161</v>
      </c>
      <c r="CL12" s="88">
        <v>11.471264367816092</v>
      </c>
      <c r="CM12" s="108">
        <v>1.07</v>
      </c>
      <c r="CN12" s="4" t="s">
        <v>180</v>
      </c>
      <c r="CO12" s="4">
        <v>174</v>
      </c>
      <c r="CU12" s="4" t="s">
        <v>46</v>
      </c>
      <c r="CV12" s="5" t="s">
        <v>46</v>
      </c>
      <c r="CW12" s="5">
        <v>638.55645161290317</v>
      </c>
      <c r="CX12" s="5">
        <v>507.47580645161293</v>
      </c>
      <c r="CY12" s="5">
        <v>694.93548387096769</v>
      </c>
      <c r="CZ12" s="5">
        <v>706.43548387096769</v>
      </c>
      <c r="DA12" s="5">
        <v>886.90322580645159</v>
      </c>
      <c r="DB12" s="157">
        <v>-172.96774193548387</v>
      </c>
      <c r="DC12" s="5">
        <v>124</v>
      </c>
      <c r="DD12" s="5">
        <v>725.61111111111109</v>
      </c>
      <c r="DE12" s="5">
        <v>399.94444444444446</v>
      </c>
      <c r="DF12" s="5">
        <v>750.44444444444446</v>
      </c>
      <c r="DG12" s="5">
        <v>595.16666666666663</v>
      </c>
      <c r="DH12" s="5">
        <v>783.16666666666663</v>
      </c>
      <c r="DI12" s="5">
        <v>-91.444444444444443</v>
      </c>
      <c r="DJ12" s="5">
        <v>18</v>
      </c>
      <c r="DL12" s="4" t="s">
        <v>46</v>
      </c>
      <c r="DM12" s="5">
        <v>19</v>
      </c>
      <c r="DN12" s="5">
        <v>37</v>
      </c>
      <c r="DO12" s="5">
        <v>7</v>
      </c>
      <c r="DP12" s="5">
        <v>49</v>
      </c>
      <c r="DR12" s="5">
        <v>185</v>
      </c>
      <c r="DS12" s="5">
        <v>106</v>
      </c>
      <c r="DU12" s="5">
        <v>1</v>
      </c>
      <c r="DW12" s="5">
        <v>1</v>
      </c>
      <c r="DX12" s="5">
        <v>3</v>
      </c>
      <c r="DY12" s="5">
        <v>3</v>
      </c>
    </row>
    <row r="13" spans="2:130" ht="15" hidden="1" customHeight="1">
      <c r="B13" s="39" t="str">
        <f>B81</f>
        <v>Tour</v>
      </c>
      <c r="C13" s="10">
        <v>1</v>
      </c>
      <c r="D13" s="11">
        <f>IF(IF(H10=0,H9,H10)&gt;(999-CQ14),(999-CQ14),IF(H10=0,H9,H10))</f>
        <v>355.75581395348837</v>
      </c>
      <c r="E13" s="49" t="str">
        <f>G81</f>
        <v>(0) Je suis satisfait du réglages</v>
      </c>
      <c r="F13" s="11">
        <f>IF(IF(I10=0,I9,I10)&gt;(999-CQ15),(999-CQ15),IF(I10=0,I9,I10))</f>
        <v>864</v>
      </c>
      <c r="G13" s="49" t="str">
        <f>G82</f>
        <v>(0) Je suis satisfait du réglages</v>
      </c>
      <c r="H13" s="11">
        <f>IF(IF(J10=0,J9,J10)&gt;(999-CQ16),(999-CQ16),IF(J10=0,J9,J10))</f>
        <v>642.22093023255809</v>
      </c>
      <c r="I13" s="49" t="str">
        <f>G83</f>
        <v>(0) Je suis satisfait du réglages</v>
      </c>
      <c r="J13" s="11">
        <f>IF(IF(K10=0,K9,K10)&gt;(999-CQ17),(999-CQ17),IF(K10=0,K9,K10))</f>
        <v>661.39534883720933</v>
      </c>
      <c r="K13" s="49" t="str">
        <f>G84</f>
        <v>(0) Je suis satisfait du réglages</v>
      </c>
      <c r="L13" s="11">
        <f>IF(IF(L10=0,L9,L10)&gt;(999-CQ18),(999-CQ18),IF(L10=0,L9,L10))</f>
        <v>648.47674418604652</v>
      </c>
      <c r="M13" s="49" t="str">
        <f>G85</f>
        <v>(0) Je suis satisfait du réglages</v>
      </c>
      <c r="Q13" s="94"/>
      <c r="R13" s="95"/>
      <c r="S13" s="95" t="s">
        <v>23</v>
      </c>
      <c r="T13" s="95"/>
      <c r="U13" s="95"/>
      <c r="V13" s="95"/>
      <c r="W13" s="95"/>
      <c r="X13" s="95"/>
      <c r="Y13" s="95" t="s">
        <v>24</v>
      </c>
      <c r="Z13" s="95" t="s">
        <v>25</v>
      </c>
      <c r="AA13" s="95" t="s">
        <v>26</v>
      </c>
      <c r="AB13" s="95"/>
      <c r="AC13" s="95"/>
      <c r="AD13" s="93" t="s">
        <v>24</v>
      </c>
      <c r="AE13" s="93" t="s">
        <v>25</v>
      </c>
      <c r="AF13" s="96"/>
      <c r="AG13" s="93"/>
      <c r="AH13" s="93"/>
      <c r="AI13" s="93"/>
      <c r="AJ13" s="93"/>
      <c r="AK13" s="93" t="s">
        <v>92</v>
      </c>
      <c r="AL13" s="93" t="s">
        <v>93</v>
      </c>
      <c r="AM13" s="93"/>
      <c r="AN13" s="93"/>
      <c r="AO13" s="93"/>
      <c r="AP13" s="93"/>
      <c r="AQ13" s="93"/>
      <c r="AR13" s="93"/>
      <c r="AS13" s="93"/>
      <c r="AT13" s="93"/>
      <c r="AU13" s="4" t="s">
        <v>261</v>
      </c>
      <c r="AV13" s="124">
        <f t="shared" si="2"/>
        <v>709.21875</v>
      </c>
      <c r="AW13" s="124">
        <f t="shared" si="3"/>
        <v>745.859375</v>
      </c>
      <c r="AX13" s="124">
        <f t="shared" si="4"/>
        <v>567.25</v>
      </c>
      <c r="AY13" s="124">
        <f t="shared" si="5"/>
        <v>545.34375</v>
      </c>
      <c r="AZ13" s="124">
        <f t="shared" si="6"/>
        <v>676.21875</v>
      </c>
      <c r="BA13" s="124">
        <f t="shared" si="8"/>
        <v>-3.7734375</v>
      </c>
      <c r="BB13" s="124">
        <f t="shared" si="9"/>
        <v>3.7734375</v>
      </c>
      <c r="BC13" s="4">
        <v>42</v>
      </c>
      <c r="BD13" s="4">
        <v>7.2809999999999997</v>
      </c>
      <c r="BE13" s="4" t="s">
        <v>179</v>
      </c>
      <c r="BF13" s="4" t="s">
        <v>179</v>
      </c>
      <c r="BG13" s="4">
        <v>120</v>
      </c>
      <c r="BH13" s="4">
        <v>161</v>
      </c>
      <c r="BI13" s="4">
        <v>202</v>
      </c>
      <c r="BJ13" s="4">
        <v>243</v>
      </c>
      <c r="BK13" s="4">
        <v>279</v>
      </c>
      <c r="BL13" s="4">
        <v>41</v>
      </c>
      <c r="BM13" s="88"/>
      <c r="BN13" s="88"/>
      <c r="BO13" s="88"/>
      <c r="BP13" s="88"/>
      <c r="BQ13" s="88">
        <v>0.6098181818181817</v>
      </c>
      <c r="BR13" s="88">
        <v>0.57582352941176485</v>
      </c>
      <c r="BS13" s="88">
        <v>0.58013333333333317</v>
      </c>
      <c r="BT13" s="88"/>
      <c r="BU13" s="88">
        <v>0.73649999999999993</v>
      </c>
      <c r="BV13" s="88">
        <v>0.72979999999999989</v>
      </c>
      <c r="BW13" s="88">
        <v>0.73484210526315785</v>
      </c>
      <c r="BX13" s="88">
        <v>0.71343636363636376</v>
      </c>
      <c r="BY13" s="88">
        <v>0.69431531531531521</v>
      </c>
      <c r="BZ13" s="88">
        <v>0.68046428571428552</v>
      </c>
      <c r="CA13" s="4" t="s">
        <v>261</v>
      </c>
      <c r="CB13" s="88">
        <v>24.33644859813084</v>
      </c>
      <c r="CC13" s="88">
        <v>14.317757009345794</v>
      </c>
      <c r="CD13" s="88">
        <v>12.299065420560748</v>
      </c>
      <c r="CE13" s="88">
        <v>11.728971962616823</v>
      </c>
      <c r="CF13" s="88">
        <v>26.420560747663551</v>
      </c>
      <c r="CG13" s="88">
        <v>20.289719626168225</v>
      </c>
      <c r="CH13" s="88">
        <v>8.8504672897196262</v>
      </c>
      <c r="CI13" s="88">
        <v>21.728971962616821</v>
      </c>
      <c r="CJ13" s="88">
        <v>18.850467289719628</v>
      </c>
      <c r="CK13" s="88">
        <v>26.411214953271028</v>
      </c>
      <c r="CL13" s="88">
        <v>7.7943925233644862</v>
      </c>
      <c r="CM13" s="108">
        <v>1.18</v>
      </c>
      <c r="CN13" s="4" t="s">
        <v>179</v>
      </c>
      <c r="CO13" s="4">
        <v>107</v>
      </c>
      <c r="CP13" s="4" t="s">
        <v>168</v>
      </c>
      <c r="CU13" s="4" t="s">
        <v>261</v>
      </c>
      <c r="CV13" s="5" t="s">
        <v>261</v>
      </c>
      <c r="CW13" s="5">
        <v>709.21875</v>
      </c>
      <c r="CX13" s="5">
        <v>745.859375</v>
      </c>
      <c r="CY13" s="5">
        <v>567.25</v>
      </c>
      <c r="CZ13" s="5">
        <v>545.34375</v>
      </c>
      <c r="DA13" s="5">
        <v>676.21875</v>
      </c>
      <c r="DB13" s="157">
        <v>-7.546875</v>
      </c>
      <c r="DC13" s="5">
        <v>64</v>
      </c>
      <c r="DD13" s="5">
        <v>807.95652173913038</v>
      </c>
      <c r="DE13" s="5">
        <v>622.08695652173913</v>
      </c>
      <c r="DF13" s="5">
        <v>641.695652173913</v>
      </c>
      <c r="DG13" s="5">
        <v>400.95652173913044</v>
      </c>
      <c r="DH13" s="5">
        <v>544.91304347826087</v>
      </c>
      <c r="DI13" s="5">
        <v>29.608695652173914</v>
      </c>
      <c r="DJ13" s="5">
        <v>23</v>
      </c>
      <c r="DL13" s="4" t="s">
        <v>261</v>
      </c>
      <c r="DN13" s="5">
        <v>4</v>
      </c>
      <c r="DO13" s="5">
        <v>15</v>
      </c>
      <c r="DP13" s="5">
        <v>19</v>
      </c>
      <c r="DR13" s="5">
        <v>111</v>
      </c>
      <c r="DS13" s="5">
        <v>56</v>
      </c>
      <c r="DX13" s="5">
        <v>11</v>
      </c>
      <c r="DY13" s="5">
        <v>17</v>
      </c>
      <c r="DZ13" s="5">
        <v>15</v>
      </c>
    </row>
    <row r="14" spans="2:130" ht="15" hidden="1" customHeight="1">
      <c r="B14" s="41" t="str">
        <f>B87</f>
        <v>Tour</v>
      </c>
      <c r="C14" s="12">
        <v>2</v>
      </c>
      <c r="D14" s="13">
        <f>T14</f>
        <v>423.25581395348837</v>
      </c>
      <c r="E14" s="50" t="str">
        <f>G87</f>
        <v>(0) Je suis satisfait du réglages</v>
      </c>
      <c r="F14" s="13">
        <f>T25</f>
        <v>931.5</v>
      </c>
      <c r="G14" s="50" t="str">
        <f>G88</f>
        <v>(0) Je suis satisfait du réglages</v>
      </c>
      <c r="H14" s="13">
        <f>T36</f>
        <v>709.72093023255809</v>
      </c>
      <c r="I14" s="50" t="str">
        <f>G89</f>
        <v>(0) Je suis satisfait du réglages</v>
      </c>
      <c r="J14" s="13">
        <f>T47</f>
        <v>728.89534883720933</v>
      </c>
      <c r="K14" s="50" t="str">
        <f>G90</f>
        <v>(0) Je suis satisfait du réglages</v>
      </c>
      <c r="L14" s="13">
        <f>T58</f>
        <v>715.97674418604652</v>
      </c>
      <c r="M14" s="50" t="str">
        <f>G91</f>
        <v>(0) Je suis satisfait du réglages</v>
      </c>
      <c r="Q14" s="94" t="s">
        <v>27</v>
      </c>
      <c r="R14" s="97">
        <f>D13</f>
        <v>355.75581395348837</v>
      </c>
      <c r="S14" s="97">
        <f>VLOOKUP(E13,$Q$3:$V$9,6,FALSE)</f>
        <v>0</v>
      </c>
      <c r="T14" s="97">
        <f>IF(IF(S14=0,R14+$CR$14,IF(S14=-1,R14+$CR$14,IF(S14=-2,R14+(2*$CR$14),IF(S14=-3,R14+(3*$CR$14),IF(S14=1,R14-$CR$14,IF(S14=2,R14-(2*$CR$14),R14-(3*$CR$14)))))))&gt;999,999,IF(S14=0,R14+$CR$14,IF(S14=-1,R14+$CR$14,IF(S14=-2,R14+(2*$CR$14),IF(S14=-3,R14+(3*$CR$14),IF(S14=1,R14-$CR$14,IF(S14=2,R14-(2*$CR$14),R14-(3*$CR$14))))))))</f>
        <v>423.25581395348837</v>
      </c>
      <c r="U14" s="95"/>
      <c r="V14" s="95"/>
      <c r="W14" s="95"/>
      <c r="X14" s="95" t="str">
        <f>$B$13</f>
        <v>Tour</v>
      </c>
      <c r="Y14" s="97">
        <f>IF(S14=0,R14,IF(S14&lt;0,R14,T14))</f>
        <v>355.75581395348837</v>
      </c>
      <c r="Z14" s="97">
        <f>IF(S14&gt;0,R14,T14)</f>
        <v>423.25581395348837</v>
      </c>
      <c r="AA14" s="97">
        <f>AVERAGE(Y14:Z14)</f>
        <v>389.50581395348837</v>
      </c>
      <c r="AB14" s="97">
        <f>ROUND(IF(SUM($S$14:$S$21)&gt;0,AA14-$CR$14,AA14+$CR$14),0)</f>
        <v>457</v>
      </c>
      <c r="AC14" s="97">
        <f>AB14</f>
        <v>457</v>
      </c>
      <c r="AD14" s="98"/>
      <c r="AE14" s="98"/>
      <c r="AF14" s="99"/>
      <c r="AG14" s="98">
        <f>IF(S14=0,R14,999)</f>
        <v>355.75581395348837</v>
      </c>
      <c r="AH14" s="98">
        <f>IF(S14=0,R14,0)</f>
        <v>355.75581395348837</v>
      </c>
      <c r="AI14" s="98">
        <f>IF(S14=0,999,R14)</f>
        <v>999</v>
      </c>
      <c r="AJ14" s="98">
        <f>IF(S14=0,0,R14)</f>
        <v>0</v>
      </c>
      <c r="AK14" s="98">
        <f t="shared" ref="AK14:AK21" si="10">IF(AG14-AH14=999,((AL14+AI14)/2),((AH14+AI14)/2))</f>
        <v>677.37790697674416</v>
      </c>
      <c r="AL14" s="98">
        <f>IF(R14=999,999,IF(AG14-AH14=999,(AJ14+AN14)/2,(AJ14+AG14)/2))</f>
        <v>177.87790697674419</v>
      </c>
      <c r="AM14" s="98"/>
      <c r="AN14" s="98"/>
      <c r="AO14" s="98"/>
      <c r="AP14" s="98"/>
      <c r="AQ14" s="98">
        <f>IF(S14=0,0,S14)</f>
        <v>0</v>
      </c>
      <c r="AR14" s="98">
        <f>R14</f>
        <v>355.75581395348837</v>
      </c>
      <c r="AS14" s="98">
        <f t="shared" ref="AS14:AS15" si="11">IF(X14="Stop",IF(AT14=1,R14-$CR$14,IF(AT14=(-1),R14+$CR$14,IF(AQ13=0,0,((AR13+AR14)/2)+(2*$CQ$14)))),0)</f>
        <v>0</v>
      </c>
      <c r="AT14" s="98">
        <f>IF(AND((AR13=$AR14),AQ13=1),1,IF(AND((AR13=$AR14),AQ13=-1),-1,0))</f>
        <v>0</v>
      </c>
      <c r="AU14" s="4" t="s">
        <v>50</v>
      </c>
      <c r="AV14" s="124">
        <f t="shared" si="2"/>
        <v>546.92753623188401</v>
      </c>
      <c r="AW14" s="124">
        <f t="shared" si="3"/>
        <v>647.56521739130437</v>
      </c>
      <c r="AX14" s="124">
        <f t="shared" si="4"/>
        <v>362.85507246376812</v>
      </c>
      <c r="AY14" s="124">
        <f t="shared" si="5"/>
        <v>419.07246376811594</v>
      </c>
      <c r="AZ14" s="124">
        <f t="shared" si="6"/>
        <v>629.94202898550725</v>
      </c>
      <c r="BA14" s="124">
        <f t="shared" si="8"/>
        <v>-53.123188405797102</v>
      </c>
      <c r="BB14" s="124">
        <f t="shared" si="9"/>
        <v>53.123188405797102</v>
      </c>
      <c r="BC14" s="4">
        <v>57</v>
      </c>
      <c r="BD14" s="4">
        <v>5.4039999999999999</v>
      </c>
      <c r="BE14" s="4" t="s">
        <v>180</v>
      </c>
      <c r="BF14" s="4" t="s">
        <v>179</v>
      </c>
      <c r="BG14" s="4">
        <v>109</v>
      </c>
      <c r="BH14" s="4">
        <v>146</v>
      </c>
      <c r="BI14" s="4">
        <v>183</v>
      </c>
      <c r="BJ14" s="4">
        <v>221</v>
      </c>
      <c r="BK14" s="4">
        <v>254</v>
      </c>
      <c r="BL14" s="4">
        <v>38</v>
      </c>
      <c r="BM14" s="88"/>
      <c r="BN14" s="88"/>
      <c r="BO14" s="88">
        <v>0.61499999999999999</v>
      </c>
      <c r="BP14" s="88">
        <v>0.59475</v>
      </c>
      <c r="BQ14" s="88">
        <v>0.5855999999999999</v>
      </c>
      <c r="BR14" s="88">
        <v>0.55680000000000007</v>
      </c>
      <c r="BS14" s="88">
        <v>0.5396923076923078</v>
      </c>
      <c r="BT14" s="88">
        <v>0.79325000000000012</v>
      </c>
      <c r="BU14" s="88">
        <v>0.76749999999999996</v>
      </c>
      <c r="BV14" s="88">
        <v>0.77044444444444449</v>
      </c>
      <c r="BW14" s="88">
        <v>0.69665999999999983</v>
      </c>
      <c r="BX14" s="88">
        <v>0.6930540540540544</v>
      </c>
      <c r="BY14" s="88">
        <v>0.66584210526315835</v>
      </c>
      <c r="BZ14" s="88">
        <v>0.63413333333333333</v>
      </c>
      <c r="CA14" s="4" t="s">
        <v>50</v>
      </c>
      <c r="CB14" s="88">
        <v>16.074766355140188</v>
      </c>
      <c r="CC14" s="88">
        <v>26.401869158878505</v>
      </c>
      <c r="CD14" s="88">
        <v>18.420560747663551</v>
      </c>
      <c r="CE14" s="88">
        <v>14.953271028037383</v>
      </c>
      <c r="CF14" s="88">
        <v>18.102803738317757</v>
      </c>
      <c r="CG14" s="88">
        <v>16.925233644859812</v>
      </c>
      <c r="CH14" s="88">
        <v>16.289719626168225</v>
      </c>
      <c r="CI14" s="88">
        <v>18.990654205607477</v>
      </c>
      <c r="CJ14" s="88">
        <v>21.981308411214954</v>
      </c>
      <c r="CK14" s="88">
        <v>17.457943925233646</v>
      </c>
      <c r="CL14" s="88">
        <v>13.261682242990654</v>
      </c>
      <c r="CM14" s="108">
        <v>1.18</v>
      </c>
      <c r="CN14" s="4" t="s">
        <v>179</v>
      </c>
      <c r="CO14" s="4">
        <v>107</v>
      </c>
      <c r="CP14" s="4" t="s">
        <v>169</v>
      </c>
      <c r="CQ14" s="4">
        <f>($E$78-(0.4*F146)-(0.04*F148))</f>
        <v>135</v>
      </c>
      <c r="CR14" s="4">
        <f>CQ14/2</f>
        <v>67.5</v>
      </c>
      <c r="CU14" s="4" t="s">
        <v>50</v>
      </c>
      <c r="CV14" s="5" t="s">
        <v>50</v>
      </c>
      <c r="CW14" s="5">
        <v>546.92753623188401</v>
      </c>
      <c r="CX14" s="5">
        <v>647.56521739130437</v>
      </c>
      <c r="CY14" s="5">
        <v>362.85507246376812</v>
      </c>
      <c r="CZ14" s="5">
        <v>419.07246376811594</v>
      </c>
      <c r="DA14" s="5">
        <v>629.94202898550725</v>
      </c>
      <c r="DB14" s="157">
        <v>-106.2463768115942</v>
      </c>
      <c r="DC14" s="5">
        <v>69</v>
      </c>
      <c r="DD14" s="5">
        <v>673.27777777777783</v>
      </c>
      <c r="DE14" s="5">
        <v>544.55555555555554</v>
      </c>
      <c r="DF14" s="5">
        <v>420.77777777777777</v>
      </c>
      <c r="DG14" s="5">
        <v>268.72222222222223</v>
      </c>
      <c r="DH14" s="5">
        <v>500.66666666666669</v>
      </c>
      <c r="DI14" s="5">
        <v>-58.5</v>
      </c>
      <c r="DJ14" s="5">
        <v>18</v>
      </c>
      <c r="DL14" s="4" t="s">
        <v>50</v>
      </c>
      <c r="DM14" s="5">
        <v>4</v>
      </c>
      <c r="DN14" s="5">
        <v>10</v>
      </c>
      <c r="DO14" s="5">
        <v>9</v>
      </c>
      <c r="DP14" s="5">
        <v>50</v>
      </c>
      <c r="DR14" s="5">
        <v>114</v>
      </c>
      <c r="DS14" s="5">
        <v>30</v>
      </c>
      <c r="DV14" s="5">
        <v>1</v>
      </c>
      <c r="DW14" s="5">
        <v>12</v>
      </c>
      <c r="DX14" s="5">
        <v>25</v>
      </c>
      <c r="DY14" s="5">
        <v>10</v>
      </c>
      <c r="DZ14" s="5">
        <v>13</v>
      </c>
    </row>
    <row r="15" spans="2:130" ht="15" hidden="1" customHeight="1">
      <c r="B15" s="43" t="str">
        <f>B93</f>
        <v>Tour</v>
      </c>
      <c r="C15" s="14">
        <v>3</v>
      </c>
      <c r="D15" s="11">
        <f t="shared" ref="D15:D20" si="12">T15</f>
        <v>457.00581395348837</v>
      </c>
      <c r="E15" s="49" t="str">
        <f>G93</f>
        <v>(0) Je suis satisfait du réglages</v>
      </c>
      <c r="F15" s="11">
        <f t="shared" ref="F15:F20" si="13">T26</f>
        <v>965.25</v>
      </c>
      <c r="G15" s="49" t="str">
        <f>G94</f>
        <v>(0) Je suis satisfait du réglages</v>
      </c>
      <c r="H15" s="11">
        <f t="shared" ref="H15:H20" si="14">T37</f>
        <v>743.47093023255809</v>
      </c>
      <c r="I15" s="49" t="str">
        <f>G95</f>
        <v>(0) Je suis satisfait du réglages</v>
      </c>
      <c r="J15" s="11">
        <f t="shared" ref="J15:J20" si="15">T48</f>
        <v>762.64534883720933</v>
      </c>
      <c r="K15" s="49" t="str">
        <f>G96</f>
        <v>(0) Je suis satisfait du réglages</v>
      </c>
      <c r="L15" s="11">
        <f t="shared" ref="L15:L20" si="16">T59</f>
        <v>749.72674418604652</v>
      </c>
      <c r="M15" s="49" t="str">
        <f>G97</f>
        <v>(0) Je suis satisfait du réglages</v>
      </c>
      <c r="Q15" s="94" t="s">
        <v>28</v>
      </c>
      <c r="R15" s="97">
        <f t="shared" ref="R15:R21" si="17">D14</f>
        <v>423.25581395348837</v>
      </c>
      <c r="S15" s="97">
        <f t="shared" ref="S15:S21" si="18">VLOOKUP(E14,$Q$3:$V$9,6,FALSE)</f>
        <v>0</v>
      </c>
      <c r="T15" s="97">
        <f>IF(W15&gt;999,999,IF(W15&lt;1,1,W15))</f>
        <v>457.00581395348837</v>
      </c>
      <c r="U15" s="97">
        <f>IF(OR(S15=-2,S15=2),R15-($CQ$14*2),IF(OR(S15=-3,S15=3),R15-($CQ$14*3),R15-AF15))</f>
        <v>389.50581395348837</v>
      </c>
      <c r="V15" s="97">
        <f t="shared" ref="V15:V21" si="19">IF(OR(S15=-2,S15=2),R15+($CQ$14*2),IF(OR(S15=-3,S15=3),R15+($CQ$14*3),R15+AF15))</f>
        <v>457.00581395348837</v>
      </c>
      <c r="W15" s="97">
        <f>IF(AND(S14-S15=0,S14=0),IF(SUM($S$14:$S$21)&lt;0,U15,V15),IF(AND(S14-S15&gt;0,S15=0),V15,IF(S14-S15&lt;0,IF(S15&gt;=0,U15,V15),IF(AND(S14-S15=0,S15&lt;0),V15,IF(AND(S14-S15&gt;0,S14=0),V15,U15)))))</f>
        <v>457.00581395348837</v>
      </c>
      <c r="X15" s="95" t="str">
        <f>IF(X14="Stop","Stop",$B$14)</f>
        <v>Tour</v>
      </c>
      <c r="Y15" s="97">
        <f t="shared" ref="Y15:Y21" si="20">IF(S15=0,R15,IF(S15&lt;0,R15,T15))</f>
        <v>423.25581395348837</v>
      </c>
      <c r="Z15" s="97">
        <f t="shared" ref="Z15:Z21" si="21">IF(S15&gt;0,R15,T15)</f>
        <v>457.00581395348837</v>
      </c>
      <c r="AA15" s="97">
        <f t="shared" ref="AA15:AA21" si="22">AVERAGE(Y15:Z15)</f>
        <v>440.13081395348837</v>
      </c>
      <c r="AB15" s="97">
        <f>IF(AND(S14=0,S15=0),(R15+R14)/2,ROUND(IF(SUM(S14:S21)&gt;0,AK15-$CR$14,AL15+$CR$14),0))</f>
        <v>389.50581395348837</v>
      </c>
      <c r="AC15" s="97">
        <f t="shared" ref="AC15:AC21" si="23">IF(X15="stop",IF(AS15=0,AC14,AS15),AB15)</f>
        <v>389.50581395348837</v>
      </c>
      <c r="AD15" s="97">
        <f>IF(R15&lt;R14,R15,R14)</f>
        <v>355.75581395348837</v>
      </c>
      <c r="AE15" s="97">
        <f>IF(R15&gt;R14,R15,R14)</f>
        <v>423.25581395348837</v>
      </c>
      <c r="AF15" s="100">
        <f>IF(R14-R15&gt;0,(R14-R15)/2,(R15-R14)/2)</f>
        <v>33.75</v>
      </c>
      <c r="AG15" s="98">
        <f t="shared" ref="AG15:AG21" si="24">IF(S15=0,IF(R15&lt;AG14,R15,AG14),AG14)</f>
        <v>355.75581395348837</v>
      </c>
      <c r="AH15" s="98">
        <f t="shared" ref="AH15:AH21" si="25">IF(S15=0,IF(R15&gt;AH14,R15,AH14),AH14)</f>
        <v>423.25581395348837</v>
      </c>
      <c r="AI15" s="98">
        <f t="shared" ref="AI15:AI21" si="26">IF(S15=0,AI14,IF(R15&lt;AI14,R15,AG14))</f>
        <v>999</v>
      </c>
      <c r="AJ15" s="98">
        <f t="shared" ref="AJ15:AJ21" si="27">IF(S15=0,AJ14,IF(R15&gt;AJ14,R15,AJ14))</f>
        <v>0</v>
      </c>
      <c r="AK15" s="98">
        <f t="shared" si="10"/>
        <v>711.12790697674416</v>
      </c>
      <c r="AL15" s="98">
        <f t="shared" ref="AL15:AL21" si="28">IF(R15=999,999,IF(AG15-AH15=999,(AJ15+AN15)/2,(AJ15+AG15)/2))</f>
        <v>177.87790697674419</v>
      </c>
      <c r="AM15" s="98">
        <f>S15-S14</f>
        <v>0</v>
      </c>
      <c r="AN15" s="98">
        <f t="shared" ref="AN15:AN21" si="29">IF(AM15=0,AN14,R15)</f>
        <v>0</v>
      </c>
      <c r="AO15" s="98">
        <f>IF(S15=S14,0,1)</f>
        <v>0</v>
      </c>
      <c r="AP15" s="98">
        <f>IF(X15="Stop",AP14,IF(AO15=0,(R15+$R$14)/2,AC15))</f>
        <v>389.50581395348837</v>
      </c>
      <c r="AQ15" s="98">
        <f>IF(AQ14=0,0,IF(S15=0,0,S15))</f>
        <v>0</v>
      </c>
      <c r="AR15" s="98">
        <f>IF(AQ15=AQ14,AR14,R15)</f>
        <v>355.75581395348837</v>
      </c>
      <c r="AS15" s="98">
        <f t="shared" si="11"/>
        <v>0</v>
      </c>
      <c r="AT15" s="98">
        <f>IF(AND((AR14=$AR14),AQ14=1),1,IF(AND((AR14=$AR14),AQ14=-1),-1,0))</f>
        <v>0</v>
      </c>
      <c r="AU15" s="4" t="s">
        <v>73</v>
      </c>
      <c r="AV15" s="124">
        <f t="shared" si="2"/>
        <v>381.68235294117648</v>
      </c>
      <c r="AW15" s="124">
        <f t="shared" si="3"/>
        <v>825.47058823529414</v>
      </c>
      <c r="AX15" s="124">
        <f t="shared" si="4"/>
        <v>689.87058823529412</v>
      </c>
      <c r="AY15" s="124">
        <f t="shared" si="5"/>
        <v>451.91764705882355</v>
      </c>
      <c r="AZ15" s="124">
        <f t="shared" si="6"/>
        <v>870.49411764705883</v>
      </c>
      <c r="BA15" s="124">
        <f t="shared" si="8"/>
        <v>-5.5</v>
      </c>
      <c r="BB15" s="124">
        <f t="shared" si="9"/>
        <v>5.5</v>
      </c>
      <c r="BC15" s="4">
        <v>80</v>
      </c>
      <c r="BD15" s="4">
        <v>3.0710000000000002</v>
      </c>
      <c r="BE15" s="4" t="s">
        <v>181</v>
      </c>
      <c r="BF15" s="4" t="s">
        <v>182</v>
      </c>
      <c r="BG15" s="4">
        <v>134</v>
      </c>
      <c r="BH15" s="4">
        <v>180</v>
      </c>
      <c r="BI15" s="4">
        <v>226</v>
      </c>
      <c r="BJ15" s="4">
        <v>272</v>
      </c>
      <c r="BK15" s="4">
        <v>313</v>
      </c>
      <c r="BL15" s="4">
        <v>46</v>
      </c>
      <c r="BM15" s="88"/>
      <c r="BN15" s="88">
        <v>0.69899999999999995</v>
      </c>
      <c r="BO15" s="88">
        <v>0.67166666666666675</v>
      </c>
      <c r="BP15" s="88">
        <v>0.63300000000000001</v>
      </c>
      <c r="BQ15" s="88">
        <v>0.63327777777777783</v>
      </c>
      <c r="BR15" s="88">
        <v>0.60614285714285698</v>
      </c>
      <c r="BS15" s="88">
        <v>0.6085454545454545</v>
      </c>
      <c r="BT15" s="88"/>
      <c r="BU15" s="88">
        <v>0.83605555555555544</v>
      </c>
      <c r="BV15" s="88">
        <v>0.84157142857142841</v>
      </c>
      <c r="BW15" s="88">
        <v>0.79305555555555562</v>
      </c>
      <c r="BX15" s="88">
        <v>0.76509677419354816</v>
      </c>
      <c r="BY15" s="88">
        <v>0.74266197183098548</v>
      </c>
      <c r="BZ15" s="88">
        <v>0.72542857142857109</v>
      </c>
      <c r="CA15" s="4" t="s">
        <v>73</v>
      </c>
      <c r="CB15" s="88">
        <v>19.807339449541285</v>
      </c>
      <c r="CC15" s="88">
        <v>43.220183486238533</v>
      </c>
      <c r="CD15" s="88">
        <v>19.853211009174313</v>
      </c>
      <c r="CE15" s="88">
        <v>21.559633027522935</v>
      </c>
      <c r="CF15" s="88">
        <v>26.293577981651374</v>
      </c>
      <c r="CG15" s="88">
        <v>19.009174311926607</v>
      </c>
      <c r="CH15" s="88">
        <v>15.79816513761468</v>
      </c>
      <c r="CI15" s="88">
        <v>30.587155963302752</v>
      </c>
      <c r="CJ15" s="88">
        <v>38.77064220183486</v>
      </c>
      <c r="CK15" s="88">
        <v>22.541284403669724</v>
      </c>
      <c r="CL15" s="88">
        <v>18.770642201834864</v>
      </c>
      <c r="CM15" s="108">
        <v>1.05</v>
      </c>
      <c r="CN15" s="4" t="s">
        <v>182</v>
      </c>
      <c r="CO15" s="4">
        <v>109</v>
      </c>
      <c r="CP15" s="4" t="s">
        <v>170</v>
      </c>
      <c r="CQ15" s="4">
        <f>($E$78-(0.15*F142)-(0.22*F144)-(0.04*F148))</f>
        <v>135</v>
      </c>
      <c r="CR15" s="141">
        <f t="shared" ref="CR15:CR18" si="30">CQ15/2</f>
        <v>67.5</v>
      </c>
      <c r="CU15" s="4" t="s">
        <v>73</v>
      </c>
      <c r="CV15" s="5" t="s">
        <v>73</v>
      </c>
      <c r="CW15" s="5">
        <v>381.68235294117648</v>
      </c>
      <c r="CX15" s="5">
        <v>825.47058823529414</v>
      </c>
      <c r="CY15" s="5">
        <v>689.87058823529412</v>
      </c>
      <c r="CZ15" s="5">
        <v>451.91764705882355</v>
      </c>
      <c r="DA15" s="5">
        <v>870.49411764705883</v>
      </c>
      <c r="DB15" s="157">
        <v>-11</v>
      </c>
      <c r="DC15" s="5">
        <v>85</v>
      </c>
      <c r="DD15" s="5">
        <v>527.33333333333337</v>
      </c>
      <c r="DE15" s="5">
        <v>696.33333333333337</v>
      </c>
      <c r="DF15" s="5">
        <v>761.66666666666663</v>
      </c>
      <c r="DG15" s="5">
        <v>363.33333333333331</v>
      </c>
      <c r="DH15" s="5">
        <v>778.66666666666663</v>
      </c>
      <c r="DI15" s="5">
        <v>46.666666666666664</v>
      </c>
      <c r="DJ15" s="5">
        <v>3</v>
      </c>
      <c r="DL15" s="4" t="s">
        <v>73</v>
      </c>
      <c r="DN15" s="5">
        <v>18</v>
      </c>
      <c r="DO15" s="5">
        <v>7</v>
      </c>
      <c r="DP15" s="5">
        <v>18</v>
      </c>
      <c r="DR15" s="5">
        <v>71</v>
      </c>
      <c r="DS15" s="5">
        <v>70</v>
      </c>
      <c r="DU15" s="5">
        <v>2</v>
      </c>
      <c r="DV15" s="5">
        <v>3</v>
      </c>
      <c r="DW15" s="5">
        <v>8</v>
      </c>
      <c r="DX15" s="5">
        <v>18</v>
      </c>
      <c r="DY15" s="5">
        <v>14</v>
      </c>
      <c r="DZ15" s="5">
        <v>11</v>
      </c>
    </row>
    <row r="16" spans="2:130" ht="15" hidden="1" customHeight="1">
      <c r="B16" s="41" t="str">
        <f>B99</f>
        <v>Tour</v>
      </c>
      <c r="C16" s="12">
        <v>4</v>
      </c>
      <c r="D16" s="13">
        <f t="shared" si="12"/>
        <v>473.88081395348837</v>
      </c>
      <c r="E16" s="50" t="str">
        <f>G99</f>
        <v>(0) Je suis satisfait du réglages</v>
      </c>
      <c r="F16" s="13">
        <f t="shared" si="13"/>
        <v>982.125</v>
      </c>
      <c r="G16" s="50" t="str">
        <f>G100</f>
        <v>(0) Je suis satisfait du réglages</v>
      </c>
      <c r="H16" s="13">
        <f t="shared" si="14"/>
        <v>760.34593023255809</v>
      </c>
      <c r="I16" s="50" t="str">
        <f>G101</f>
        <v>(0) Je suis satisfait du réglages</v>
      </c>
      <c r="J16" s="13">
        <f t="shared" si="15"/>
        <v>779.52034883720933</v>
      </c>
      <c r="K16" s="50" t="str">
        <f>G102</f>
        <v>(0) Je suis satisfait du réglages</v>
      </c>
      <c r="L16" s="13">
        <f t="shared" si="16"/>
        <v>766.60174418604652</v>
      </c>
      <c r="M16" s="50" t="str">
        <f>G103</f>
        <v>(0) Je suis satisfait du réglages</v>
      </c>
      <c r="Q16" s="94" t="s">
        <v>29</v>
      </c>
      <c r="R16" s="97">
        <f t="shared" si="17"/>
        <v>457.00581395348837</v>
      </c>
      <c r="S16" s="97">
        <f t="shared" si="18"/>
        <v>0</v>
      </c>
      <c r="T16" s="97">
        <f t="shared" ref="T16:T21" si="31">IF(W16&gt;999,999,IF(W16&lt;1,1,W16))</f>
        <v>473.88081395348837</v>
      </c>
      <c r="U16" s="97">
        <f t="shared" ref="U16:U21" si="32">IF(OR(S16=-2,S16=2),R16-($CQ$14*2),IF(OR(S16=-3,S16=3),R16-($CQ$14*3),R16-AF16))</f>
        <v>440.13081395348837</v>
      </c>
      <c r="V16" s="97">
        <f t="shared" si="19"/>
        <v>473.88081395348837</v>
      </c>
      <c r="W16" s="97">
        <f t="shared" ref="W16:W21" si="33">IF(AND(S15-S16=0,S15=0),IF(SUM($S$14:$S$21)&lt;0,U16,V16),IF(AND(S15-S16&gt;0,S16=0),V16,IF(S15-S16&lt;0,IF(S16&gt;=0,U16,V16),IF(AND(S15-S16=0,S16&lt;0),V16,IF(AND(S15-S16&gt;0,S15=0),V16,U16)))))</f>
        <v>473.88081395348837</v>
      </c>
      <c r="X16" s="95" t="str">
        <f>IF(X15="Stop","Stop",$B$15)</f>
        <v>Tour</v>
      </c>
      <c r="Y16" s="97">
        <f t="shared" si="20"/>
        <v>457.00581395348837</v>
      </c>
      <c r="Z16" s="97">
        <f t="shared" si="21"/>
        <v>473.88081395348837</v>
      </c>
      <c r="AA16" s="97">
        <f t="shared" si="22"/>
        <v>465.44331395348837</v>
      </c>
      <c r="AB16" s="97">
        <f>IF(AND(S14=0,S15=0,S16=0),(R16+R14)/2,ROUND(IF(SUM(S14:S21)&gt;0,AK16-$CR$14,AL16+$CR$14),0))</f>
        <v>406.38081395348837</v>
      </c>
      <c r="AC16" s="97">
        <f t="shared" si="23"/>
        <v>406.38081395348837</v>
      </c>
      <c r="AD16" s="97">
        <f t="shared" ref="AD16:AD21" si="34">IF(R16&lt;R15,R16,R15)</f>
        <v>423.25581395348837</v>
      </c>
      <c r="AE16" s="97">
        <f t="shared" ref="AE16:AE21" si="35">IF(R16&gt;R15,R16,R15)</f>
        <v>457.00581395348837</v>
      </c>
      <c r="AF16" s="100">
        <f t="shared" ref="AF16:AF21" si="36">IF(R15-R16&gt;0,(R15-R16)/2,(R16-R15)/2)</f>
        <v>16.875</v>
      </c>
      <c r="AG16" s="98">
        <f t="shared" si="24"/>
        <v>355.75581395348837</v>
      </c>
      <c r="AH16" s="98">
        <f t="shared" si="25"/>
        <v>457.00581395348837</v>
      </c>
      <c r="AI16" s="98">
        <f t="shared" si="26"/>
        <v>999</v>
      </c>
      <c r="AJ16" s="98">
        <f t="shared" si="27"/>
        <v>0</v>
      </c>
      <c r="AK16" s="98">
        <f t="shared" si="10"/>
        <v>728.00290697674416</v>
      </c>
      <c r="AL16" s="98">
        <f t="shared" si="28"/>
        <v>177.87790697674419</v>
      </c>
      <c r="AM16" s="98">
        <f t="shared" ref="AM16:AM21" si="37">S16-S15</f>
        <v>0</v>
      </c>
      <c r="AN16" s="98">
        <f t="shared" si="29"/>
        <v>0</v>
      </c>
      <c r="AO16" s="98">
        <f t="shared" ref="AO16:AO21" si="38">IF(S16=S15,0,1)</f>
        <v>0</v>
      </c>
      <c r="AP16" s="98">
        <f t="shared" ref="AP16:AP21" si="39">IF(X16="Stop",AP15,IF(AO16=0,(R16+$R$14)/2,AC16))</f>
        <v>406.38081395348837</v>
      </c>
      <c r="AQ16" s="98">
        <f t="shared" ref="AQ16:AQ21" si="40">IF(AQ15=0,0,IF(S16=0,0,S16))</f>
        <v>0</v>
      </c>
      <c r="AR16" s="98">
        <f t="shared" ref="AR16:AR21" si="41">IF(AQ16=AQ15,AR15,R16)</f>
        <v>355.75581395348837</v>
      </c>
      <c r="AS16" s="98">
        <f t="shared" ref="AS16:AS19" si="42">IF(X16="Stop",IF(AT16=1,R16-$CR$14,IF(AT16=(-1),R16+$CR$14,IF(AQ15=0,0,((AR15+AR16)/2)+(2*$CQ$14)))),0)</f>
        <v>0</v>
      </c>
      <c r="AT16" s="98">
        <f>IF(AND((AR15=$AR14),AQ15=1),1,IF(AND((AR15=$AR14),AQ15=-1),-1,0))</f>
        <v>0</v>
      </c>
      <c r="AU16" s="4" t="s">
        <v>38</v>
      </c>
      <c r="AV16" s="124">
        <f t="shared" si="2"/>
        <v>853.67708333333337</v>
      </c>
      <c r="AW16" s="124">
        <f t="shared" si="3"/>
        <v>657.66666666666663</v>
      </c>
      <c r="AX16" s="124">
        <f t="shared" si="4"/>
        <v>240.45833333333334</v>
      </c>
      <c r="AY16" s="124">
        <f t="shared" si="5"/>
        <v>525.17708333333337</v>
      </c>
      <c r="AZ16" s="124">
        <f t="shared" si="6"/>
        <v>851.35416666666663</v>
      </c>
      <c r="BA16" s="124">
        <f t="shared" si="8"/>
        <v>8.8177083333333339</v>
      </c>
      <c r="BB16" s="124">
        <f t="shared" si="9"/>
        <v>-8.8177083333333339</v>
      </c>
      <c r="BC16" s="4">
        <v>72</v>
      </c>
      <c r="BD16" s="4">
        <v>4.3600000000000003</v>
      </c>
      <c r="BE16" s="4" t="s">
        <v>180</v>
      </c>
      <c r="BF16" s="4" t="s">
        <v>183</v>
      </c>
      <c r="BG16" s="4">
        <v>109</v>
      </c>
      <c r="BH16" s="4">
        <v>146</v>
      </c>
      <c r="BI16" s="4">
        <v>183</v>
      </c>
      <c r="BJ16" s="4">
        <v>221</v>
      </c>
      <c r="BK16" s="4">
        <v>254</v>
      </c>
      <c r="BL16" s="4">
        <v>38</v>
      </c>
      <c r="BM16" s="88"/>
      <c r="BN16" s="88">
        <v>0.5043333333333333</v>
      </c>
      <c r="BO16" s="88">
        <v>0.48449999999999993</v>
      </c>
      <c r="BP16" s="88">
        <v>0.46325</v>
      </c>
      <c r="BQ16" s="88">
        <v>0.44884210526315782</v>
      </c>
      <c r="BR16" s="88">
        <v>0.43077777777777781</v>
      </c>
      <c r="BS16" s="88">
        <v>0.42499999999999999</v>
      </c>
      <c r="BT16" s="88">
        <v>0.72364285714285714</v>
      </c>
      <c r="BU16" s="88">
        <v>0.71230769230769231</v>
      </c>
      <c r="BV16" s="88">
        <v>0.69241176470588217</v>
      </c>
      <c r="BW16" s="88">
        <v>0.65056250000000004</v>
      </c>
      <c r="BX16" s="88">
        <v>0.63861855670103074</v>
      </c>
      <c r="BY16" s="88">
        <v>0.61471874999999998</v>
      </c>
      <c r="BZ16" s="88">
        <v>0.61026666666666662</v>
      </c>
      <c r="CA16" s="4" t="s">
        <v>38</v>
      </c>
      <c r="CB16" s="88">
        <v>20.133858267716537</v>
      </c>
      <c r="CC16" s="88">
        <v>34.897637795275593</v>
      </c>
      <c r="CD16" s="88">
        <v>15.559055118110237</v>
      </c>
      <c r="CE16" s="88">
        <v>19.30708661417323</v>
      </c>
      <c r="CF16" s="88">
        <v>14.086614173228346</v>
      </c>
      <c r="CG16" s="88">
        <v>12.259842519685039</v>
      </c>
      <c r="CH16" s="88">
        <v>17.055118110236222</v>
      </c>
      <c r="CI16" s="88">
        <v>35.110236220472444</v>
      </c>
      <c r="CJ16" s="88">
        <v>45.228346456692911</v>
      </c>
      <c r="CK16" s="88">
        <v>32.874015748031496</v>
      </c>
      <c r="CL16" s="88">
        <v>13.598425196850394</v>
      </c>
      <c r="CM16" s="108">
        <v>1.31</v>
      </c>
      <c r="CN16" s="4" t="s">
        <v>183</v>
      </c>
      <c r="CO16" s="4">
        <v>127</v>
      </c>
      <c r="CP16" s="4" t="s">
        <v>171</v>
      </c>
      <c r="CQ16" s="4">
        <f>($E$78-(0.24*F142)-(0.01*F146)-(0.09*F144)-(0.06*F148))</f>
        <v>135</v>
      </c>
      <c r="CR16" s="141">
        <f t="shared" si="30"/>
        <v>67.5</v>
      </c>
      <c r="CU16" s="4" t="s">
        <v>38</v>
      </c>
      <c r="CV16" s="5" t="s">
        <v>38</v>
      </c>
      <c r="CW16" s="5">
        <v>853.67708333333337</v>
      </c>
      <c r="CX16" s="5">
        <v>657.66666666666663</v>
      </c>
      <c r="CY16" s="5">
        <v>240.45833333333334</v>
      </c>
      <c r="CZ16" s="5">
        <v>525.17708333333337</v>
      </c>
      <c r="DA16" s="5">
        <v>851.35416666666663</v>
      </c>
      <c r="DB16" s="157">
        <v>17.635416666666668</v>
      </c>
      <c r="DC16" s="5">
        <v>96</v>
      </c>
      <c r="DD16" s="5">
        <v>965</v>
      </c>
      <c r="DE16" s="5">
        <v>518.28571428571433</v>
      </c>
      <c r="DF16" s="5">
        <v>370</v>
      </c>
      <c r="DG16" s="5">
        <v>432.28571428571428</v>
      </c>
      <c r="DH16" s="5">
        <v>678.85714285714289</v>
      </c>
      <c r="DI16" s="5">
        <v>-8.8571428571428577</v>
      </c>
      <c r="DJ16" s="5">
        <v>7</v>
      </c>
      <c r="DL16" s="4" t="s">
        <v>38</v>
      </c>
      <c r="DM16" s="5">
        <v>14</v>
      </c>
      <c r="DN16" s="5">
        <v>13</v>
      </c>
      <c r="DO16" s="5">
        <v>17</v>
      </c>
      <c r="DP16" s="5">
        <v>16</v>
      </c>
      <c r="DR16" s="5">
        <v>160</v>
      </c>
      <c r="DS16" s="5">
        <v>30</v>
      </c>
      <c r="DU16" s="5">
        <v>3</v>
      </c>
      <c r="DV16" s="5">
        <v>4</v>
      </c>
      <c r="DW16" s="5">
        <v>4</v>
      </c>
      <c r="DX16" s="5">
        <v>19</v>
      </c>
      <c r="DY16" s="5">
        <v>9</v>
      </c>
      <c r="DZ16" s="5">
        <v>2</v>
      </c>
    </row>
    <row r="17" spans="2:130" ht="15" hidden="1" customHeight="1">
      <c r="B17" s="43" t="str">
        <f>B105</f>
        <v>Tour</v>
      </c>
      <c r="C17" s="14">
        <v>5</v>
      </c>
      <c r="D17" s="11">
        <f t="shared" si="12"/>
        <v>482.31831395348837</v>
      </c>
      <c r="E17" s="49" t="str">
        <f>G105</f>
        <v>(0) Je suis satisfait du réglages</v>
      </c>
      <c r="F17" s="11">
        <f t="shared" si="13"/>
        <v>990.5625</v>
      </c>
      <c r="G17" s="49" t="str">
        <f>G106</f>
        <v>(0) Je suis satisfait du réglages</v>
      </c>
      <c r="H17" s="11">
        <f t="shared" si="14"/>
        <v>768.78343023255809</v>
      </c>
      <c r="I17" s="49" t="str">
        <f>G107</f>
        <v>(0) Je suis satisfait du réglages</v>
      </c>
      <c r="J17" s="11">
        <f t="shared" si="15"/>
        <v>787.95784883720933</v>
      </c>
      <c r="K17" s="49" t="str">
        <f>G108</f>
        <v>(0) Je suis satisfait du réglages</v>
      </c>
      <c r="L17" s="11">
        <f t="shared" si="16"/>
        <v>775.03924418604652</v>
      </c>
      <c r="M17" s="49" t="str">
        <f>G109</f>
        <v>(0) Je suis satisfait du réglages</v>
      </c>
      <c r="Q17" s="94" t="s">
        <v>30</v>
      </c>
      <c r="R17" s="97">
        <f t="shared" si="17"/>
        <v>473.88081395348837</v>
      </c>
      <c r="S17" s="97">
        <f t="shared" si="18"/>
        <v>0</v>
      </c>
      <c r="T17" s="97">
        <f t="shared" si="31"/>
        <v>482.31831395348837</v>
      </c>
      <c r="U17" s="97">
        <f t="shared" si="32"/>
        <v>465.44331395348837</v>
      </c>
      <c r="V17" s="97">
        <f t="shared" si="19"/>
        <v>482.31831395348837</v>
      </c>
      <c r="W17" s="97">
        <f t="shared" si="33"/>
        <v>482.31831395348837</v>
      </c>
      <c r="X17" s="95" t="str">
        <f>IF(X16="Stop","Stop",$B$16)</f>
        <v>Tour</v>
      </c>
      <c r="Y17" s="97">
        <f t="shared" si="20"/>
        <v>473.88081395348837</v>
      </c>
      <c r="Z17" s="97">
        <f t="shared" si="21"/>
        <v>482.31831395348837</v>
      </c>
      <c r="AA17" s="97">
        <f t="shared" si="22"/>
        <v>478.09956395348837</v>
      </c>
      <c r="AB17" s="97">
        <f>IF(AND(S14=0,S15=0,S16=0,S17=0),(R17+R14)/2,ROUND(IF(SUM(S14:S21)&gt;0,AK17-$CR$14,AL17+$CR$14),0))</f>
        <v>414.81831395348837</v>
      </c>
      <c r="AC17" s="97">
        <f t="shared" si="23"/>
        <v>414.81831395348837</v>
      </c>
      <c r="AD17" s="97">
        <f t="shared" si="34"/>
        <v>457.00581395348837</v>
      </c>
      <c r="AE17" s="97">
        <f t="shared" si="35"/>
        <v>473.88081395348837</v>
      </c>
      <c r="AF17" s="100">
        <f t="shared" si="36"/>
        <v>8.4375</v>
      </c>
      <c r="AG17" s="98">
        <f t="shared" si="24"/>
        <v>355.75581395348837</v>
      </c>
      <c r="AH17" s="98">
        <f t="shared" si="25"/>
        <v>473.88081395348837</v>
      </c>
      <c r="AI17" s="98">
        <f t="shared" si="26"/>
        <v>999</v>
      </c>
      <c r="AJ17" s="98">
        <f t="shared" si="27"/>
        <v>0</v>
      </c>
      <c r="AK17" s="98">
        <f t="shared" si="10"/>
        <v>736.44040697674416</v>
      </c>
      <c r="AL17" s="98">
        <f t="shared" si="28"/>
        <v>177.87790697674419</v>
      </c>
      <c r="AM17" s="98">
        <f t="shared" si="37"/>
        <v>0</v>
      </c>
      <c r="AN17" s="98">
        <f t="shared" si="29"/>
        <v>0</v>
      </c>
      <c r="AO17" s="98">
        <f t="shared" si="38"/>
        <v>0</v>
      </c>
      <c r="AP17" s="98">
        <f t="shared" si="39"/>
        <v>414.81831395348837</v>
      </c>
      <c r="AQ17" s="98">
        <f t="shared" si="40"/>
        <v>0</v>
      </c>
      <c r="AR17" s="98">
        <f t="shared" si="41"/>
        <v>355.75581395348837</v>
      </c>
      <c r="AS17" s="98">
        <f t="shared" si="42"/>
        <v>0</v>
      </c>
      <c r="AT17" s="98">
        <f>IF(AND((AR16=$AR14),AQ16=1),1,IF(AND((AR16=$AR14),AQ16=-1),-1,0))</f>
        <v>0</v>
      </c>
      <c r="AU17" s="4" t="s">
        <v>71</v>
      </c>
      <c r="AV17" s="124">
        <f t="shared" si="2"/>
        <v>499.68</v>
      </c>
      <c r="AW17" s="124">
        <f t="shared" si="3"/>
        <v>806.98666666666668</v>
      </c>
      <c r="AX17" s="124">
        <f t="shared" si="4"/>
        <v>280.39999999999998</v>
      </c>
      <c r="AY17" s="124">
        <f t="shared" si="5"/>
        <v>581.76</v>
      </c>
      <c r="AZ17" s="124">
        <f t="shared" si="6"/>
        <v>722.73333333333335</v>
      </c>
      <c r="BA17" s="124">
        <f t="shared" si="8"/>
        <v>-39.266666666666666</v>
      </c>
      <c r="BB17" s="124">
        <f t="shared" si="9"/>
        <v>39.266666666666666</v>
      </c>
      <c r="BC17" s="4">
        <v>70</v>
      </c>
      <c r="BD17" s="4">
        <v>4.258</v>
      </c>
      <c r="BE17" s="4" t="s">
        <v>179</v>
      </c>
      <c r="BF17" s="4" t="s">
        <v>179</v>
      </c>
      <c r="BG17" s="4">
        <v>120</v>
      </c>
      <c r="BH17" s="4">
        <v>161</v>
      </c>
      <c r="BI17" s="4">
        <v>202</v>
      </c>
      <c r="BJ17" s="4">
        <v>243</v>
      </c>
      <c r="BK17" s="4">
        <v>279</v>
      </c>
      <c r="BL17" s="4">
        <v>41</v>
      </c>
      <c r="BM17" s="88"/>
      <c r="BN17" s="88"/>
      <c r="BO17" s="88"/>
      <c r="BP17" s="88">
        <v>0.58599999999999997</v>
      </c>
      <c r="BQ17" s="88">
        <v>0.55300000000000005</v>
      </c>
      <c r="BR17" s="88">
        <v>0.51666666666666661</v>
      </c>
      <c r="BS17" s="88"/>
      <c r="BT17" s="88">
        <v>0.81733333333333336</v>
      </c>
      <c r="BU17" s="88">
        <v>0.76078947368421046</v>
      </c>
      <c r="BV17" s="88">
        <v>0.73480769230769249</v>
      </c>
      <c r="BW17" s="88">
        <v>0.69981481481481511</v>
      </c>
      <c r="BX17" s="88">
        <v>0.71282499999999993</v>
      </c>
      <c r="BY17" s="88">
        <v>0.66883050847457692</v>
      </c>
      <c r="BZ17" s="88">
        <v>0.64458620689655188</v>
      </c>
      <c r="CA17" s="4" t="s">
        <v>71</v>
      </c>
      <c r="CB17" s="88">
        <v>14.954545454545455</v>
      </c>
      <c r="CC17" s="88">
        <v>34.490909090909092</v>
      </c>
      <c r="CD17" s="88">
        <v>19.536363636363635</v>
      </c>
      <c r="CE17" s="88">
        <v>16.772727272727273</v>
      </c>
      <c r="CF17" s="88">
        <v>19.418181818181818</v>
      </c>
      <c r="CG17" s="88">
        <v>13.272727272727273</v>
      </c>
      <c r="CH17" s="88">
        <v>9.9818181818181824</v>
      </c>
      <c r="CI17" s="88">
        <v>24.545454545454547</v>
      </c>
      <c r="CJ17" s="88">
        <v>28.981818181818181</v>
      </c>
      <c r="CK17" s="88">
        <v>22.490909090909092</v>
      </c>
      <c r="CL17" s="88">
        <v>9.536363636363637</v>
      </c>
      <c r="CM17" s="108">
        <v>1.2</v>
      </c>
      <c r="CN17" s="4" t="s">
        <v>179</v>
      </c>
      <c r="CO17" s="4">
        <v>110</v>
      </c>
      <c r="CP17" s="4" t="s">
        <v>172</v>
      </c>
      <c r="CQ17" s="4">
        <f>($E$78-(0.07*F142)-(0.29*F144)-(0.06*F148))</f>
        <v>135</v>
      </c>
      <c r="CR17" s="141">
        <f t="shared" si="30"/>
        <v>67.5</v>
      </c>
      <c r="CU17" s="4" t="s">
        <v>71</v>
      </c>
      <c r="CV17" s="5" t="s">
        <v>71</v>
      </c>
      <c r="CW17" s="5">
        <v>499.68</v>
      </c>
      <c r="CX17" s="5">
        <v>806.98666666666668</v>
      </c>
      <c r="CY17" s="5">
        <v>280.39999999999998</v>
      </c>
      <c r="CZ17" s="5">
        <v>581.76</v>
      </c>
      <c r="DA17" s="5">
        <v>722.73333333333335</v>
      </c>
      <c r="DB17" s="157">
        <v>-78.533333333333331</v>
      </c>
      <c r="DC17" s="5">
        <v>75</v>
      </c>
      <c r="DD17" s="5">
        <v>594.64285714285711</v>
      </c>
      <c r="DE17" s="5">
        <v>734.21428571428567</v>
      </c>
      <c r="DF17" s="5">
        <v>295.57142857142856</v>
      </c>
      <c r="DG17" s="5">
        <v>485</v>
      </c>
      <c r="DH17" s="5">
        <v>634.14285714285711</v>
      </c>
      <c r="DI17" s="5">
        <v>-13.714285714285714</v>
      </c>
      <c r="DJ17" s="5">
        <v>14</v>
      </c>
      <c r="DL17" s="4" t="s">
        <v>71</v>
      </c>
      <c r="DM17" s="5">
        <v>3</v>
      </c>
      <c r="DN17" s="5">
        <v>19</v>
      </c>
      <c r="DO17" s="5">
        <v>26</v>
      </c>
      <c r="DP17" s="5">
        <v>27</v>
      </c>
      <c r="DR17" s="5">
        <v>177</v>
      </c>
      <c r="DS17" s="5">
        <v>29</v>
      </c>
      <c r="DW17" s="5">
        <v>2</v>
      </c>
      <c r="DX17" s="5">
        <v>2</v>
      </c>
      <c r="DY17" s="5">
        <v>6</v>
      </c>
    </row>
    <row r="18" spans="2:130" ht="15" hidden="1" customHeight="1">
      <c r="B18" s="41" t="str">
        <f>B111</f>
        <v>Tour</v>
      </c>
      <c r="C18" s="12">
        <v>6</v>
      </c>
      <c r="D18" s="13">
        <f t="shared" si="12"/>
        <v>486.53706395348837</v>
      </c>
      <c r="E18" s="50" t="str">
        <f>G111</f>
        <v>(0) Je suis satisfait du réglages</v>
      </c>
      <c r="F18" s="13">
        <f t="shared" si="13"/>
        <v>994.78125</v>
      </c>
      <c r="G18" s="50" t="str">
        <f>G112</f>
        <v>(0) Je suis satisfait du réglages</v>
      </c>
      <c r="H18" s="13">
        <f t="shared" si="14"/>
        <v>773.00218023255809</v>
      </c>
      <c r="I18" s="50" t="str">
        <f>G113</f>
        <v>(0) Je suis satisfait du réglages</v>
      </c>
      <c r="J18" s="13">
        <f t="shared" si="15"/>
        <v>792.17659883720933</v>
      </c>
      <c r="K18" s="50" t="str">
        <f>G114</f>
        <v>(0) Je suis satisfait du réglages</v>
      </c>
      <c r="L18" s="13">
        <f t="shared" si="16"/>
        <v>779.25799418604652</v>
      </c>
      <c r="M18" s="50" t="str">
        <f>G115</f>
        <v>(0) Je suis satisfait du réglages</v>
      </c>
      <c r="Q18" s="94" t="s">
        <v>31</v>
      </c>
      <c r="R18" s="97">
        <f t="shared" si="17"/>
        <v>482.31831395348837</v>
      </c>
      <c r="S18" s="97">
        <f t="shared" si="18"/>
        <v>0</v>
      </c>
      <c r="T18" s="97">
        <f t="shared" si="31"/>
        <v>486.53706395348837</v>
      </c>
      <c r="U18" s="97">
        <f t="shared" si="32"/>
        <v>478.09956395348837</v>
      </c>
      <c r="V18" s="97">
        <f t="shared" si="19"/>
        <v>486.53706395348837</v>
      </c>
      <c r="W18" s="97">
        <f t="shared" si="33"/>
        <v>486.53706395348837</v>
      </c>
      <c r="X18" s="95" t="str">
        <f>IF(X17="Stop","Stop",$B$17)</f>
        <v>Tour</v>
      </c>
      <c r="Y18" s="97">
        <f t="shared" si="20"/>
        <v>482.31831395348837</v>
      </c>
      <c r="Z18" s="97">
        <f t="shared" si="21"/>
        <v>486.53706395348837</v>
      </c>
      <c r="AA18" s="97">
        <f t="shared" si="22"/>
        <v>484.42768895348837</v>
      </c>
      <c r="AB18" s="97">
        <f>IF(AND(S14=0,S15=0,S16=0,S17=0,S18=0),(R18+R14)/2,ROUND(IF(SUM(S14:S21)&gt;0,AK18-$CR$14,AL18+$CR$14),0))</f>
        <v>419.03706395348837</v>
      </c>
      <c r="AC18" s="97">
        <f t="shared" si="23"/>
        <v>419.03706395348837</v>
      </c>
      <c r="AD18" s="97">
        <f t="shared" si="34"/>
        <v>473.88081395348837</v>
      </c>
      <c r="AE18" s="97">
        <f t="shared" si="35"/>
        <v>482.31831395348837</v>
      </c>
      <c r="AF18" s="100">
        <f t="shared" si="36"/>
        <v>4.21875</v>
      </c>
      <c r="AG18" s="98">
        <f t="shared" si="24"/>
        <v>355.75581395348837</v>
      </c>
      <c r="AH18" s="98">
        <f t="shared" si="25"/>
        <v>482.31831395348837</v>
      </c>
      <c r="AI18" s="98">
        <f t="shared" si="26"/>
        <v>999</v>
      </c>
      <c r="AJ18" s="98">
        <f t="shared" si="27"/>
        <v>0</v>
      </c>
      <c r="AK18" s="98">
        <f t="shared" si="10"/>
        <v>740.65915697674416</v>
      </c>
      <c r="AL18" s="98">
        <f t="shared" si="28"/>
        <v>177.87790697674419</v>
      </c>
      <c r="AM18" s="98">
        <f t="shared" si="37"/>
        <v>0</v>
      </c>
      <c r="AN18" s="98">
        <f t="shared" si="29"/>
        <v>0</v>
      </c>
      <c r="AO18" s="98">
        <f t="shared" si="38"/>
        <v>0</v>
      </c>
      <c r="AP18" s="98">
        <f t="shared" si="39"/>
        <v>419.03706395348837</v>
      </c>
      <c r="AQ18" s="98">
        <f t="shared" si="40"/>
        <v>0</v>
      </c>
      <c r="AR18" s="98">
        <f t="shared" si="41"/>
        <v>355.75581395348837</v>
      </c>
      <c r="AS18" s="98">
        <f t="shared" si="42"/>
        <v>0</v>
      </c>
      <c r="AT18" s="98">
        <f>IF(AND((AR17=$AR14),AQ17=1),1,IF(AND((AR17=$AR14),AQ17=-1),-1,0))</f>
        <v>0</v>
      </c>
      <c r="AU18" s="4" t="s">
        <v>60</v>
      </c>
      <c r="AV18" s="124">
        <f t="shared" si="2"/>
        <v>533.02499999999998</v>
      </c>
      <c r="AW18" s="124">
        <f t="shared" si="3"/>
        <v>775.15</v>
      </c>
      <c r="AX18" s="124">
        <f t="shared" si="4"/>
        <v>291.875</v>
      </c>
      <c r="AY18" s="124">
        <f t="shared" si="5"/>
        <v>233.57499999999999</v>
      </c>
      <c r="AZ18" s="124">
        <f t="shared" si="6"/>
        <v>984.35</v>
      </c>
      <c r="BA18" s="124">
        <f t="shared" si="8"/>
        <v>-10.5875</v>
      </c>
      <c r="BB18" s="124">
        <f t="shared" si="9"/>
        <v>10.5875</v>
      </c>
      <c r="BC18" s="4">
        <v>79</v>
      </c>
      <c r="BD18" s="4">
        <v>3.02</v>
      </c>
      <c r="BE18" s="4" t="s">
        <v>180</v>
      </c>
      <c r="BF18" s="4" t="s">
        <v>182</v>
      </c>
      <c r="BG18" s="4">
        <v>109</v>
      </c>
      <c r="BH18" s="4">
        <v>146</v>
      </c>
      <c r="BI18" s="4">
        <v>183</v>
      </c>
      <c r="BJ18" s="4">
        <v>221</v>
      </c>
      <c r="BK18" s="4">
        <v>254</v>
      </c>
      <c r="BL18" s="4">
        <v>38</v>
      </c>
      <c r="BM18" s="88"/>
      <c r="BN18" s="88">
        <v>0.70199999999999996</v>
      </c>
      <c r="BO18" s="88">
        <v>0.7162857142857143</v>
      </c>
      <c r="BP18" s="88">
        <v>0.65949999999999998</v>
      </c>
      <c r="BQ18" s="88">
        <v>0.68190909090909091</v>
      </c>
      <c r="BR18" s="88">
        <v>0.64092307692307693</v>
      </c>
      <c r="BS18" s="88">
        <v>0.63255555555555565</v>
      </c>
      <c r="BT18" s="88">
        <v>0.90433333333333332</v>
      </c>
      <c r="BU18" s="88">
        <v>0.84624999999999984</v>
      </c>
      <c r="BV18" s="88">
        <v>0.8249375000000001</v>
      </c>
      <c r="BW18" s="88">
        <v>0.81413333333333326</v>
      </c>
      <c r="BX18" s="88">
        <v>0.78661904761904766</v>
      </c>
      <c r="BY18" s="88">
        <v>0.76262337662337709</v>
      </c>
      <c r="BZ18" s="88">
        <v>0.73897222222222214</v>
      </c>
      <c r="CA18" s="4" t="s">
        <v>60</v>
      </c>
      <c r="CB18" s="88">
        <v>18.913043478260871</v>
      </c>
      <c r="CC18" s="88">
        <v>30.967391304347824</v>
      </c>
      <c r="CD18" s="88">
        <v>18.913043478260871</v>
      </c>
      <c r="CE18" s="88">
        <v>20.891304347826086</v>
      </c>
      <c r="CF18" s="88">
        <v>15.945652173913043</v>
      </c>
      <c r="CG18" s="88">
        <v>13.304347826086957</v>
      </c>
      <c r="CH18" s="88">
        <v>16.163043478260871</v>
      </c>
      <c r="CI18" s="88">
        <v>24.641304347826086</v>
      </c>
      <c r="CJ18" s="88">
        <v>31.445652173913043</v>
      </c>
      <c r="CK18" s="88">
        <v>21.923913043478262</v>
      </c>
      <c r="CL18" s="88">
        <v>15.673913043478262</v>
      </c>
      <c r="CM18" s="108">
        <v>1.0107999999999999</v>
      </c>
      <c r="CN18" s="4" t="s">
        <v>182</v>
      </c>
      <c r="CO18" s="4">
        <v>92</v>
      </c>
      <c r="CP18" s="4" t="s">
        <v>173</v>
      </c>
      <c r="CQ18" s="4">
        <f>($E$78-(0.26*F142)-(0.09*F146)-(0.09*F148))</f>
        <v>135</v>
      </c>
      <c r="CR18" s="141">
        <f t="shared" si="30"/>
        <v>67.5</v>
      </c>
      <c r="CU18" s="4" t="s">
        <v>60</v>
      </c>
      <c r="CV18" s="5" t="s">
        <v>60</v>
      </c>
      <c r="CW18" s="5">
        <v>533.02499999999998</v>
      </c>
      <c r="CX18" s="5">
        <v>775.15</v>
      </c>
      <c r="CY18" s="5">
        <v>291.875</v>
      </c>
      <c r="CZ18" s="5">
        <v>233.57499999999999</v>
      </c>
      <c r="DA18" s="5">
        <v>984.35</v>
      </c>
      <c r="DB18" s="157">
        <v>-21.175000000000001</v>
      </c>
      <c r="DC18" s="5">
        <v>40</v>
      </c>
      <c r="DD18" s="5">
        <v>624.75</v>
      </c>
      <c r="DE18" s="5">
        <v>645.0625</v>
      </c>
      <c r="DF18" s="5">
        <v>326.6875</v>
      </c>
      <c r="DG18" s="5">
        <v>121.03125</v>
      </c>
      <c r="DH18" s="5">
        <v>902.78125</v>
      </c>
      <c r="DI18" s="5">
        <v>12.9375</v>
      </c>
      <c r="DJ18" s="5">
        <v>32</v>
      </c>
      <c r="DL18" s="4" t="s">
        <v>60</v>
      </c>
      <c r="DM18" s="5">
        <v>6</v>
      </c>
      <c r="DN18" s="5">
        <v>8</v>
      </c>
      <c r="DO18" s="5">
        <v>16</v>
      </c>
      <c r="DP18" s="5">
        <v>15</v>
      </c>
      <c r="DR18" s="5">
        <v>77</v>
      </c>
      <c r="DS18" s="5">
        <v>36</v>
      </c>
      <c r="DU18" s="5">
        <v>4</v>
      </c>
      <c r="DV18" s="5">
        <v>7</v>
      </c>
      <c r="DW18" s="5">
        <v>2</v>
      </c>
      <c r="DX18" s="5">
        <v>11</v>
      </c>
      <c r="DY18" s="5">
        <v>13</v>
      </c>
      <c r="DZ18" s="5">
        <v>9</v>
      </c>
    </row>
    <row r="19" spans="2:130" ht="15" hidden="1" customHeight="1">
      <c r="B19" s="43" t="str">
        <f>B117</f>
        <v>Tour</v>
      </c>
      <c r="C19" s="14">
        <v>7</v>
      </c>
      <c r="D19" s="11">
        <f t="shared" si="12"/>
        <v>488.64643895348837</v>
      </c>
      <c r="E19" s="49" t="str">
        <f>G117</f>
        <v>(0) Je suis satisfait du réglages</v>
      </c>
      <c r="F19" s="11">
        <f t="shared" si="13"/>
        <v>996.890625</v>
      </c>
      <c r="G19" s="49" t="str">
        <f>G118</f>
        <v>(0) Je suis satisfait du réglages</v>
      </c>
      <c r="H19" s="11">
        <f t="shared" si="14"/>
        <v>775.11155523255809</v>
      </c>
      <c r="I19" s="49" t="str">
        <f>G119</f>
        <v>(0) Je suis satisfait du réglages</v>
      </c>
      <c r="J19" s="11">
        <f t="shared" si="15"/>
        <v>794.28597383720933</v>
      </c>
      <c r="K19" s="49" t="str">
        <f>G120</f>
        <v>(0) Je suis satisfait du réglages</v>
      </c>
      <c r="L19" s="11">
        <f t="shared" si="16"/>
        <v>781.36736918604652</v>
      </c>
      <c r="M19" s="49" t="str">
        <f>G121</f>
        <v>(0) Je suis satisfait du réglages</v>
      </c>
      <c r="Q19" s="94" t="s">
        <v>32</v>
      </c>
      <c r="R19" s="97">
        <f t="shared" si="17"/>
        <v>486.53706395348837</v>
      </c>
      <c r="S19" s="97">
        <f t="shared" si="18"/>
        <v>0</v>
      </c>
      <c r="T19" s="97">
        <f t="shared" si="31"/>
        <v>488.64643895348837</v>
      </c>
      <c r="U19" s="97">
        <f t="shared" si="32"/>
        <v>484.42768895348837</v>
      </c>
      <c r="V19" s="97">
        <f t="shared" si="19"/>
        <v>488.64643895348837</v>
      </c>
      <c r="W19" s="97">
        <f t="shared" si="33"/>
        <v>488.64643895348837</v>
      </c>
      <c r="X19" s="95" t="str">
        <f>IF(X18="Stop","Stop",$B$18)</f>
        <v>Tour</v>
      </c>
      <c r="Y19" s="97">
        <f t="shared" si="20"/>
        <v>486.53706395348837</v>
      </c>
      <c r="Z19" s="97">
        <f t="shared" si="21"/>
        <v>488.64643895348837</v>
      </c>
      <c r="AA19" s="97">
        <f t="shared" si="22"/>
        <v>487.59175145348837</v>
      </c>
      <c r="AB19" s="97">
        <f>IF(AND(S14=0,S15=0,S16=0,S17=0,S18=0,S19=0),(R19+R14)/2,ROUND(IF(SUM(S14:S21)&gt;0,AK19-$CR$14,AL19+$CR$14),0))</f>
        <v>421.14643895348837</v>
      </c>
      <c r="AC19" s="97">
        <f t="shared" si="23"/>
        <v>421.14643895348837</v>
      </c>
      <c r="AD19" s="97">
        <f t="shared" si="34"/>
        <v>482.31831395348837</v>
      </c>
      <c r="AE19" s="97">
        <f t="shared" si="35"/>
        <v>486.53706395348837</v>
      </c>
      <c r="AF19" s="100">
        <f t="shared" si="36"/>
        <v>2.109375</v>
      </c>
      <c r="AG19" s="98">
        <f t="shared" si="24"/>
        <v>355.75581395348837</v>
      </c>
      <c r="AH19" s="98">
        <f t="shared" si="25"/>
        <v>486.53706395348837</v>
      </c>
      <c r="AI19" s="98">
        <f t="shared" si="26"/>
        <v>999</v>
      </c>
      <c r="AJ19" s="98">
        <f t="shared" si="27"/>
        <v>0</v>
      </c>
      <c r="AK19" s="98">
        <f t="shared" si="10"/>
        <v>742.76853197674416</v>
      </c>
      <c r="AL19" s="98">
        <f t="shared" si="28"/>
        <v>177.87790697674419</v>
      </c>
      <c r="AM19" s="98">
        <f t="shared" si="37"/>
        <v>0</v>
      </c>
      <c r="AN19" s="98">
        <f t="shared" si="29"/>
        <v>0</v>
      </c>
      <c r="AO19" s="98">
        <f t="shared" si="38"/>
        <v>0</v>
      </c>
      <c r="AP19" s="98">
        <f t="shared" si="39"/>
        <v>421.14643895348837</v>
      </c>
      <c r="AQ19" s="98">
        <f t="shared" si="40"/>
        <v>0</v>
      </c>
      <c r="AR19" s="98">
        <f t="shared" si="41"/>
        <v>355.75581395348837</v>
      </c>
      <c r="AS19" s="98">
        <f t="shared" si="42"/>
        <v>0</v>
      </c>
      <c r="AT19" s="98">
        <f>IF(AND((AR18=$AR14),AQ18=1),1,IF(AND((AR18=$AR14),AQ18=-1),-1,0))</f>
        <v>0</v>
      </c>
      <c r="AU19" s="4" t="s">
        <v>63</v>
      </c>
      <c r="AV19" s="124">
        <f t="shared" si="2"/>
        <v>371.89147286821708</v>
      </c>
      <c r="AW19" s="124">
        <f t="shared" si="3"/>
        <v>750.22480620155034</v>
      </c>
      <c r="AX19" s="124">
        <f t="shared" si="4"/>
        <v>596.89922480620157</v>
      </c>
      <c r="AY19" s="124">
        <f t="shared" si="5"/>
        <v>562.1317829457364</v>
      </c>
      <c r="AZ19" s="124">
        <f t="shared" si="6"/>
        <v>647.12403100775191</v>
      </c>
      <c r="BA19" s="124">
        <f t="shared" si="8"/>
        <v>40.728682170542633</v>
      </c>
      <c r="BB19" s="124">
        <f t="shared" si="9"/>
        <v>-40.728682170542633</v>
      </c>
      <c r="BC19" s="4">
        <v>67</v>
      </c>
      <c r="BD19" s="4">
        <v>4.5579999999999998</v>
      </c>
      <c r="BE19" s="4" t="s">
        <v>179</v>
      </c>
      <c r="BF19" s="4" t="s">
        <v>179</v>
      </c>
      <c r="BG19" s="4">
        <v>120</v>
      </c>
      <c r="BH19" s="4">
        <v>161</v>
      </c>
      <c r="BI19" s="4">
        <v>202</v>
      </c>
      <c r="BJ19" s="4">
        <v>243</v>
      </c>
      <c r="BK19" s="4">
        <v>279</v>
      </c>
      <c r="BL19" s="4">
        <v>41</v>
      </c>
      <c r="BM19" s="88"/>
      <c r="BN19" s="88"/>
      <c r="BO19" s="88">
        <v>0.53033333333333343</v>
      </c>
      <c r="BP19" s="88">
        <v>0.50449999999999995</v>
      </c>
      <c r="BQ19" s="88">
        <v>0.47295454545454535</v>
      </c>
      <c r="BR19" s="88">
        <v>0.4675925925925925</v>
      </c>
      <c r="BS19" s="88">
        <v>0.43925000000000003</v>
      </c>
      <c r="BT19" s="88">
        <v>0.80225000000000002</v>
      </c>
      <c r="BU19" s="88">
        <v>0.78575000000000006</v>
      </c>
      <c r="BV19" s="88">
        <v>0.74507500000000015</v>
      </c>
      <c r="BW19" s="88">
        <v>0.72011904761904777</v>
      </c>
      <c r="BX19" s="88">
        <v>0.6925955882352941</v>
      </c>
      <c r="BY19" s="88">
        <v>0.67159999999999964</v>
      </c>
      <c r="BZ19" s="88">
        <v>0.65155855855855904</v>
      </c>
      <c r="CA19" s="4" t="s">
        <v>63</v>
      </c>
      <c r="CB19" s="88">
        <v>21.525581395348837</v>
      </c>
      <c r="CC19" s="88">
        <v>25.223255813953489</v>
      </c>
      <c r="CD19" s="88">
        <v>13.502325581395349</v>
      </c>
      <c r="CE19" s="88">
        <v>15.716279069767442</v>
      </c>
      <c r="CF19" s="88">
        <v>16.027906976744188</v>
      </c>
      <c r="CG19" s="88">
        <v>15.632558139534884</v>
      </c>
      <c r="CH19" s="88">
        <v>21.386046511627907</v>
      </c>
      <c r="CI19" s="88">
        <v>18.52093023255814</v>
      </c>
      <c r="CJ19" s="88">
        <v>34.632558139534886</v>
      </c>
      <c r="CK19" s="88">
        <v>14.795348837209302</v>
      </c>
      <c r="CL19" s="88">
        <v>13.827906976744186</v>
      </c>
      <c r="CM19" s="108">
        <v>1.1827000000000001</v>
      </c>
      <c r="CN19" s="4" t="s">
        <v>179</v>
      </c>
      <c r="CO19" s="4">
        <v>215</v>
      </c>
      <c r="CU19" s="4" t="s">
        <v>63</v>
      </c>
      <c r="CV19" s="5" t="s">
        <v>63</v>
      </c>
      <c r="CW19" s="5">
        <v>371.89147286821708</v>
      </c>
      <c r="CX19" s="5">
        <v>750.22480620155034</v>
      </c>
      <c r="CY19" s="5">
        <v>596.89922480620157</v>
      </c>
      <c r="CZ19" s="5">
        <v>562.1317829457364</v>
      </c>
      <c r="DA19" s="5">
        <v>647.12403100775191</v>
      </c>
      <c r="DB19" s="157">
        <v>81.457364341085267</v>
      </c>
      <c r="DC19" s="5">
        <v>129</v>
      </c>
      <c r="DD19" s="5">
        <v>486.68181818181819</v>
      </c>
      <c r="DE19" s="5">
        <v>635.47727272727275</v>
      </c>
      <c r="DF19" s="5">
        <v>652.56818181818187</v>
      </c>
      <c r="DG19" s="5">
        <v>441.15909090909093</v>
      </c>
      <c r="DH19" s="5">
        <v>526.7045454545455</v>
      </c>
      <c r="DI19" s="5">
        <v>109.77272727272727</v>
      </c>
      <c r="DJ19" s="5">
        <v>44</v>
      </c>
      <c r="DL19" s="4" t="s">
        <v>63</v>
      </c>
      <c r="DM19" s="5">
        <v>12</v>
      </c>
      <c r="DN19" s="5">
        <v>16</v>
      </c>
      <c r="DO19" s="5">
        <v>40</v>
      </c>
      <c r="DP19" s="5">
        <v>42</v>
      </c>
      <c r="DR19" s="5">
        <v>295</v>
      </c>
      <c r="DS19" s="5">
        <v>111</v>
      </c>
      <c r="DV19" s="5">
        <v>6</v>
      </c>
      <c r="DW19" s="5">
        <v>2</v>
      </c>
      <c r="DX19" s="5">
        <v>22</v>
      </c>
      <c r="DY19" s="5">
        <v>27</v>
      </c>
      <c r="DZ19" s="5">
        <v>8</v>
      </c>
    </row>
    <row r="20" spans="2:130" ht="15" hidden="1" customHeight="1" thickBot="1">
      <c r="B20" s="51" t="str">
        <f>B123</f>
        <v>Tour</v>
      </c>
      <c r="C20" s="15">
        <v>8</v>
      </c>
      <c r="D20" s="16">
        <f t="shared" si="12"/>
        <v>489.70112645348837</v>
      </c>
      <c r="E20" s="52" t="str">
        <f>G123</f>
        <v>(0) Je suis satisfait du réglages</v>
      </c>
      <c r="F20" s="16">
        <f t="shared" si="13"/>
        <v>997.9453125</v>
      </c>
      <c r="G20" s="52" t="str">
        <f>G124</f>
        <v>(0) Je suis satisfait du réglages</v>
      </c>
      <c r="H20" s="16">
        <f t="shared" si="14"/>
        <v>776.16624273255809</v>
      </c>
      <c r="I20" s="52" t="str">
        <f>G125</f>
        <v>(0) Je suis satisfait du réglages</v>
      </c>
      <c r="J20" s="16">
        <f t="shared" si="15"/>
        <v>795.34066133720933</v>
      </c>
      <c r="K20" s="52" t="str">
        <f>G126</f>
        <v>(0) Je suis satisfait du réglages</v>
      </c>
      <c r="L20" s="16">
        <f t="shared" si="16"/>
        <v>782.42205668604652</v>
      </c>
      <c r="M20" s="52" t="str">
        <f>G127</f>
        <v>(0) Je suis satisfait du réglages</v>
      </c>
      <c r="Q20" s="94" t="s">
        <v>33</v>
      </c>
      <c r="R20" s="97">
        <f t="shared" si="17"/>
        <v>488.64643895348837</v>
      </c>
      <c r="S20" s="97">
        <f t="shared" si="18"/>
        <v>0</v>
      </c>
      <c r="T20" s="97">
        <f t="shared" si="31"/>
        <v>489.70112645348837</v>
      </c>
      <c r="U20" s="97">
        <f t="shared" si="32"/>
        <v>487.59175145348837</v>
      </c>
      <c r="V20" s="97">
        <f t="shared" si="19"/>
        <v>489.70112645348837</v>
      </c>
      <c r="W20" s="97">
        <f t="shared" si="33"/>
        <v>489.70112645348837</v>
      </c>
      <c r="X20" s="95" t="str">
        <f>IF(X19="Stop","Stop",$B$19)</f>
        <v>Tour</v>
      </c>
      <c r="Y20" s="97">
        <f t="shared" si="20"/>
        <v>488.64643895348837</v>
      </c>
      <c r="Z20" s="97">
        <f t="shared" si="21"/>
        <v>489.70112645348837</v>
      </c>
      <c r="AA20" s="97">
        <f t="shared" si="22"/>
        <v>489.17378270348837</v>
      </c>
      <c r="AB20" s="97">
        <f>IF(AND(S14=0,S15=0,S16=0,S17=0,S18=0,S19=0,S20=0),(R20+R14)/2,ROUND(IF(SUM(S14:S21)&gt;0,AK20-$CR$14,AL20+$CR$14),0))</f>
        <v>422.20112645348837</v>
      </c>
      <c r="AC20" s="97">
        <f t="shared" si="23"/>
        <v>422.20112645348837</v>
      </c>
      <c r="AD20" s="97">
        <f t="shared" si="34"/>
        <v>486.53706395348837</v>
      </c>
      <c r="AE20" s="97">
        <f t="shared" si="35"/>
        <v>488.64643895348837</v>
      </c>
      <c r="AF20" s="100">
        <f t="shared" si="36"/>
        <v>1.0546875</v>
      </c>
      <c r="AG20" s="98">
        <f t="shared" si="24"/>
        <v>355.75581395348837</v>
      </c>
      <c r="AH20" s="98">
        <f t="shared" si="25"/>
        <v>488.64643895348837</v>
      </c>
      <c r="AI20" s="98">
        <f t="shared" si="26"/>
        <v>999</v>
      </c>
      <c r="AJ20" s="98">
        <f t="shared" si="27"/>
        <v>0</v>
      </c>
      <c r="AK20" s="98">
        <f t="shared" si="10"/>
        <v>743.82321947674416</v>
      </c>
      <c r="AL20" s="98">
        <f t="shared" si="28"/>
        <v>177.87790697674419</v>
      </c>
      <c r="AM20" s="98">
        <f t="shared" si="37"/>
        <v>0</v>
      </c>
      <c r="AN20" s="98">
        <f t="shared" si="29"/>
        <v>0</v>
      </c>
      <c r="AO20" s="98">
        <f t="shared" si="38"/>
        <v>0</v>
      </c>
      <c r="AP20" s="98">
        <f t="shared" si="39"/>
        <v>422.20112645348837</v>
      </c>
      <c r="AQ20" s="98">
        <f t="shared" si="40"/>
        <v>0</v>
      </c>
      <c r="AR20" s="98">
        <f t="shared" si="41"/>
        <v>355.75581395348837</v>
      </c>
      <c r="AS20" s="98">
        <f>IF(X20="Stop",IF(AT20=1,R20-$CR$14,IF(AT20=(-1),R20+$CR$14,IF(AQ19=0,0,((AR19+AR20)/2)+(2*$CQ$14)))),0)</f>
        <v>0</v>
      </c>
      <c r="AT20" s="98">
        <f>IF(AND((AR19=$AR14),AQ19=1),1,IF(AND((AR19=$AR14),AQ19=-1),-1,0))</f>
        <v>0</v>
      </c>
      <c r="AU20" s="140" t="s">
        <v>303</v>
      </c>
      <c r="AV20" s="124">
        <f t="shared" si="2"/>
        <v>654.13793103448279</v>
      </c>
      <c r="AW20" s="124">
        <f t="shared" si="3"/>
        <v>489.22413793103448</v>
      </c>
      <c r="AX20" s="124">
        <f t="shared" si="4"/>
        <v>512.5344827586207</v>
      </c>
      <c r="AY20" s="124">
        <f t="shared" si="5"/>
        <v>622.58620689655174</v>
      </c>
      <c r="AZ20" s="124">
        <f t="shared" si="6"/>
        <v>628.06896551724139</v>
      </c>
      <c r="BA20" s="124">
        <f t="shared" si="8"/>
        <v>-7.9482758620689653</v>
      </c>
      <c r="BB20" s="124">
        <f t="shared" si="9"/>
        <v>7.9482758620689653</v>
      </c>
      <c r="BC20" s="4">
        <v>74</v>
      </c>
      <c r="BD20" s="4">
        <v>4.1680000000000001</v>
      </c>
      <c r="BE20" s="4" t="s">
        <v>182</v>
      </c>
      <c r="BF20" s="4" t="s">
        <v>181</v>
      </c>
      <c r="BG20" s="4">
        <v>99</v>
      </c>
      <c r="BH20" s="4">
        <v>133</v>
      </c>
      <c r="BI20" s="4">
        <v>168</v>
      </c>
      <c r="BJ20" s="4">
        <v>202</v>
      </c>
      <c r="BK20" s="4">
        <v>232</v>
      </c>
      <c r="BL20" s="4">
        <v>35</v>
      </c>
      <c r="BM20" s="88"/>
      <c r="BN20" s="88"/>
      <c r="BO20" s="88"/>
      <c r="BP20" s="88">
        <v>0.53025000000000011</v>
      </c>
      <c r="BQ20" s="88">
        <v>0.53766666666666663</v>
      </c>
      <c r="BR20" s="88">
        <v>0.53320000000000001</v>
      </c>
      <c r="BS20" s="88">
        <v>0.54999999999999993</v>
      </c>
      <c r="BT20" s="88"/>
      <c r="BU20" s="88"/>
      <c r="BV20" s="88">
        <v>0.70366666666666655</v>
      </c>
      <c r="BW20" s="88">
        <v>0.69406666666666661</v>
      </c>
      <c r="BX20" s="88">
        <v>0.67583076923076935</v>
      </c>
      <c r="BY20" s="88">
        <v>0.64902222222222239</v>
      </c>
      <c r="BZ20" s="88">
        <v>0.63723076923076927</v>
      </c>
      <c r="CA20" s="4" t="s">
        <v>303</v>
      </c>
      <c r="CB20" s="88">
        <v>20.399999999999999</v>
      </c>
      <c r="CC20" s="88">
        <v>20.329411764705881</v>
      </c>
      <c r="CD20" s="88">
        <v>14.458823529411765</v>
      </c>
      <c r="CE20" s="88">
        <v>13.529411764705882</v>
      </c>
      <c r="CF20" s="88">
        <v>15.329411764705883</v>
      </c>
      <c r="CG20" s="88">
        <v>19.105882352941176</v>
      </c>
      <c r="CH20" s="88">
        <v>17.435294117647057</v>
      </c>
      <c r="CI20" s="88">
        <v>23.094117647058823</v>
      </c>
      <c r="CJ20" s="88">
        <v>13.823529411764707</v>
      </c>
      <c r="CK20" s="88">
        <v>26.576470588235296</v>
      </c>
      <c r="CL20" s="88">
        <v>12.176470588235293</v>
      </c>
      <c r="CM20" s="108">
        <v>1.2</v>
      </c>
      <c r="CN20" s="4" t="s">
        <v>181</v>
      </c>
      <c r="CO20" s="4">
        <v>85</v>
      </c>
      <c r="CP20" s="4" t="s">
        <v>174</v>
      </c>
      <c r="CU20" s="4" t="s">
        <v>303</v>
      </c>
      <c r="CV20" s="5" t="s">
        <v>303</v>
      </c>
      <c r="CW20" s="5">
        <v>654.13793103448279</v>
      </c>
      <c r="CX20" s="5">
        <v>489.22413793103448</v>
      </c>
      <c r="CY20" s="5">
        <v>512.5344827586207</v>
      </c>
      <c r="CZ20" s="5">
        <v>622.58620689655174</v>
      </c>
      <c r="DA20" s="5">
        <v>628.06896551724139</v>
      </c>
      <c r="DB20" s="157">
        <v>-15.896551724137931</v>
      </c>
      <c r="DC20" s="5">
        <v>58</v>
      </c>
      <c r="DD20" s="5">
        <v>767</v>
      </c>
      <c r="DE20" s="5">
        <v>389.27272727272725</v>
      </c>
      <c r="DF20" s="5">
        <v>550.81818181818187</v>
      </c>
      <c r="DG20" s="5">
        <v>488.90909090909093</v>
      </c>
      <c r="DH20" s="5">
        <v>528.90909090909088</v>
      </c>
      <c r="DI20" s="5">
        <v>47.18181818181818</v>
      </c>
      <c r="DJ20" s="5">
        <v>11</v>
      </c>
      <c r="DL20" s="4" t="s">
        <v>303</v>
      </c>
      <c r="DO20" s="5">
        <v>6</v>
      </c>
      <c r="DP20" s="5">
        <v>30</v>
      </c>
      <c r="DR20" s="5">
        <v>135</v>
      </c>
      <c r="DS20" s="5">
        <v>13</v>
      </c>
      <c r="DW20" s="5">
        <v>4</v>
      </c>
      <c r="DX20" s="5">
        <v>12</v>
      </c>
      <c r="DY20" s="5">
        <v>15</v>
      </c>
      <c r="DZ20" s="5">
        <v>6</v>
      </c>
    </row>
    <row r="21" spans="2:130" ht="15" hidden="1" customHeight="1">
      <c r="Q21" s="101" t="s">
        <v>34</v>
      </c>
      <c r="R21" s="102">
        <f t="shared" si="17"/>
        <v>489.70112645348837</v>
      </c>
      <c r="S21" s="102">
        <f t="shared" si="18"/>
        <v>0</v>
      </c>
      <c r="T21" s="97">
        <f t="shared" si="31"/>
        <v>490.22847020348837</v>
      </c>
      <c r="U21" s="102">
        <f t="shared" si="32"/>
        <v>489.17378270348837</v>
      </c>
      <c r="V21" s="102">
        <f t="shared" si="19"/>
        <v>490.22847020348837</v>
      </c>
      <c r="W21" s="97">
        <f t="shared" si="33"/>
        <v>490.22847020348837</v>
      </c>
      <c r="X21" s="103" t="str">
        <f>IF(X20="Stop","Stop",$B$20)</f>
        <v>Tour</v>
      </c>
      <c r="Y21" s="102">
        <f t="shared" si="20"/>
        <v>489.70112645348837</v>
      </c>
      <c r="Z21" s="102">
        <f t="shared" si="21"/>
        <v>490.22847020348837</v>
      </c>
      <c r="AA21" s="102">
        <f t="shared" si="22"/>
        <v>489.96479832848837</v>
      </c>
      <c r="AB21" s="102">
        <f>IF(AND(S14=0,S15=0,S16=0,S17=0,S18=0,S19=0,S20=0,S21=0),(R21+R14)/2,ROUND(IF(SUM(S14:S21)&gt;0,AK21-$CR$14,AL21+$CR$14),0))</f>
        <v>422.72847020348837</v>
      </c>
      <c r="AC21" s="102">
        <f t="shared" si="23"/>
        <v>422.72847020348837</v>
      </c>
      <c r="AD21" s="102">
        <f t="shared" si="34"/>
        <v>488.64643895348837</v>
      </c>
      <c r="AE21" s="102">
        <f t="shared" si="35"/>
        <v>489.70112645348837</v>
      </c>
      <c r="AF21" s="104">
        <f t="shared" si="36"/>
        <v>0.52734375</v>
      </c>
      <c r="AG21" s="98">
        <f t="shared" si="24"/>
        <v>355.75581395348837</v>
      </c>
      <c r="AH21" s="98">
        <f t="shared" si="25"/>
        <v>489.70112645348837</v>
      </c>
      <c r="AI21" s="98">
        <f t="shared" si="26"/>
        <v>999</v>
      </c>
      <c r="AJ21" s="98">
        <f t="shared" si="27"/>
        <v>0</v>
      </c>
      <c r="AK21" s="98">
        <f t="shared" si="10"/>
        <v>744.35056322674416</v>
      </c>
      <c r="AL21" s="98">
        <f t="shared" si="28"/>
        <v>177.87790697674419</v>
      </c>
      <c r="AM21" s="98">
        <f t="shared" si="37"/>
        <v>0</v>
      </c>
      <c r="AN21" s="98">
        <f t="shared" si="29"/>
        <v>0</v>
      </c>
      <c r="AO21" s="98">
        <f t="shared" si="38"/>
        <v>0</v>
      </c>
      <c r="AP21" s="98">
        <f t="shared" si="39"/>
        <v>422.72847020348837</v>
      </c>
      <c r="AQ21" s="98">
        <f t="shared" si="40"/>
        <v>0</v>
      </c>
      <c r="AR21" s="98">
        <f t="shared" si="41"/>
        <v>355.75581395348837</v>
      </c>
      <c r="AS21" s="98">
        <f>IF(X21="Stop",IF(AT21=1,R21-$CR$14,IF(AT21=(-1),R21+$CR$14,IF(AQ20=0,0,((AR20+AR21)/2)+(2*$CQ$14)))),0)</f>
        <v>0</v>
      </c>
      <c r="AT21" s="98">
        <f>IF(AND((AR20=$AR14),AQ20=1),1,IF(AND((AR20=$AR14),AQ20=-1),-1,0))</f>
        <v>0</v>
      </c>
      <c r="AU21" s="4" t="s">
        <v>54</v>
      </c>
      <c r="AV21" s="124">
        <f t="shared" si="2"/>
        <v>532.83076923076919</v>
      </c>
      <c r="AW21" s="124">
        <f t="shared" si="3"/>
        <v>784.84615384615381</v>
      </c>
      <c r="AX21" s="124">
        <f t="shared" si="4"/>
        <v>337.8</v>
      </c>
      <c r="AY21" s="124">
        <f t="shared" si="5"/>
        <v>624.12307692307695</v>
      </c>
      <c r="AZ21" s="124">
        <f t="shared" si="6"/>
        <v>387</v>
      </c>
      <c r="BA21" s="124">
        <f t="shared" ref="BA21:BA29" si="43">IF($N$82="Sec",IF(ABS(DB21/2)&gt;0,DB21/2,-(DB21/2)),IF(ISBLANK(DI21),IF(ABS(DB21/2)&gt;0,DB21/2,-(DB21/2)),IF(ABS(DI21/2)&gt;0,-(DI21/2),(DI21/2))))</f>
        <v>-164.77692307692308</v>
      </c>
      <c r="BB21" s="124">
        <f t="shared" ref="BB21:BB29" si="44">-(BA21)</f>
        <v>164.77692307692308</v>
      </c>
      <c r="BC21" s="4">
        <v>67</v>
      </c>
      <c r="BD21" s="4">
        <v>4.5730000000000004</v>
      </c>
      <c r="BE21" s="4" t="s">
        <v>179</v>
      </c>
      <c r="BF21" s="4" t="s">
        <v>180</v>
      </c>
      <c r="BG21" s="4">
        <v>120</v>
      </c>
      <c r="BH21" s="4">
        <v>161</v>
      </c>
      <c r="BI21" s="4">
        <v>202</v>
      </c>
      <c r="BJ21" s="4">
        <v>243</v>
      </c>
      <c r="BK21" s="4">
        <v>279</v>
      </c>
      <c r="BL21" s="4">
        <v>41</v>
      </c>
      <c r="BM21" s="88"/>
      <c r="BN21" s="88"/>
      <c r="BO21" s="88"/>
      <c r="BP21" s="88">
        <v>0.61187500000000006</v>
      </c>
      <c r="BQ21" s="88">
        <v>0.60599999999999998</v>
      </c>
      <c r="BR21" s="88">
        <v>0.55766666666666664</v>
      </c>
      <c r="BS21" s="88">
        <v>0.53590909090909089</v>
      </c>
      <c r="BT21" s="88">
        <v>0.81614285714285695</v>
      </c>
      <c r="BU21" s="88">
        <v>0.78528571428571425</v>
      </c>
      <c r="BV21" s="88">
        <v>0.76791666666666669</v>
      </c>
      <c r="BW21" s="88">
        <v>0.75082142857142853</v>
      </c>
      <c r="BX21" s="88">
        <v>0.7323846153846153</v>
      </c>
      <c r="BY21" s="88">
        <v>0.69977319587628883</v>
      </c>
      <c r="BZ21" s="88">
        <v>0.7003125</v>
      </c>
      <c r="CA21" s="4" t="s">
        <v>54</v>
      </c>
      <c r="CB21" s="88">
        <v>20.416666666666668</v>
      </c>
      <c r="CC21" s="88">
        <v>41.53125</v>
      </c>
      <c r="CD21" s="88">
        <v>14.166666666666666</v>
      </c>
      <c r="CE21" s="88">
        <v>15.427083333333334</v>
      </c>
      <c r="CF21" s="88">
        <v>15.958333333333334</v>
      </c>
      <c r="CG21" s="88">
        <v>13.5</v>
      </c>
      <c r="CH21" s="88">
        <v>14.083333333333334</v>
      </c>
      <c r="CI21" s="88">
        <v>24.770833333333332</v>
      </c>
      <c r="CJ21" s="88">
        <v>33.385416666666664</v>
      </c>
      <c r="CK21" s="88">
        <v>17.635416666666668</v>
      </c>
      <c r="CL21" s="88">
        <v>12.447916666666666</v>
      </c>
      <c r="CM21" s="108">
        <v>1.1200000000000001</v>
      </c>
      <c r="CN21" s="4" t="s">
        <v>180</v>
      </c>
      <c r="CO21" s="4">
        <v>96</v>
      </c>
      <c r="CU21" s="4" t="s">
        <v>54</v>
      </c>
      <c r="CV21" s="5" t="s">
        <v>54</v>
      </c>
      <c r="CW21" s="5">
        <v>532.83076923076919</v>
      </c>
      <c r="CX21" s="5">
        <v>784.84615384615381</v>
      </c>
      <c r="CY21" s="5">
        <v>337.8</v>
      </c>
      <c r="CZ21" s="5">
        <v>624.12307692307695</v>
      </c>
      <c r="DA21" s="5">
        <v>387</v>
      </c>
      <c r="DB21" s="157">
        <v>-329.55384615384617</v>
      </c>
      <c r="DC21" s="5">
        <v>65</v>
      </c>
      <c r="DD21">
        <v>651.81818181818187</v>
      </c>
      <c r="DE21">
        <v>643.72727272727275</v>
      </c>
      <c r="DF21">
        <v>427.45454545454544</v>
      </c>
      <c r="DG21">
        <v>532.27272727272725</v>
      </c>
      <c r="DH21">
        <v>273.72727272727275</v>
      </c>
      <c r="DI21">
        <v>-243.45454545454547</v>
      </c>
      <c r="DJ21">
        <v>11</v>
      </c>
      <c r="DL21" s="4" t="s">
        <v>54</v>
      </c>
      <c r="DM21" s="5">
        <v>14</v>
      </c>
      <c r="DN21" s="5">
        <v>7</v>
      </c>
      <c r="DO21" s="5">
        <v>12</v>
      </c>
      <c r="DP21" s="5">
        <v>28</v>
      </c>
      <c r="DR21" s="5">
        <v>97</v>
      </c>
      <c r="DS21" s="5">
        <v>16</v>
      </c>
      <c r="DW21" s="5">
        <v>8</v>
      </c>
      <c r="DX21" s="5">
        <v>3</v>
      </c>
      <c r="DY21" s="5">
        <v>3</v>
      </c>
      <c r="DZ21" s="5">
        <v>11</v>
      </c>
    </row>
    <row r="22" spans="2:130" ht="15" hidden="1" customHeight="1" thickBot="1">
      <c r="AU22" s="4" t="s">
        <v>57</v>
      </c>
      <c r="AV22" s="124">
        <f t="shared" si="2"/>
        <v>834.48780487804879</v>
      </c>
      <c r="AW22" s="124">
        <f t="shared" si="3"/>
        <v>536.08536585365857</v>
      </c>
      <c r="AX22" s="124">
        <f t="shared" si="4"/>
        <v>569.96341463414637</v>
      </c>
      <c r="AY22" s="124">
        <f t="shared" si="5"/>
        <v>285.78048780487802</v>
      </c>
      <c r="AZ22" s="124">
        <f t="shared" si="6"/>
        <v>536.32926829268297</v>
      </c>
      <c r="BA22" s="124">
        <f t="shared" si="43"/>
        <v>-87.408536585365852</v>
      </c>
      <c r="BB22" s="124">
        <f t="shared" si="44"/>
        <v>87.408536585365852</v>
      </c>
      <c r="BC22" s="4">
        <v>77</v>
      </c>
      <c r="BD22" s="4">
        <v>3.968</v>
      </c>
      <c r="BE22" s="4" t="s">
        <v>183</v>
      </c>
      <c r="BF22" s="4" t="s">
        <v>183</v>
      </c>
      <c r="BG22" s="4">
        <v>153</v>
      </c>
      <c r="BH22" s="4">
        <v>205</v>
      </c>
      <c r="BI22" s="4">
        <v>257</v>
      </c>
      <c r="BJ22" s="4">
        <v>309</v>
      </c>
      <c r="BK22" s="4">
        <v>355</v>
      </c>
      <c r="BL22" s="4">
        <v>51</v>
      </c>
      <c r="BM22" s="88">
        <v>0.54166666666666663</v>
      </c>
      <c r="BN22" s="88">
        <v>0.51066666666666671</v>
      </c>
      <c r="BO22" s="88">
        <v>0.49519999999999997</v>
      </c>
      <c r="BP22" s="88">
        <v>0.44850000000000001</v>
      </c>
      <c r="BQ22" s="88">
        <v>0.49359999999999998</v>
      </c>
      <c r="BR22" s="88">
        <v>0.48430000000000001</v>
      </c>
      <c r="BS22" s="88">
        <v>0.4415</v>
      </c>
      <c r="BT22" s="88">
        <v>0.69811764705882351</v>
      </c>
      <c r="BU22" s="88">
        <v>0.69692307692307687</v>
      </c>
      <c r="BV22" s="88">
        <v>0.66261538461538472</v>
      </c>
      <c r="BW22" s="88">
        <v>0.63982352941176468</v>
      </c>
      <c r="BX22" s="88">
        <v>0.62837500000000002</v>
      </c>
      <c r="BY22" s="88">
        <v>0.6008363636363635</v>
      </c>
      <c r="BZ22" s="88">
        <v>0.586878787878788</v>
      </c>
      <c r="CA22" s="4" t="s">
        <v>57</v>
      </c>
      <c r="CB22" s="88">
        <v>17.861538461538462</v>
      </c>
      <c r="CC22" s="88">
        <v>24.7</v>
      </c>
      <c r="CD22" s="88">
        <v>50.4</v>
      </c>
      <c r="CE22" s="88">
        <v>46.4</v>
      </c>
      <c r="CF22" s="88">
        <v>25.130769230769232</v>
      </c>
      <c r="CG22" s="88">
        <v>13.5</v>
      </c>
      <c r="CH22" s="88">
        <v>11.438461538461539</v>
      </c>
      <c r="CI22" s="88">
        <v>33.292307692307695</v>
      </c>
      <c r="CJ22" s="88">
        <v>22.392307692307693</v>
      </c>
      <c r="CK22" s="88">
        <v>35.930769230769229</v>
      </c>
      <c r="CL22" s="88">
        <v>9.4923076923076923</v>
      </c>
      <c r="CM22" s="108">
        <v>1.35</v>
      </c>
      <c r="CN22" s="4" t="s">
        <v>183</v>
      </c>
      <c r="CO22" s="4">
        <v>130</v>
      </c>
      <c r="CU22" s="4" t="s">
        <v>57</v>
      </c>
      <c r="CV22" s="5" t="s">
        <v>57</v>
      </c>
      <c r="CW22" s="5">
        <v>834.48780487804879</v>
      </c>
      <c r="CX22" s="5">
        <v>536.08536585365857</v>
      </c>
      <c r="CY22" s="5">
        <v>569.96341463414637</v>
      </c>
      <c r="CZ22" s="5">
        <v>285.78048780487802</v>
      </c>
      <c r="DA22" s="5">
        <v>536.32926829268297</v>
      </c>
      <c r="DB22" s="157">
        <v>-174.8170731707317</v>
      </c>
      <c r="DC22" s="5">
        <v>82</v>
      </c>
      <c r="DD22">
        <v>940.57142857142856</v>
      </c>
      <c r="DE22">
        <v>397.57142857142856</v>
      </c>
      <c r="DF22">
        <v>609.66666666666663</v>
      </c>
      <c r="DG22">
        <v>221.52380952380952</v>
      </c>
      <c r="DH22">
        <v>397.8095238095238</v>
      </c>
      <c r="DI22">
        <v>-84.428571428571431</v>
      </c>
      <c r="DJ22">
        <v>21</v>
      </c>
      <c r="DL22" s="4" t="s">
        <v>57</v>
      </c>
      <c r="DM22" s="5">
        <v>17</v>
      </c>
      <c r="DN22" s="5">
        <v>13</v>
      </c>
      <c r="DO22" s="5">
        <v>13</v>
      </c>
      <c r="DP22" s="5">
        <v>34</v>
      </c>
      <c r="DR22" s="5">
        <v>110</v>
      </c>
      <c r="DS22" s="5">
        <v>33</v>
      </c>
      <c r="DT22" s="5">
        <v>3</v>
      </c>
      <c r="DU22" s="5">
        <v>9</v>
      </c>
      <c r="DV22" s="5">
        <v>5</v>
      </c>
      <c r="DW22" s="5">
        <v>4</v>
      </c>
      <c r="DX22" s="5">
        <v>5</v>
      </c>
      <c r="DY22" s="5">
        <v>10</v>
      </c>
      <c r="DZ22" s="5">
        <v>2</v>
      </c>
    </row>
    <row r="23" spans="2:130" ht="15" hidden="1" customHeight="1">
      <c r="C23" s="241"/>
      <c r="E23" s="242" t="s">
        <v>13</v>
      </c>
      <c r="F23" s="243"/>
      <c r="G23" s="17" t="s">
        <v>96</v>
      </c>
      <c r="I23" s="242" t="s">
        <v>20</v>
      </c>
      <c r="J23" s="243"/>
      <c r="K23" s="17" t="s">
        <v>96</v>
      </c>
      <c r="M23" s="242" t="s">
        <v>21</v>
      </c>
      <c r="N23" s="243"/>
      <c r="O23" s="83" t="s">
        <v>96</v>
      </c>
      <c r="Q23" s="89" t="s">
        <v>5</v>
      </c>
      <c r="R23" s="90"/>
      <c r="S23" s="90"/>
      <c r="T23" s="90"/>
      <c r="U23" s="90"/>
      <c r="V23" s="97">
        <f>IF(OR(S23=-2,S23=2),R23+(AF23*2),R23+AF23)</f>
        <v>0</v>
      </c>
      <c r="W23" s="90"/>
      <c r="X23" s="90"/>
      <c r="Y23" s="90"/>
      <c r="Z23" s="90"/>
      <c r="AA23" s="90"/>
      <c r="AB23" s="90"/>
      <c r="AC23" s="90"/>
      <c r="AD23" s="91"/>
      <c r="AE23" s="91"/>
      <c r="AF23" s="92"/>
      <c r="AG23" s="93"/>
      <c r="AH23" s="105" t="s">
        <v>94</v>
      </c>
      <c r="AI23" s="105" t="s">
        <v>95</v>
      </c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4" t="s">
        <v>74</v>
      </c>
      <c r="AV23" s="124">
        <f t="shared" si="2"/>
        <v>512.63380281690138</v>
      </c>
      <c r="AW23" s="124">
        <f t="shared" si="3"/>
        <v>749.80281690140851</v>
      </c>
      <c r="AX23" s="124">
        <f t="shared" si="4"/>
        <v>636.74647887323943</v>
      </c>
      <c r="AY23" s="124">
        <f t="shared" si="5"/>
        <v>495.81690140845069</v>
      </c>
      <c r="AZ23" s="124">
        <f t="shared" si="6"/>
        <v>610.05633802816897</v>
      </c>
      <c r="BA23" s="124">
        <f t="shared" si="43"/>
        <v>-62.971830985915496</v>
      </c>
      <c r="BB23" s="124">
        <f t="shared" si="44"/>
        <v>62.971830985915496</v>
      </c>
      <c r="BC23" s="4">
        <v>62</v>
      </c>
      <c r="BD23" s="4">
        <v>4.9290000000000003</v>
      </c>
      <c r="BE23" s="4" t="s">
        <v>179</v>
      </c>
      <c r="BF23" s="4" t="s">
        <v>179</v>
      </c>
      <c r="BG23" s="4">
        <v>120</v>
      </c>
      <c r="BH23" s="4">
        <v>161</v>
      </c>
      <c r="BI23" s="4">
        <v>202</v>
      </c>
      <c r="BJ23" s="4">
        <v>243</v>
      </c>
      <c r="BK23" s="4">
        <v>279</v>
      </c>
      <c r="BL23" s="4">
        <v>41</v>
      </c>
      <c r="BM23" s="88">
        <v>0.53300000000000003</v>
      </c>
      <c r="BN23" s="88">
        <v>0.50700000000000001</v>
      </c>
      <c r="BO23" s="88"/>
      <c r="BP23" s="88">
        <v>0.48333333333333334</v>
      </c>
      <c r="BQ23" s="88">
        <v>0.46933333333333332</v>
      </c>
      <c r="BR23" s="88">
        <v>0.45300000000000001</v>
      </c>
      <c r="BS23" s="88">
        <v>0.45072727272727275</v>
      </c>
      <c r="BT23" s="88">
        <v>0.7845333333333333</v>
      </c>
      <c r="BU23" s="88">
        <v>0.77742857142857147</v>
      </c>
      <c r="BV23" s="88">
        <v>0.76560606060606062</v>
      </c>
      <c r="BW23" s="88">
        <v>0.74118749999999978</v>
      </c>
      <c r="BX23" s="88">
        <v>0.70363157894736872</v>
      </c>
      <c r="BY23" s="88">
        <v>0.68899999999999995</v>
      </c>
      <c r="BZ23" s="88">
        <v>0.66886046511627917</v>
      </c>
      <c r="CA23" s="4" t="s">
        <v>74</v>
      </c>
      <c r="CB23" s="88">
        <v>15.376923076923077</v>
      </c>
      <c r="CC23" s="88">
        <v>27.9</v>
      </c>
      <c r="CD23" s="88">
        <v>25.992307692307691</v>
      </c>
      <c r="CE23" s="88">
        <v>28.023076923076925</v>
      </c>
      <c r="CF23" s="88">
        <v>22</v>
      </c>
      <c r="CG23" s="88">
        <v>11.876923076923077</v>
      </c>
      <c r="CH23" s="88">
        <v>13.969230769230769</v>
      </c>
      <c r="CI23" s="88">
        <v>25.7</v>
      </c>
      <c r="CJ23" s="88">
        <v>31.223076923076924</v>
      </c>
      <c r="CK23" s="88">
        <v>25.530769230769231</v>
      </c>
      <c r="CL23" s="88">
        <v>13.23076923076923</v>
      </c>
      <c r="CM23" s="108">
        <v>1.1499999999999999</v>
      </c>
      <c r="CN23" s="4" t="s">
        <v>179</v>
      </c>
      <c r="CO23" s="4">
        <v>130</v>
      </c>
      <c r="CP23" s="106"/>
      <c r="CQ23" s="106"/>
      <c r="CU23" s="4" t="s">
        <v>74</v>
      </c>
      <c r="CV23" s="5" t="s">
        <v>74</v>
      </c>
      <c r="CW23" s="5">
        <v>512.63380281690138</v>
      </c>
      <c r="CX23" s="5">
        <v>749.80281690140851</v>
      </c>
      <c r="CY23" s="5">
        <v>636.74647887323943</v>
      </c>
      <c r="CZ23" s="5">
        <v>495.81690140845069</v>
      </c>
      <c r="DA23" s="5">
        <v>610.05633802816897</v>
      </c>
      <c r="DB23" s="157">
        <v>-125.94366197183099</v>
      </c>
      <c r="DC23" s="5">
        <v>71</v>
      </c>
      <c r="DD23">
        <v>641.35294117647061</v>
      </c>
      <c r="DE23">
        <v>642.52941176470586</v>
      </c>
      <c r="DF23">
        <v>715.82352941176475</v>
      </c>
      <c r="DG23">
        <v>346.6764705882353</v>
      </c>
      <c r="DH23">
        <v>484.76470588235293</v>
      </c>
      <c r="DI23">
        <v>-77.117647058823536</v>
      </c>
      <c r="DJ23">
        <v>34</v>
      </c>
      <c r="DL23" s="4" t="s">
        <v>74</v>
      </c>
      <c r="DM23" s="5">
        <v>15</v>
      </c>
      <c r="DN23" s="5">
        <v>7</v>
      </c>
      <c r="DO23" s="5">
        <v>33</v>
      </c>
      <c r="DP23" s="5">
        <v>16</v>
      </c>
      <c r="DR23" s="5">
        <v>147</v>
      </c>
      <c r="DS23" s="5">
        <v>43</v>
      </c>
      <c r="DT23" s="5">
        <v>1</v>
      </c>
      <c r="DU23" s="5">
        <v>2</v>
      </c>
      <c r="DW23" s="5">
        <v>6</v>
      </c>
      <c r="DX23" s="5">
        <v>6</v>
      </c>
      <c r="DY23" s="5">
        <v>13</v>
      </c>
      <c r="DZ23" s="5">
        <v>11</v>
      </c>
    </row>
    <row r="24" spans="2:130" ht="15" hidden="1" customHeight="1">
      <c r="C24" s="241"/>
      <c r="E24" s="18" t="s">
        <v>14</v>
      </c>
      <c r="F24" s="19">
        <f>IF(AC21&gt;999,999,AC21)</f>
        <v>422.72847020348837</v>
      </c>
      <c r="G24" s="20">
        <f>IF(AC21+M9&gt;999,999,F24+M9)</f>
        <v>474.72847020348837</v>
      </c>
      <c r="I24" s="18" t="s">
        <v>14</v>
      </c>
      <c r="J24" s="19">
        <f>F24-90</f>
        <v>332.72847020348837</v>
      </c>
      <c r="K24" s="17">
        <f>G24-90</f>
        <v>384.72847020348837</v>
      </c>
      <c r="M24" s="18" t="s">
        <v>14</v>
      </c>
      <c r="N24" s="19">
        <f>F24+90</f>
        <v>512.72847020348831</v>
      </c>
      <c r="O24" s="83">
        <f>G24+90</f>
        <v>564.72847020348831</v>
      </c>
      <c r="Q24" s="94"/>
      <c r="R24" s="95"/>
      <c r="S24" s="95" t="s">
        <v>23</v>
      </c>
      <c r="T24" s="95"/>
      <c r="U24" s="95"/>
      <c r="V24" s="95"/>
      <c r="W24" s="95"/>
      <c r="X24" s="95"/>
      <c r="Y24" s="95" t="s">
        <v>24</v>
      </c>
      <c r="Z24" s="95" t="s">
        <v>25</v>
      </c>
      <c r="AA24" s="95" t="s">
        <v>26</v>
      </c>
      <c r="AB24" s="95"/>
      <c r="AC24" s="95"/>
      <c r="AD24" s="93" t="s">
        <v>24</v>
      </c>
      <c r="AE24" s="93" t="s">
        <v>25</v>
      </c>
      <c r="AF24" s="96"/>
      <c r="AG24" s="93" t="s">
        <v>94</v>
      </c>
      <c r="AH24" s="105" t="s">
        <v>95</v>
      </c>
      <c r="AI24" s="105" t="s">
        <v>94</v>
      </c>
      <c r="AJ24" s="93" t="s">
        <v>95</v>
      </c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4" t="s">
        <v>87</v>
      </c>
      <c r="AV24" s="124">
        <f t="shared" si="2"/>
        <v>349.65333333333331</v>
      </c>
      <c r="AW24" s="124">
        <f t="shared" si="3"/>
        <v>841.2</v>
      </c>
      <c r="AX24" s="124">
        <f t="shared" si="4"/>
        <v>482.38666666666666</v>
      </c>
      <c r="AY24" s="124">
        <f t="shared" si="5"/>
        <v>497.96</v>
      </c>
      <c r="AZ24" s="124">
        <f t="shared" si="6"/>
        <v>618.72</v>
      </c>
      <c r="BA24" s="124">
        <f t="shared" si="43"/>
        <v>-83.306666666666672</v>
      </c>
      <c r="BB24" s="124">
        <f t="shared" si="44"/>
        <v>83.306666666666672</v>
      </c>
      <c r="BC24" s="4">
        <v>73</v>
      </c>
      <c r="BD24" s="4">
        <v>4.2</v>
      </c>
      <c r="BE24" s="4" t="s">
        <v>179</v>
      </c>
      <c r="BF24" s="4" t="s">
        <v>180</v>
      </c>
      <c r="BG24" s="4">
        <v>120</v>
      </c>
      <c r="BH24" s="4">
        <v>161</v>
      </c>
      <c r="BI24" s="4">
        <v>202</v>
      </c>
      <c r="BJ24" s="4">
        <v>243</v>
      </c>
      <c r="BK24" s="4">
        <v>279</v>
      </c>
      <c r="BL24" s="4">
        <v>41</v>
      </c>
      <c r="BM24" s="88"/>
      <c r="BN24" s="88"/>
      <c r="BO24" s="88"/>
      <c r="BP24" s="88">
        <v>0.59557142857142853</v>
      </c>
      <c r="BQ24" s="88">
        <v>0.56916666666666671</v>
      </c>
      <c r="BR24" s="88">
        <v>0.57934146341463399</v>
      </c>
      <c r="BS24" s="88">
        <v>0.56621052631578939</v>
      </c>
      <c r="BT24" s="88">
        <v>0.85353333333333314</v>
      </c>
      <c r="BU24" s="88">
        <v>0.82818749999999985</v>
      </c>
      <c r="BV24" s="88">
        <v>0.78033333333333343</v>
      </c>
      <c r="BW24" s="88">
        <v>0.75293103448275867</v>
      </c>
      <c r="BX24" s="88">
        <v>0.74346808510638307</v>
      </c>
      <c r="BY24" s="88">
        <v>0.71493258426966277</v>
      </c>
      <c r="BZ24" s="88">
        <v>0.69911999999999974</v>
      </c>
      <c r="CA24" s="4" t="s">
        <v>87</v>
      </c>
      <c r="CB24" s="88">
        <v>30.660194174757283</v>
      </c>
      <c r="CC24" s="88">
        <v>40.067961165048544</v>
      </c>
      <c r="CD24" s="88">
        <v>18.417475728155338</v>
      </c>
      <c r="CE24" s="88">
        <v>22.708737864077669</v>
      </c>
      <c r="CF24" s="88">
        <v>27.21359223300971</v>
      </c>
      <c r="CG24" s="88">
        <v>24.970873786407768</v>
      </c>
      <c r="CH24" s="88">
        <v>12.262135922330097</v>
      </c>
      <c r="CI24" s="88">
        <v>31.067961165048544</v>
      </c>
      <c r="CJ24" s="88">
        <v>35.572815533980581</v>
      </c>
      <c r="CK24" s="88">
        <v>34.349514563106794</v>
      </c>
      <c r="CL24" s="88">
        <v>10.640776699029127</v>
      </c>
      <c r="CM24" s="108">
        <v>1.0958000000000001</v>
      </c>
      <c r="CN24" s="4" t="s">
        <v>180</v>
      </c>
      <c r="CO24" s="4">
        <v>103</v>
      </c>
      <c r="CP24" s="106"/>
      <c r="CQ24" s="106"/>
      <c r="CU24" s="4" t="s">
        <v>87</v>
      </c>
      <c r="CV24" s="5" t="s">
        <v>87</v>
      </c>
      <c r="CW24" s="5">
        <v>349.65333333333331</v>
      </c>
      <c r="CX24" s="5">
        <v>841.2</v>
      </c>
      <c r="CY24" s="5">
        <v>482.38666666666666</v>
      </c>
      <c r="CZ24" s="5">
        <v>497.96</v>
      </c>
      <c r="DA24" s="5">
        <v>618.72</v>
      </c>
      <c r="DB24" s="157">
        <v>-166.61333333333334</v>
      </c>
      <c r="DC24" s="5">
        <v>75</v>
      </c>
      <c r="DD24" s="5">
        <v>438.30769230769232</v>
      </c>
      <c r="DE24" s="5">
        <v>803.07692307692309</v>
      </c>
      <c r="DF24" s="5">
        <v>513.76923076923072</v>
      </c>
      <c r="DG24" s="5">
        <v>318.15384615384613</v>
      </c>
      <c r="DH24" s="5">
        <v>535.23076923076928</v>
      </c>
      <c r="DI24" s="5">
        <v>-117.76923076923077</v>
      </c>
      <c r="DJ24" s="5">
        <v>13</v>
      </c>
      <c r="DL24" s="4" t="s">
        <v>87</v>
      </c>
      <c r="DM24" s="5">
        <v>15</v>
      </c>
      <c r="DN24" s="5">
        <v>16</v>
      </c>
      <c r="DO24" s="5">
        <v>12</v>
      </c>
      <c r="DP24" s="5">
        <v>29</v>
      </c>
      <c r="DR24" s="5">
        <v>89</v>
      </c>
      <c r="DS24" s="5">
        <v>25</v>
      </c>
      <c r="DW24" s="5">
        <v>7</v>
      </c>
      <c r="DX24" s="5">
        <v>12</v>
      </c>
      <c r="DY24" s="5">
        <v>41</v>
      </c>
      <c r="DZ24" s="5">
        <v>19</v>
      </c>
    </row>
    <row r="25" spans="2:130" ht="15" hidden="1" customHeight="1">
      <c r="C25" s="241"/>
      <c r="E25" s="18" t="s">
        <v>15</v>
      </c>
      <c r="F25" s="19">
        <f>IF(AC21&gt;999,999,AC21)</f>
        <v>422.72847020348837</v>
      </c>
      <c r="G25" s="20">
        <f>IF(AC21+N9&gt;999,999,AC21+N9)</f>
        <v>370.72847020348837</v>
      </c>
      <c r="I25" s="18" t="s">
        <v>15</v>
      </c>
      <c r="J25" s="19">
        <f>F25-90</f>
        <v>332.72847020348837</v>
      </c>
      <c r="K25" s="17">
        <f>G25-90</f>
        <v>280.72847020348837</v>
      </c>
      <c r="M25" s="18" t="s">
        <v>15</v>
      </c>
      <c r="N25" s="19">
        <f>F25+90</f>
        <v>512.72847020348831</v>
      </c>
      <c r="O25" s="83">
        <f>G25+90</f>
        <v>460.72847020348837</v>
      </c>
      <c r="Q25" s="94" t="s">
        <v>27</v>
      </c>
      <c r="R25" s="97">
        <f>F13</f>
        <v>864</v>
      </c>
      <c r="S25" s="97">
        <f>VLOOKUP(G13,$R$3:$V$9,5,FALSE)</f>
        <v>0</v>
      </c>
      <c r="T25" s="97">
        <f>IF(IF(S25=0,R25+$CR$15,IF(S25=-1,R25+$CR$15,IF(S25=-2,R25+(2*$CR$15),IF(S25=-3,R25+(3*$CR$15),IF(S25=1,R25-$CR$15,IF(S25=2,R25-(2*$CR$15),R25-(3*$CR$15)))))))&gt;999,999,IF(S25=0,R25+$CR$15,IF(S25=-1,R25+$CR$15,IF(S25=-2,R25+(2*$CR$15),IF(S25=-3,R25+(3*$CR$15),IF(S25=1,R25-$CR$15,IF(S25=2,R25-(2*$CR$15),R25-(3*$CR$15))))))))</f>
        <v>931.5</v>
      </c>
      <c r="U25" s="95"/>
      <c r="V25" s="95"/>
      <c r="W25" s="95"/>
      <c r="X25" s="95" t="str">
        <f>$B$13</f>
        <v>Tour</v>
      </c>
      <c r="Y25" s="97">
        <f t="shared" ref="Y25:Y32" si="45">IF(S25=0,R25,IF(S25&lt;0,R25,T25))</f>
        <v>864</v>
      </c>
      <c r="Z25" s="97">
        <f>IF(S25&gt;0,R25,T25)</f>
        <v>931.5</v>
      </c>
      <c r="AA25" s="97">
        <f>AVERAGE(Y25:Z25)</f>
        <v>897.75</v>
      </c>
      <c r="AB25" s="97">
        <f>ROUND(IF(SUM($S$25:$S$32)&gt;0,AA25-$CR$15,AA25+$CR$15),0)</f>
        <v>965</v>
      </c>
      <c r="AC25" s="97">
        <f>AB25</f>
        <v>965</v>
      </c>
      <c r="AD25" s="98"/>
      <c r="AE25" s="98"/>
      <c r="AF25" s="99"/>
      <c r="AG25" s="98">
        <f>IF(S25=0,R25,999)</f>
        <v>864</v>
      </c>
      <c r="AH25" s="107">
        <f>IF(S25=0,R25,0)</f>
        <v>864</v>
      </c>
      <c r="AI25" s="107">
        <f>IF(S25=0,999,R25)</f>
        <v>999</v>
      </c>
      <c r="AJ25" s="98">
        <f>IF(S25=0,0,R25)</f>
        <v>0</v>
      </c>
      <c r="AK25" s="98">
        <f t="shared" ref="AK25:AK32" si="46">IF(AG25-AH25=999,((AL25+AI25)/2),((AH25+AI25)/2))</f>
        <v>931.5</v>
      </c>
      <c r="AL25" s="98">
        <f>IF(R25=999,999,IF(AG25-AH25=999,(AJ25+AN25)/2,(AJ25+AG25)/2))</f>
        <v>432</v>
      </c>
      <c r="AM25" s="98"/>
      <c r="AN25" s="98"/>
      <c r="AO25" s="98"/>
      <c r="AP25" s="98"/>
      <c r="AQ25" s="98">
        <f>IF(S25=0,0,S25)</f>
        <v>0</v>
      </c>
      <c r="AR25" s="98">
        <f>R25</f>
        <v>864</v>
      </c>
      <c r="AS25" s="98">
        <f t="shared" ref="AS25:AS32" si="47">IF(X25="Stop",IF(AT25=1,R25-$CR$15,IF(AT25=(-1),R25+$CR$15,IF(AQ24=0,0,((AR24+AR25)/2)+(2*$CQ$15)))),0)</f>
        <v>0</v>
      </c>
      <c r="AT25" s="98">
        <f>IF(AND((AR24=$AR25),AQ24=1),1,IF(AND((AR24=$AR25),AQ24=-1),-1,0))</f>
        <v>0</v>
      </c>
      <c r="AU25" s="4" t="s">
        <v>88</v>
      </c>
      <c r="AV25" s="124">
        <f t="shared" si="2"/>
        <v>141.88709677419354</v>
      </c>
      <c r="AW25" s="124">
        <f t="shared" si="3"/>
        <v>821.01612903225805</v>
      </c>
      <c r="AX25" s="124">
        <f t="shared" si="4"/>
        <v>81.048387096774192</v>
      </c>
      <c r="AY25" s="124">
        <f t="shared" si="5"/>
        <v>716.37096774193549</v>
      </c>
      <c r="AZ25" s="124">
        <f t="shared" si="6"/>
        <v>394.70967741935482</v>
      </c>
      <c r="BA25" s="124">
        <f t="shared" si="43"/>
        <v>4.838709677419355</v>
      </c>
      <c r="BB25" s="124">
        <f t="shared" si="44"/>
        <v>-4.838709677419355</v>
      </c>
      <c r="BC25" s="4">
        <v>80</v>
      </c>
      <c r="BD25" s="4">
        <v>4.0220000000000002</v>
      </c>
      <c r="BE25" s="4" t="s">
        <v>181</v>
      </c>
      <c r="BF25" s="4" t="s">
        <v>182</v>
      </c>
      <c r="BG25" s="4">
        <v>134</v>
      </c>
      <c r="BH25" s="4">
        <v>180</v>
      </c>
      <c r="BI25" s="4">
        <v>226</v>
      </c>
      <c r="BJ25" s="4">
        <v>272</v>
      </c>
      <c r="BK25" s="4">
        <v>313</v>
      </c>
      <c r="BL25" s="4">
        <v>46</v>
      </c>
      <c r="BM25" s="88"/>
      <c r="BN25" s="88"/>
      <c r="BO25" s="88"/>
      <c r="BP25" s="88">
        <v>0.64980000000000004</v>
      </c>
      <c r="BQ25" s="88"/>
      <c r="BR25" s="88">
        <v>0.6216666666666667</v>
      </c>
      <c r="BS25" s="88"/>
      <c r="BT25" s="88">
        <v>0.85711111111111105</v>
      </c>
      <c r="BU25" s="88">
        <v>0.84399999999999997</v>
      </c>
      <c r="BV25" s="88">
        <v>0.79033333333333333</v>
      </c>
      <c r="BW25" s="88">
        <v>0.79617647058823549</v>
      </c>
      <c r="BX25" s="88">
        <v>0.75377999999999956</v>
      </c>
      <c r="BY25" s="88">
        <v>0.72824324324324285</v>
      </c>
      <c r="BZ25" s="88">
        <v>0.70120000000000005</v>
      </c>
      <c r="CA25" s="4" t="s">
        <v>88</v>
      </c>
      <c r="CB25" s="88">
        <v>19.627450980392158</v>
      </c>
      <c r="CC25" s="88">
        <v>60.568627450980394</v>
      </c>
      <c r="CD25" s="88">
        <v>12.03921568627451</v>
      </c>
      <c r="CE25" s="88">
        <v>14</v>
      </c>
      <c r="CF25" s="88">
        <v>22.921568627450981</v>
      </c>
      <c r="CG25" s="88">
        <v>16.137254901960784</v>
      </c>
      <c r="CH25" s="88">
        <v>18.549019607843139</v>
      </c>
      <c r="CI25" s="88">
        <v>11.549019607843137</v>
      </c>
      <c r="CJ25" s="88">
        <v>7.9803921568627452</v>
      </c>
      <c r="CK25" s="88">
        <v>20.235294117647058</v>
      </c>
      <c r="CL25" s="88">
        <v>13.627450980392156</v>
      </c>
      <c r="CM25" s="108">
        <v>1.05</v>
      </c>
      <c r="CN25" s="4" t="s">
        <v>182</v>
      </c>
      <c r="CO25" s="4">
        <v>51</v>
      </c>
      <c r="CP25" s="106"/>
      <c r="CQ25" s="106"/>
      <c r="CU25" s="4" t="s">
        <v>88</v>
      </c>
      <c r="CV25" s="5" t="s">
        <v>88</v>
      </c>
      <c r="CW25" s="5">
        <v>141.88709677419354</v>
      </c>
      <c r="CX25" s="5">
        <v>821.01612903225805</v>
      </c>
      <c r="CY25" s="5">
        <v>81.048387096774192</v>
      </c>
      <c r="CZ25" s="5">
        <v>716.37096774193549</v>
      </c>
      <c r="DA25" s="5">
        <v>394.70967741935482</v>
      </c>
      <c r="DB25" s="157">
        <v>9.67741935483871</v>
      </c>
      <c r="DC25" s="5">
        <v>62</v>
      </c>
      <c r="DL25" s="4" t="s">
        <v>88</v>
      </c>
      <c r="DM25" s="5">
        <v>9</v>
      </c>
      <c r="DN25" s="5">
        <v>15</v>
      </c>
      <c r="DO25" s="5">
        <v>6</v>
      </c>
      <c r="DP25" s="5">
        <v>17</v>
      </c>
      <c r="DR25" s="5">
        <v>74</v>
      </c>
      <c r="DS25" s="5">
        <v>20</v>
      </c>
      <c r="DW25" s="5">
        <v>5</v>
      </c>
      <c r="DY25" s="5">
        <v>3</v>
      </c>
    </row>
    <row r="26" spans="2:130" ht="15" hidden="1" customHeight="1">
      <c r="C26" s="241"/>
      <c r="E26" s="18" t="s">
        <v>16</v>
      </c>
      <c r="F26" s="19">
        <f>IF(AC32&gt;999,999,AC32)</f>
        <v>930.97265625</v>
      </c>
      <c r="G26" s="20">
        <f>F26</f>
        <v>930.97265625</v>
      </c>
      <c r="I26" s="18" t="s">
        <v>16</v>
      </c>
      <c r="J26" s="19">
        <f>F26+80</f>
        <v>1010.97265625</v>
      </c>
      <c r="K26" s="20">
        <f>G26+80</f>
        <v>1010.97265625</v>
      </c>
      <c r="M26" s="18" t="s">
        <v>16</v>
      </c>
      <c r="N26" s="19">
        <f>F26-80</f>
        <v>850.97265625</v>
      </c>
      <c r="O26" s="84">
        <f>G26-80</f>
        <v>850.97265625</v>
      </c>
      <c r="Q26" s="94" t="s">
        <v>28</v>
      </c>
      <c r="R26" s="97">
        <f t="shared" ref="R26:R32" si="48">F14</f>
        <v>931.5</v>
      </c>
      <c r="S26" s="97">
        <f t="shared" ref="S26:S32" si="49">VLOOKUP(G14,$R$3:$V$9,5,FALSE)</f>
        <v>0</v>
      </c>
      <c r="T26" s="97">
        <f t="shared" ref="T26:T32" si="50">IF(W26&gt;999,999,IF(W26&lt;1,1,W26))</f>
        <v>965.25</v>
      </c>
      <c r="U26" s="97">
        <f t="shared" ref="U26:U32" si="51">IF(OR(S26=-2,S26=2),R26-($CQ$15*2),IF(OR(S26=-3,S26=3),R26-($CQ$15*3),R26-AF26))</f>
        <v>897.75</v>
      </c>
      <c r="V26" s="97">
        <f t="shared" ref="V26:V32" si="52">IF(OR(S26=-2,S26=2),R26+($CQ$15*2),IF(OR(S26=-3,S26=3),R26+($CQ$15*3),R26+AF26))</f>
        <v>965.25</v>
      </c>
      <c r="W26" s="97">
        <f t="shared" ref="W26:W32" si="53">IF(AND(S25-S26=0,S25=0),IF(SUM($S$25:$S$32)&lt;0,U26,V26),IF(AND(S25-S26&gt;0,S26=0),V26,IF(S25-S26&lt;0,IF(S26&gt;=0,U26,V26),IF(AND(S25-S26=0,S26&lt;0),V26,IF(AND(S25-S26&gt;0,S25=0),V26,U26)))))</f>
        <v>965.25</v>
      </c>
      <c r="X26" s="95" t="str">
        <f>IF(X25="Stop","Stop",$B$14)</f>
        <v>Tour</v>
      </c>
      <c r="Y26" s="97">
        <f t="shared" si="45"/>
        <v>931.5</v>
      </c>
      <c r="Z26" s="97">
        <f t="shared" ref="Z26:Z32" si="54">IF(S26&gt;0,R26,T26)</f>
        <v>965.25</v>
      </c>
      <c r="AA26" s="97">
        <f t="shared" ref="AA26:AA32" si="55">AVERAGE(Y26:Z26)</f>
        <v>948.375</v>
      </c>
      <c r="AB26" s="97">
        <f>IF(AND(S25=0,S26=0),(R26+R25)/2,ROUND(IF(SUM(S25:S32)&gt;0,AK26-$CR$15,AL26+$CR$15),0))</f>
        <v>897.75</v>
      </c>
      <c r="AC26" s="97">
        <f t="shared" ref="AC26:AC32" si="56">IF(X26="stop",IF(AS26=0,AC25,AS26),AB26)</f>
        <v>897.75</v>
      </c>
      <c r="AD26" s="97">
        <f>IF(R26&lt;R25,R26,R25)</f>
        <v>864</v>
      </c>
      <c r="AE26" s="97">
        <f>IF(R26&gt;R25,R26,R25)</f>
        <v>931.5</v>
      </c>
      <c r="AF26" s="100">
        <f>IF(R25-R26&gt;0,(R25-R26)/2,(R26-R25)/2)</f>
        <v>33.75</v>
      </c>
      <c r="AG26" s="98">
        <f t="shared" ref="AG26:AG32" si="57">IF(S26=0,IF(R26&lt;AG25,R26,AG25),AG25)</f>
        <v>864</v>
      </c>
      <c r="AH26" s="107">
        <f t="shared" ref="AH26:AH32" si="58">IF(S26=0,IF(R26&gt;AH25,R26,AH25),AH25)</f>
        <v>931.5</v>
      </c>
      <c r="AI26" s="107">
        <f t="shared" ref="AI26:AI32" si="59">IF(S26=0,AI25,IF(R26&lt;AI25,R26,AG25))</f>
        <v>999</v>
      </c>
      <c r="AJ26" s="98">
        <f t="shared" ref="AJ26:AJ32" si="60">IF(S26=0,AJ25,IF(R26&gt;AJ25,R26,AJ25))</f>
        <v>0</v>
      </c>
      <c r="AK26" s="98">
        <f t="shared" si="46"/>
        <v>965.25</v>
      </c>
      <c r="AL26" s="98">
        <f t="shared" ref="AL26:AL32" si="61">IF(R26=999,999,IF(AG26-AH26=999,(AJ26+AN26)/2,(AJ26+AG26)/2))</f>
        <v>432</v>
      </c>
      <c r="AM26" s="98">
        <f>S26-S25</f>
        <v>0</v>
      </c>
      <c r="AN26" s="98">
        <f t="shared" ref="AN26:AN32" si="62">IF(AM26=0,AN25,R26)</f>
        <v>0</v>
      </c>
      <c r="AO26" s="98">
        <f>IF(S26=S25,0,1)</f>
        <v>0</v>
      </c>
      <c r="AP26" s="98">
        <f>IF(X26="Stop",AP25,IF(AO26=0,(R26+$R$14)/2,AC26))</f>
        <v>643.62790697674416</v>
      </c>
      <c r="AQ26" s="98">
        <f>IF(AQ25=0,0,IF(S26=0,0,S26))</f>
        <v>0</v>
      </c>
      <c r="AR26" s="98">
        <f>IF(AQ26=AQ25,AR25,R26)</f>
        <v>864</v>
      </c>
      <c r="AS26" s="98">
        <f t="shared" si="47"/>
        <v>0</v>
      </c>
      <c r="AT26" s="98">
        <f>IF(AND((AR25=$AR25),AQ25=1),1,IF(AND((AR25=$AR25),AQ25=-1),-1,0))</f>
        <v>0</v>
      </c>
      <c r="AU26" s="4" t="s">
        <v>47</v>
      </c>
      <c r="AV26" s="124">
        <f t="shared" si="2"/>
        <v>555.63855421686742</v>
      </c>
      <c r="AW26" s="124">
        <f t="shared" si="3"/>
        <v>706.14457831325296</v>
      </c>
      <c r="AX26" s="124">
        <f t="shared" si="4"/>
        <v>573.65060240963851</v>
      </c>
      <c r="AY26" s="124">
        <f t="shared" si="5"/>
        <v>418.93975903614455</v>
      </c>
      <c r="AZ26" s="124">
        <f t="shared" si="6"/>
        <v>421.49397590361446</v>
      </c>
      <c r="BA26" s="124">
        <f t="shared" si="43"/>
        <v>-140.0843373493976</v>
      </c>
      <c r="BB26" s="124">
        <f t="shared" si="44"/>
        <v>140.0843373493976</v>
      </c>
      <c r="BC26" s="4">
        <v>71</v>
      </c>
      <c r="BD26" s="4">
        <v>4.3079999999999998</v>
      </c>
      <c r="BE26" s="4" t="s">
        <v>179</v>
      </c>
      <c r="BF26" s="4" t="s">
        <v>179</v>
      </c>
      <c r="BG26" s="4">
        <v>120</v>
      </c>
      <c r="BH26" s="4">
        <v>161</v>
      </c>
      <c r="BI26" s="4">
        <v>202</v>
      </c>
      <c r="BJ26" s="4">
        <v>243</v>
      </c>
      <c r="BK26" s="4">
        <v>279</v>
      </c>
      <c r="BL26" s="4">
        <v>41</v>
      </c>
      <c r="BM26" s="88">
        <v>0.61099999999999999</v>
      </c>
      <c r="BN26" s="88"/>
      <c r="BO26" s="88"/>
      <c r="BP26" s="88"/>
      <c r="BQ26" s="88"/>
      <c r="BR26" s="88"/>
      <c r="BS26" s="88">
        <v>0.50466666666666671</v>
      </c>
      <c r="BT26" s="88">
        <v>0.78689999999999993</v>
      </c>
      <c r="BU26" s="88">
        <v>0.77366666666666672</v>
      </c>
      <c r="BV26" s="88">
        <v>0.73094444444444429</v>
      </c>
      <c r="BW26" s="88">
        <v>0.72942857142857143</v>
      </c>
      <c r="BX26" s="88">
        <v>0.69233333333333369</v>
      </c>
      <c r="BY26" s="88">
        <v>0.66950877192982472</v>
      </c>
      <c r="BZ26" s="88">
        <v>0.65196825396825386</v>
      </c>
      <c r="CA26" s="4" t="s">
        <v>47</v>
      </c>
      <c r="CB26" s="88">
        <v>26.745283018867923</v>
      </c>
      <c r="CC26" s="88">
        <v>36.009433962264154</v>
      </c>
      <c r="CD26" s="88">
        <v>21.29245283018868</v>
      </c>
      <c r="CE26" s="88">
        <v>16.018867924528301</v>
      </c>
      <c r="CF26" s="88">
        <v>30.924528301886792</v>
      </c>
      <c r="CG26" s="88">
        <v>15.69811320754717</v>
      </c>
      <c r="CH26" s="88">
        <v>14.754716981132075</v>
      </c>
      <c r="CI26" s="88">
        <v>21.735849056603772</v>
      </c>
      <c r="CJ26" s="88">
        <v>36.962264150943398</v>
      </c>
      <c r="CK26" s="88">
        <v>27.556603773584907</v>
      </c>
      <c r="CL26" s="88">
        <v>13.971698113207546</v>
      </c>
      <c r="CM26" s="108">
        <v>1.18</v>
      </c>
      <c r="CN26" s="4" t="s">
        <v>179</v>
      </c>
      <c r="CO26" s="4">
        <v>106</v>
      </c>
      <c r="CP26" s="106"/>
      <c r="CQ26" s="106"/>
      <c r="CU26" s="4" t="s">
        <v>47</v>
      </c>
      <c r="CV26" s="5" t="s">
        <v>47</v>
      </c>
      <c r="CW26" s="5">
        <v>555.63855421686742</v>
      </c>
      <c r="CX26" s="5">
        <v>706.14457831325296</v>
      </c>
      <c r="CY26" s="5">
        <v>573.65060240963851</v>
      </c>
      <c r="CZ26" s="5">
        <v>418.93975903614455</v>
      </c>
      <c r="DA26" s="5">
        <v>421.49397590361446</v>
      </c>
      <c r="DB26" s="157">
        <v>-280.1686746987952</v>
      </c>
      <c r="DC26" s="5">
        <v>83</v>
      </c>
      <c r="DL26" s="4" t="s">
        <v>47</v>
      </c>
      <c r="DM26" s="5">
        <v>20</v>
      </c>
      <c r="DN26" s="5">
        <v>6</v>
      </c>
      <c r="DO26" s="5">
        <v>18</v>
      </c>
      <c r="DP26" s="5">
        <v>21</v>
      </c>
      <c r="DR26" s="5">
        <v>114</v>
      </c>
      <c r="DS26" s="5">
        <v>63</v>
      </c>
      <c r="DT26" s="5">
        <v>1</v>
      </c>
      <c r="DZ26" s="5">
        <v>3</v>
      </c>
    </row>
    <row r="27" spans="2:130" ht="15" hidden="1" customHeight="1">
      <c r="C27" s="241"/>
      <c r="E27" s="18" t="s">
        <v>17</v>
      </c>
      <c r="F27" s="19">
        <f>IF(AC43&gt;999,999,AC43)</f>
        <v>709.19358648255809</v>
      </c>
      <c r="G27" s="20">
        <f>F27</f>
        <v>709.19358648255809</v>
      </c>
      <c r="I27" s="18" t="s">
        <v>17</v>
      </c>
      <c r="J27" s="19">
        <f>F27-40</f>
        <v>669.19358648255809</v>
      </c>
      <c r="K27" s="20">
        <f>G27-40</f>
        <v>669.19358648255809</v>
      </c>
      <c r="M27" s="18" t="s">
        <v>17</v>
      </c>
      <c r="N27" s="19">
        <f>F27+40</f>
        <v>749.19358648255809</v>
      </c>
      <c r="O27" s="84">
        <f>G27+40</f>
        <v>749.19358648255809</v>
      </c>
      <c r="Q27" s="94" t="s">
        <v>29</v>
      </c>
      <c r="R27" s="97">
        <f t="shared" si="48"/>
        <v>965.25</v>
      </c>
      <c r="S27" s="97">
        <f t="shared" si="49"/>
        <v>0</v>
      </c>
      <c r="T27" s="97">
        <f t="shared" si="50"/>
        <v>982.125</v>
      </c>
      <c r="U27" s="97">
        <f t="shared" si="51"/>
        <v>948.375</v>
      </c>
      <c r="V27" s="97">
        <f t="shared" si="52"/>
        <v>982.125</v>
      </c>
      <c r="W27" s="97">
        <f t="shared" si="53"/>
        <v>982.125</v>
      </c>
      <c r="X27" s="95" t="str">
        <f>IF(X26="Stop","Stop",$B$15)</f>
        <v>Tour</v>
      </c>
      <c r="Y27" s="97">
        <f t="shared" si="45"/>
        <v>965.25</v>
      </c>
      <c r="Z27" s="97">
        <f t="shared" si="54"/>
        <v>982.125</v>
      </c>
      <c r="AA27" s="97">
        <f t="shared" si="55"/>
        <v>973.6875</v>
      </c>
      <c r="AB27" s="97">
        <f>IF(AND(S25=0,S26=0,S27=0),(R27+R25)/2,ROUND(IF(SUM(S25:S32)&gt;0,AK27-$CR$15,AL27+$CR$15),0))</f>
        <v>914.625</v>
      </c>
      <c r="AC27" s="97">
        <f t="shared" si="56"/>
        <v>914.625</v>
      </c>
      <c r="AD27" s="97">
        <f t="shared" ref="AD27:AD32" si="63">IF(R27&lt;R26,R27,R26)</f>
        <v>931.5</v>
      </c>
      <c r="AE27" s="97">
        <f t="shared" ref="AE27:AE32" si="64">IF(R27&gt;R26,R27,R26)</f>
        <v>965.25</v>
      </c>
      <c r="AF27" s="100">
        <f t="shared" ref="AF27:AF32" si="65">IF(R26-R27&gt;0,(R26-R27)/2,(R27-R26)/2)</f>
        <v>16.875</v>
      </c>
      <c r="AG27" s="98">
        <f t="shared" si="57"/>
        <v>864</v>
      </c>
      <c r="AH27" s="107">
        <f t="shared" si="58"/>
        <v>965.25</v>
      </c>
      <c r="AI27" s="107">
        <f t="shared" si="59"/>
        <v>999</v>
      </c>
      <c r="AJ27" s="98">
        <f t="shared" si="60"/>
        <v>0</v>
      </c>
      <c r="AK27" s="98">
        <f t="shared" si="46"/>
        <v>982.125</v>
      </c>
      <c r="AL27" s="98">
        <f t="shared" si="61"/>
        <v>432</v>
      </c>
      <c r="AM27" s="98">
        <f t="shared" ref="AM27:AM32" si="66">S27-S26</f>
        <v>0</v>
      </c>
      <c r="AN27" s="98">
        <f t="shared" si="62"/>
        <v>0</v>
      </c>
      <c r="AO27" s="98">
        <f t="shared" ref="AO27:AO32" si="67">IF(S27=S26,0,1)</f>
        <v>0</v>
      </c>
      <c r="AP27" s="98">
        <f t="shared" ref="AP27:AP32" si="68">IF(X27="Stop",AP26,IF(AO27=0,(R27+$R$14)/2,AC27))</f>
        <v>660.50290697674416</v>
      </c>
      <c r="AQ27" s="98">
        <f t="shared" ref="AQ27:AQ32" si="69">IF(AQ26=0,0,IF(S27=0,0,S27))</f>
        <v>0</v>
      </c>
      <c r="AR27" s="98">
        <f t="shared" ref="AR27:AR32" si="70">IF(AQ27=AQ26,AR26,R27)</f>
        <v>864</v>
      </c>
      <c r="AS27" s="98">
        <f t="shared" si="47"/>
        <v>0</v>
      </c>
      <c r="AT27" s="98">
        <f>IF(AND((AR26=$AR25),AQ26=1),1,IF(AND((AR26=$AR25),AQ26=-1),-1,0))</f>
        <v>0</v>
      </c>
      <c r="AU27" s="4" t="s">
        <v>58</v>
      </c>
      <c r="AV27" s="124">
        <f t="shared" si="2"/>
        <v>676.84313725490199</v>
      </c>
      <c r="AW27" s="124">
        <f t="shared" si="3"/>
        <v>607.45098039215691</v>
      </c>
      <c r="AX27" s="124">
        <f t="shared" si="4"/>
        <v>586.3039215686274</v>
      </c>
      <c r="AY27" s="124">
        <f t="shared" si="5"/>
        <v>494.02941176470586</v>
      </c>
      <c r="AZ27" s="124">
        <f t="shared" si="6"/>
        <v>680.62745098039215</v>
      </c>
      <c r="BA27" s="124">
        <f t="shared" si="43"/>
        <v>-94.946078431372555</v>
      </c>
      <c r="BB27" s="124">
        <f t="shared" si="44"/>
        <v>94.946078431372555</v>
      </c>
      <c r="BC27" s="4">
        <v>79</v>
      </c>
      <c r="BD27" s="4">
        <v>3.7160000000000002</v>
      </c>
      <c r="BE27" s="4" t="s">
        <v>180</v>
      </c>
      <c r="BF27" s="4" t="s">
        <v>179</v>
      </c>
      <c r="BG27" s="4">
        <v>109</v>
      </c>
      <c r="BH27" s="4">
        <v>146</v>
      </c>
      <c r="BI27" s="4">
        <v>183</v>
      </c>
      <c r="BJ27" s="4">
        <v>221</v>
      </c>
      <c r="BK27" s="4">
        <v>254</v>
      </c>
      <c r="BL27" s="4">
        <v>38</v>
      </c>
      <c r="BM27" s="88"/>
      <c r="BN27" s="88"/>
      <c r="BO27" s="88"/>
      <c r="BP27" s="88">
        <v>0.61499999999999999</v>
      </c>
      <c r="BQ27" s="88">
        <v>0.58183333333333342</v>
      </c>
      <c r="BR27" s="88">
        <v>0.54857142857142871</v>
      </c>
      <c r="BS27" s="88">
        <v>0.59199999999999997</v>
      </c>
      <c r="BT27" s="88">
        <v>0.76049999999999995</v>
      </c>
      <c r="BU27" s="88">
        <v>0.75200000000000011</v>
      </c>
      <c r="BV27" s="88">
        <v>0.72386363636363649</v>
      </c>
      <c r="BW27" s="88">
        <v>0.72562068965517235</v>
      </c>
      <c r="BX27" s="88">
        <v>0.69876800000000017</v>
      </c>
      <c r="BY27" s="88">
        <v>0.67272272727272764</v>
      </c>
      <c r="BZ27" s="88">
        <v>0.65590540540540565</v>
      </c>
      <c r="CA27" s="4" t="s">
        <v>58</v>
      </c>
      <c r="CB27" s="88">
        <v>18.259740259740258</v>
      </c>
      <c r="CC27" s="88">
        <v>33.29220779220779</v>
      </c>
      <c r="CD27" s="88">
        <v>28.694805194805195</v>
      </c>
      <c r="CE27" s="88">
        <v>26.577922077922079</v>
      </c>
      <c r="CF27" s="88">
        <v>24.025974025974026</v>
      </c>
      <c r="CG27" s="88">
        <v>21.948051948051948</v>
      </c>
      <c r="CH27" s="88">
        <v>23.551948051948052</v>
      </c>
      <c r="CI27" s="88">
        <v>29.727272727272727</v>
      </c>
      <c r="CJ27" s="88">
        <v>33.896103896103895</v>
      </c>
      <c r="CK27" s="88">
        <v>22.954545454545453</v>
      </c>
      <c r="CL27" s="88">
        <v>13.493506493506494</v>
      </c>
      <c r="CM27" s="108">
        <v>1.1872</v>
      </c>
      <c r="CN27" s="4" t="s">
        <v>179</v>
      </c>
      <c r="CO27" s="4">
        <v>154</v>
      </c>
      <c r="CP27" s="106"/>
      <c r="CQ27" s="106"/>
      <c r="CU27" s="4" t="s">
        <v>58</v>
      </c>
      <c r="CV27" s="5" t="s">
        <v>58</v>
      </c>
      <c r="CW27" s="5">
        <v>676.84313725490199</v>
      </c>
      <c r="CX27" s="5">
        <v>607.45098039215691</v>
      </c>
      <c r="CY27" s="5">
        <v>586.3039215686274</v>
      </c>
      <c r="CZ27" s="5">
        <v>494.02941176470586</v>
      </c>
      <c r="DA27" s="5">
        <v>680.62745098039215</v>
      </c>
      <c r="DB27" s="157">
        <v>-189.89215686274511</v>
      </c>
      <c r="DC27" s="5">
        <v>102</v>
      </c>
      <c r="DD27" s="5">
        <v>796.66666666666663</v>
      </c>
      <c r="DE27" s="5">
        <v>464.86666666666667</v>
      </c>
      <c r="DF27" s="5">
        <v>670.8</v>
      </c>
      <c r="DG27" s="5">
        <v>364.53333333333336</v>
      </c>
      <c r="DH27" s="5">
        <v>535.73333333333335</v>
      </c>
      <c r="DI27" s="5">
        <v>-132.13333333333333</v>
      </c>
      <c r="DJ27" s="5">
        <v>30</v>
      </c>
      <c r="DL27" s="4" t="s">
        <v>58</v>
      </c>
      <c r="DM27" s="5">
        <v>10</v>
      </c>
      <c r="DN27" s="5">
        <v>17</v>
      </c>
      <c r="DO27" s="5">
        <v>22</v>
      </c>
      <c r="DP27" s="5">
        <v>29</v>
      </c>
      <c r="DR27" s="5">
        <v>220</v>
      </c>
      <c r="DS27" s="5">
        <v>74</v>
      </c>
      <c r="DW27" s="5">
        <v>2</v>
      </c>
      <c r="DX27" s="5">
        <v>6</v>
      </c>
      <c r="DY27" s="5">
        <v>7</v>
      </c>
      <c r="DZ27" s="5">
        <v>2</v>
      </c>
    </row>
    <row r="28" spans="2:130" ht="15" hidden="1" customHeight="1">
      <c r="C28" s="241"/>
      <c r="E28" s="18" t="s">
        <v>18</v>
      </c>
      <c r="F28" s="19">
        <f>IF(AC54&gt;999,999,AC54)</f>
        <v>728.36800508720933</v>
      </c>
      <c r="G28" s="20">
        <f>F28</f>
        <v>728.36800508720933</v>
      </c>
      <c r="I28" s="18" t="s">
        <v>18</v>
      </c>
      <c r="J28" s="19">
        <f>F28+80</f>
        <v>808.36800508720933</v>
      </c>
      <c r="K28" s="20">
        <f>G28+80</f>
        <v>808.36800508720933</v>
      </c>
      <c r="M28" s="18" t="s">
        <v>18</v>
      </c>
      <c r="N28" s="19">
        <f>F28-80</f>
        <v>648.36800508720933</v>
      </c>
      <c r="O28" s="84">
        <f>G28-80</f>
        <v>648.36800508720933</v>
      </c>
      <c r="Q28" s="94" t="s">
        <v>30</v>
      </c>
      <c r="R28" s="97">
        <f t="shared" si="48"/>
        <v>982.125</v>
      </c>
      <c r="S28" s="97">
        <f t="shared" si="49"/>
        <v>0</v>
      </c>
      <c r="T28" s="97">
        <f t="shared" si="50"/>
        <v>990.5625</v>
      </c>
      <c r="U28" s="97">
        <f t="shared" si="51"/>
        <v>973.6875</v>
      </c>
      <c r="V28" s="97">
        <f t="shared" si="52"/>
        <v>990.5625</v>
      </c>
      <c r="W28" s="97">
        <f t="shared" si="53"/>
        <v>990.5625</v>
      </c>
      <c r="X28" s="95" t="str">
        <f>IF(X27="Stop","Stop",$B$16)</f>
        <v>Tour</v>
      </c>
      <c r="Y28" s="97">
        <f t="shared" si="45"/>
        <v>982.125</v>
      </c>
      <c r="Z28" s="97">
        <f t="shared" si="54"/>
        <v>990.5625</v>
      </c>
      <c r="AA28" s="97">
        <f t="shared" si="55"/>
        <v>986.34375</v>
      </c>
      <c r="AB28" s="97">
        <f>IF(AND(S25=0,S26=0,S27=0,S28=0),(R28+R25)/2,ROUND(IF(SUM(S25:S32)&gt;0,AK28-$CR$15,AL28+$CR$15),0))</f>
        <v>923.0625</v>
      </c>
      <c r="AC28" s="97">
        <f t="shared" si="56"/>
        <v>923.0625</v>
      </c>
      <c r="AD28" s="97">
        <f t="shared" si="63"/>
        <v>965.25</v>
      </c>
      <c r="AE28" s="97">
        <f t="shared" si="64"/>
        <v>982.125</v>
      </c>
      <c r="AF28" s="100">
        <f t="shared" si="65"/>
        <v>8.4375</v>
      </c>
      <c r="AG28" s="98">
        <f t="shared" si="57"/>
        <v>864</v>
      </c>
      <c r="AH28" s="107">
        <f t="shared" si="58"/>
        <v>982.125</v>
      </c>
      <c r="AI28" s="107">
        <f t="shared" si="59"/>
        <v>999</v>
      </c>
      <c r="AJ28" s="98">
        <f t="shared" si="60"/>
        <v>0</v>
      </c>
      <c r="AK28" s="98">
        <f t="shared" si="46"/>
        <v>990.5625</v>
      </c>
      <c r="AL28" s="98">
        <f t="shared" si="61"/>
        <v>432</v>
      </c>
      <c r="AM28" s="98">
        <f t="shared" si="66"/>
        <v>0</v>
      </c>
      <c r="AN28" s="98">
        <f t="shared" si="62"/>
        <v>0</v>
      </c>
      <c r="AO28" s="98">
        <f t="shared" si="67"/>
        <v>0</v>
      </c>
      <c r="AP28" s="98">
        <f t="shared" si="68"/>
        <v>668.94040697674416</v>
      </c>
      <c r="AQ28" s="98">
        <f t="shared" si="69"/>
        <v>0</v>
      </c>
      <c r="AR28" s="98">
        <f t="shared" si="70"/>
        <v>864</v>
      </c>
      <c r="AS28" s="98">
        <f t="shared" si="47"/>
        <v>0</v>
      </c>
      <c r="AT28" s="98">
        <f>IF(AND((AR27=$AR25),AQ27=1),1,IF(AND((AR27=$AR25),AQ27=-1),-1,0))</f>
        <v>0</v>
      </c>
      <c r="AU28" s="4" t="s">
        <v>82</v>
      </c>
      <c r="AV28" s="124">
        <f t="shared" si="2"/>
        <v>465.4296875</v>
      </c>
      <c r="AW28" s="124">
        <f t="shared" si="3"/>
        <v>682.0546875</v>
      </c>
      <c r="AX28" s="124">
        <f t="shared" si="4"/>
        <v>678.7421875</v>
      </c>
      <c r="AY28" s="124">
        <f t="shared" si="5"/>
        <v>412.453125</v>
      </c>
      <c r="AZ28" s="124">
        <f t="shared" si="6"/>
        <v>768.984375</v>
      </c>
      <c r="BA28" s="124">
        <f t="shared" si="43"/>
        <v>13.71484375</v>
      </c>
      <c r="BB28" s="124">
        <f t="shared" si="44"/>
        <v>-13.71484375</v>
      </c>
      <c r="BC28" s="4">
        <v>58</v>
      </c>
      <c r="BD28" s="4">
        <v>5.3339999999999996</v>
      </c>
      <c r="BE28" s="4" t="s">
        <v>179</v>
      </c>
      <c r="BF28" s="4" t="s">
        <v>179</v>
      </c>
      <c r="BG28" s="4">
        <v>120</v>
      </c>
      <c r="BH28" s="4">
        <v>161</v>
      </c>
      <c r="BI28" s="4">
        <v>202</v>
      </c>
      <c r="BJ28" s="4">
        <v>243</v>
      </c>
      <c r="BK28" s="4">
        <v>279</v>
      </c>
      <c r="BL28" s="4">
        <v>41</v>
      </c>
      <c r="BM28" s="88"/>
      <c r="BN28" s="88">
        <v>0.58199999999999996</v>
      </c>
      <c r="BO28" s="88">
        <v>0.57699999999999996</v>
      </c>
      <c r="BP28" s="88">
        <v>0.5554</v>
      </c>
      <c r="BQ28" s="88"/>
      <c r="BR28" s="88">
        <v>0.5083333333333333</v>
      </c>
      <c r="BS28" s="88">
        <v>0.54066666666666674</v>
      </c>
      <c r="BT28" s="88">
        <v>0.77037500000000003</v>
      </c>
      <c r="BU28" s="88">
        <v>0.79210526315789465</v>
      </c>
      <c r="BV28" s="88">
        <v>0.77958333333333341</v>
      </c>
      <c r="BW28" s="88">
        <v>0.73784210526315819</v>
      </c>
      <c r="BX28" s="88">
        <v>0.71010000000000006</v>
      </c>
      <c r="BY28" s="88">
        <v>0.68720152091254738</v>
      </c>
      <c r="BZ28" s="88">
        <v>0.66777894736842069</v>
      </c>
      <c r="CA28" s="4" t="s">
        <v>82</v>
      </c>
      <c r="CB28" s="88">
        <v>18.264550264550266</v>
      </c>
      <c r="CC28" s="88">
        <v>19.830687830687829</v>
      </c>
      <c r="CD28" s="88">
        <v>11.619047619047619</v>
      </c>
      <c r="CE28" s="88">
        <v>12.957671957671957</v>
      </c>
      <c r="CF28" s="88">
        <v>13.555555555555555</v>
      </c>
      <c r="CG28" s="88">
        <v>13.973544973544973</v>
      </c>
      <c r="CH28" s="88">
        <v>18.111111111111111</v>
      </c>
      <c r="CI28" s="88">
        <v>14.047619047619047</v>
      </c>
      <c r="CJ28" s="88">
        <v>29.100529100529101</v>
      </c>
      <c r="CK28" s="88">
        <v>13.19047619047619</v>
      </c>
      <c r="CL28" s="88">
        <v>11.952380952380953</v>
      </c>
      <c r="CM28" s="108">
        <v>1.1499999999999999</v>
      </c>
      <c r="CN28" s="4" t="s">
        <v>179</v>
      </c>
      <c r="CO28" s="4">
        <v>189</v>
      </c>
      <c r="CP28" s="106"/>
      <c r="CQ28" s="106"/>
      <c r="CU28" s="4" t="s">
        <v>82</v>
      </c>
      <c r="CV28" s="5" t="s">
        <v>82</v>
      </c>
      <c r="CW28" s="5">
        <v>465.4296875</v>
      </c>
      <c r="CX28" s="5">
        <v>682.0546875</v>
      </c>
      <c r="CY28" s="5">
        <v>678.7421875</v>
      </c>
      <c r="CZ28" s="5">
        <v>412.453125</v>
      </c>
      <c r="DA28" s="5">
        <v>768.984375</v>
      </c>
      <c r="DB28" s="157">
        <v>27.4296875</v>
      </c>
      <c r="DC28" s="5">
        <v>128</v>
      </c>
      <c r="DD28" s="5">
        <v>564.33333333333337</v>
      </c>
      <c r="DE28" s="5">
        <v>536.52380952380952</v>
      </c>
      <c r="DF28" s="5">
        <v>690.71428571428567</v>
      </c>
      <c r="DG28" s="5">
        <v>409.71428571428572</v>
      </c>
      <c r="DH28" s="5">
        <v>655.33333333333337</v>
      </c>
      <c r="DI28" s="5">
        <v>81.142857142857139</v>
      </c>
      <c r="DJ28" s="5">
        <v>21</v>
      </c>
      <c r="DL28" s="4" t="s">
        <v>82</v>
      </c>
      <c r="DM28" s="5">
        <v>16</v>
      </c>
      <c r="DN28" s="5">
        <v>38</v>
      </c>
      <c r="DO28" s="5">
        <v>24</v>
      </c>
      <c r="DP28" s="5">
        <v>38</v>
      </c>
      <c r="DR28" s="5">
        <v>263</v>
      </c>
      <c r="DS28" s="5">
        <v>95</v>
      </c>
      <c r="DU28" s="5">
        <v>2</v>
      </c>
      <c r="DV28" s="5">
        <v>4</v>
      </c>
      <c r="DW28" s="5">
        <v>5</v>
      </c>
      <c r="DY28" s="5">
        <v>3</v>
      </c>
      <c r="DZ28" s="5">
        <v>6</v>
      </c>
    </row>
    <row r="29" spans="2:130" ht="15" hidden="1" customHeight="1" thickBot="1">
      <c r="C29" s="241"/>
      <c r="E29" s="21" t="s">
        <v>19</v>
      </c>
      <c r="F29" s="22">
        <f>IF(AC65&gt;999,999,AC65)</f>
        <v>715.44940043604652</v>
      </c>
      <c r="G29" s="20">
        <f>F29</f>
        <v>715.44940043604652</v>
      </c>
      <c r="I29" s="21" t="s">
        <v>19</v>
      </c>
      <c r="J29" s="22">
        <f>F29+100</f>
        <v>815.44940043604652</v>
      </c>
      <c r="K29" s="20">
        <f>G29+100</f>
        <v>815.44940043604652</v>
      </c>
      <c r="M29" s="21" t="s">
        <v>19</v>
      </c>
      <c r="N29" s="22">
        <f>F29-100</f>
        <v>615.44940043604652</v>
      </c>
      <c r="O29" s="84">
        <f>G29-100</f>
        <v>615.44940043604652</v>
      </c>
      <c r="Q29" s="94" t="s">
        <v>31</v>
      </c>
      <c r="R29" s="97">
        <f t="shared" si="48"/>
        <v>990.5625</v>
      </c>
      <c r="S29" s="97">
        <f t="shared" si="49"/>
        <v>0</v>
      </c>
      <c r="T29" s="97">
        <f t="shared" si="50"/>
        <v>994.78125</v>
      </c>
      <c r="U29" s="97">
        <f t="shared" si="51"/>
        <v>986.34375</v>
      </c>
      <c r="V29" s="97">
        <f t="shared" si="52"/>
        <v>994.78125</v>
      </c>
      <c r="W29" s="97">
        <f t="shared" si="53"/>
        <v>994.78125</v>
      </c>
      <c r="X29" s="95" t="str">
        <f>IF(X28="Stop","Stop",$B$16)</f>
        <v>Tour</v>
      </c>
      <c r="Y29" s="97">
        <f t="shared" si="45"/>
        <v>990.5625</v>
      </c>
      <c r="Z29" s="97">
        <f t="shared" si="54"/>
        <v>994.78125</v>
      </c>
      <c r="AA29" s="97">
        <f t="shared" si="55"/>
        <v>992.671875</v>
      </c>
      <c r="AB29" s="97">
        <f>IF(AND(S25=0,S26=0,S27=0,S28=0,S29=0),(R29+R25)/2,ROUND(IF(SUM(S25:S32)&gt;0,AK29-$CR$15,AL29+$CR$15),0))</f>
        <v>927.28125</v>
      </c>
      <c r="AC29" s="97">
        <f t="shared" si="56"/>
        <v>927.28125</v>
      </c>
      <c r="AD29" s="97">
        <f t="shared" si="63"/>
        <v>982.125</v>
      </c>
      <c r="AE29" s="97">
        <f t="shared" si="64"/>
        <v>990.5625</v>
      </c>
      <c r="AF29" s="100">
        <f t="shared" si="65"/>
        <v>4.21875</v>
      </c>
      <c r="AG29" s="98">
        <f t="shared" si="57"/>
        <v>864</v>
      </c>
      <c r="AH29" s="107">
        <f t="shared" si="58"/>
        <v>990.5625</v>
      </c>
      <c r="AI29" s="107">
        <f t="shared" si="59"/>
        <v>999</v>
      </c>
      <c r="AJ29" s="98">
        <f t="shared" si="60"/>
        <v>0</v>
      </c>
      <c r="AK29" s="98">
        <f t="shared" si="46"/>
        <v>994.78125</v>
      </c>
      <c r="AL29" s="98">
        <f t="shared" si="61"/>
        <v>432</v>
      </c>
      <c r="AM29" s="98">
        <f t="shared" si="66"/>
        <v>0</v>
      </c>
      <c r="AN29" s="98">
        <f t="shared" si="62"/>
        <v>0</v>
      </c>
      <c r="AO29" s="98">
        <f t="shared" si="67"/>
        <v>0</v>
      </c>
      <c r="AP29" s="98">
        <f t="shared" si="68"/>
        <v>673.15915697674416</v>
      </c>
      <c r="AQ29" s="98">
        <f t="shared" si="69"/>
        <v>0</v>
      </c>
      <c r="AR29" s="98">
        <f t="shared" si="70"/>
        <v>864</v>
      </c>
      <c r="AS29" s="98">
        <f t="shared" si="47"/>
        <v>0</v>
      </c>
      <c r="AT29" s="98">
        <f>IF(AND((AR28=$AR25),AQ28=1),1,IF(AND((AR28=$AR25),AQ28=-1),-1,0))</f>
        <v>0</v>
      </c>
      <c r="AU29" s="4" t="s">
        <v>80</v>
      </c>
      <c r="AV29" s="124">
        <f t="shared" si="2"/>
        <v>718.07407407407402</v>
      </c>
      <c r="AW29" s="124">
        <f t="shared" si="3"/>
        <v>761.68518518518522</v>
      </c>
      <c r="AX29" s="124">
        <f t="shared" si="4"/>
        <v>605.07407407407402</v>
      </c>
      <c r="AY29" s="124">
        <f t="shared" si="5"/>
        <v>573.64814814814815</v>
      </c>
      <c r="AZ29" s="124">
        <f t="shared" si="6"/>
        <v>460.5</v>
      </c>
      <c r="BA29" s="124">
        <f t="shared" si="43"/>
        <v>-11.12962962962963</v>
      </c>
      <c r="BB29" s="124">
        <f t="shared" si="44"/>
        <v>11.12962962962963</v>
      </c>
      <c r="BC29" s="4">
        <v>69</v>
      </c>
      <c r="BD29" s="4">
        <v>4.4409999999999998</v>
      </c>
      <c r="BE29" s="4" t="s">
        <v>182</v>
      </c>
      <c r="BF29" s="4" t="s">
        <v>180</v>
      </c>
      <c r="BG29" s="4">
        <v>99</v>
      </c>
      <c r="BH29" s="4">
        <v>133</v>
      </c>
      <c r="BI29" s="4">
        <v>168</v>
      </c>
      <c r="BJ29" s="4">
        <v>202</v>
      </c>
      <c r="BK29" s="4">
        <v>232</v>
      </c>
      <c r="BL29" s="4">
        <v>35</v>
      </c>
      <c r="BM29" s="88">
        <v>0.52249999999999996</v>
      </c>
      <c r="BN29" s="88"/>
      <c r="BO29" s="88"/>
      <c r="BP29" s="88">
        <v>0.48649999999999999</v>
      </c>
      <c r="BQ29" s="88"/>
      <c r="BR29" s="88">
        <v>0.43753846153846154</v>
      </c>
      <c r="BS29" s="88">
        <v>0.42474999999999996</v>
      </c>
      <c r="BT29" s="88">
        <v>0.83266666666666656</v>
      </c>
      <c r="BU29" s="88">
        <v>0.80671428571428572</v>
      </c>
      <c r="BV29" s="88">
        <v>0.77823076923076928</v>
      </c>
      <c r="BW29" s="88">
        <v>0.78166666666666673</v>
      </c>
      <c r="BX29" s="88">
        <v>0.74016867469879488</v>
      </c>
      <c r="BY29" s="88">
        <v>0.71343396226415068</v>
      </c>
      <c r="BZ29" s="88">
        <v>0.69256097560975605</v>
      </c>
      <c r="CA29" s="4" t="s">
        <v>80</v>
      </c>
      <c r="CB29" s="88">
        <v>23.766233766233768</v>
      </c>
      <c r="CC29" s="88">
        <v>37.805194805194802</v>
      </c>
      <c r="CD29" s="88">
        <v>24.584415584415584</v>
      </c>
      <c r="CE29" s="88">
        <v>26.896103896103895</v>
      </c>
      <c r="CF29" s="88">
        <v>22.025974025974026</v>
      </c>
      <c r="CG29" s="88">
        <v>19</v>
      </c>
      <c r="CH29" s="88">
        <v>13.74025974025974</v>
      </c>
      <c r="CI29" s="88">
        <v>20.870129870129869</v>
      </c>
      <c r="CJ29" s="88">
        <v>32.831168831168831</v>
      </c>
      <c r="CK29" s="88">
        <v>30.493506493506494</v>
      </c>
      <c r="CL29" s="88">
        <v>15.285714285714286</v>
      </c>
      <c r="CM29" s="108">
        <v>1.1000000000000001</v>
      </c>
      <c r="CN29" s="4" t="s">
        <v>180</v>
      </c>
      <c r="CO29" s="4">
        <v>77</v>
      </c>
      <c r="CP29" s="106"/>
      <c r="CQ29" s="106"/>
      <c r="CU29" s="4" t="s">
        <v>80</v>
      </c>
      <c r="CV29" s="5" t="s">
        <v>80</v>
      </c>
      <c r="CW29" s="5">
        <v>718.07407407407402</v>
      </c>
      <c r="CX29" s="5">
        <v>761.68518518518522</v>
      </c>
      <c r="CY29" s="5">
        <v>605.07407407407402</v>
      </c>
      <c r="CZ29" s="5">
        <v>573.64814814814815</v>
      </c>
      <c r="DA29" s="5">
        <v>460.5</v>
      </c>
      <c r="DB29" s="157">
        <v>-22.25925925925926</v>
      </c>
      <c r="DC29" s="5">
        <v>54</v>
      </c>
      <c r="DD29" s="5">
        <v>846.11111111111109</v>
      </c>
      <c r="DE29" s="5">
        <v>668.11111111111109</v>
      </c>
      <c r="DF29" s="5">
        <v>657.88888888888891</v>
      </c>
      <c r="DG29" s="5">
        <v>399.33333333333331</v>
      </c>
      <c r="DH29" s="5">
        <v>316.22222222222223</v>
      </c>
      <c r="DI29" s="5">
        <v>14.888888888888889</v>
      </c>
      <c r="DJ29" s="5">
        <v>9</v>
      </c>
      <c r="DL29" s="4" t="s">
        <v>80</v>
      </c>
      <c r="DM29" s="5">
        <v>3</v>
      </c>
      <c r="DN29" s="5">
        <v>14</v>
      </c>
      <c r="DO29" s="5">
        <v>13</v>
      </c>
      <c r="DP29" s="5">
        <v>3</v>
      </c>
      <c r="DR29" s="5">
        <v>53</v>
      </c>
      <c r="DS29" s="5">
        <v>41</v>
      </c>
      <c r="DT29" s="5">
        <v>4</v>
      </c>
      <c r="DW29" s="5">
        <v>2</v>
      </c>
      <c r="DY29" s="5">
        <v>13</v>
      </c>
      <c r="DZ29" s="5">
        <v>8</v>
      </c>
    </row>
    <row r="30" spans="2:130" ht="15" hidden="1" customHeight="1">
      <c r="I30" s="244" t="s">
        <v>97</v>
      </c>
      <c r="J30" s="244"/>
      <c r="K30" s="244"/>
      <c r="M30" s="244" t="s">
        <v>98</v>
      </c>
      <c r="N30" s="244"/>
      <c r="O30" s="244"/>
      <c r="Q30" s="94" t="s">
        <v>32</v>
      </c>
      <c r="R30" s="97">
        <f t="shared" si="48"/>
        <v>994.78125</v>
      </c>
      <c r="S30" s="97">
        <f t="shared" si="49"/>
        <v>0</v>
      </c>
      <c r="T30" s="97">
        <f t="shared" si="50"/>
        <v>996.890625</v>
      </c>
      <c r="U30" s="97">
        <f t="shared" si="51"/>
        <v>992.671875</v>
      </c>
      <c r="V30" s="97">
        <f t="shared" si="52"/>
        <v>996.890625</v>
      </c>
      <c r="W30" s="97">
        <f t="shared" si="53"/>
        <v>996.890625</v>
      </c>
      <c r="X30" s="95" t="str">
        <f>IF(X29="Stop","Stop",$B$18)</f>
        <v>Tour</v>
      </c>
      <c r="Y30" s="97">
        <f t="shared" si="45"/>
        <v>994.78125</v>
      </c>
      <c r="Z30" s="97">
        <f t="shared" si="54"/>
        <v>996.890625</v>
      </c>
      <c r="AA30" s="97">
        <f t="shared" si="55"/>
        <v>995.8359375</v>
      </c>
      <c r="AB30" s="97">
        <f>IF(AND(S25=0,S26=0,S27=0,S28=0,S29=0,S30=0),(R30+R25)/2,ROUND(IF(SUM(S25:S32)&gt;0,AK30-$CR$15,AL30+$CR$15),0))</f>
        <v>929.390625</v>
      </c>
      <c r="AC30" s="97">
        <f t="shared" si="56"/>
        <v>929.390625</v>
      </c>
      <c r="AD30" s="97">
        <f t="shared" si="63"/>
        <v>990.5625</v>
      </c>
      <c r="AE30" s="97">
        <f t="shared" si="64"/>
        <v>994.78125</v>
      </c>
      <c r="AF30" s="100">
        <f t="shared" si="65"/>
        <v>2.109375</v>
      </c>
      <c r="AG30" s="98">
        <f t="shared" si="57"/>
        <v>864</v>
      </c>
      <c r="AH30" s="107">
        <f t="shared" si="58"/>
        <v>994.78125</v>
      </c>
      <c r="AI30" s="107">
        <f t="shared" si="59"/>
        <v>999</v>
      </c>
      <c r="AJ30" s="98">
        <f t="shared" si="60"/>
        <v>0</v>
      </c>
      <c r="AK30" s="98">
        <f t="shared" si="46"/>
        <v>996.890625</v>
      </c>
      <c r="AL30" s="98">
        <f t="shared" si="61"/>
        <v>432</v>
      </c>
      <c r="AM30" s="98">
        <f t="shared" si="66"/>
        <v>0</v>
      </c>
      <c r="AN30" s="98">
        <f t="shared" si="62"/>
        <v>0</v>
      </c>
      <c r="AO30" s="98">
        <f t="shared" si="67"/>
        <v>0</v>
      </c>
      <c r="AP30" s="98">
        <f t="shared" si="68"/>
        <v>675.26853197674416</v>
      </c>
      <c r="AQ30" s="98">
        <f t="shared" si="69"/>
        <v>0</v>
      </c>
      <c r="AR30" s="98">
        <f t="shared" si="70"/>
        <v>864</v>
      </c>
      <c r="AS30" s="98">
        <f t="shared" si="47"/>
        <v>0</v>
      </c>
      <c r="AT30" s="98">
        <f>IF(AND((AR29=$AR25),AQ29=1),1,IF(AND((AR29=$AR25),AQ29=-1),-1,0))</f>
        <v>0</v>
      </c>
      <c r="AU30" s="4" t="s">
        <v>305</v>
      </c>
      <c r="AV30" s="124">
        <f t="shared" si="2"/>
        <v>744.05</v>
      </c>
      <c r="AW30" s="124">
        <f t="shared" si="3"/>
        <v>528.9</v>
      </c>
      <c r="AX30" s="124">
        <f t="shared" si="4"/>
        <v>532.66666666666663</v>
      </c>
      <c r="AY30" s="124">
        <f t="shared" si="5"/>
        <v>609.13333333333333</v>
      </c>
      <c r="AZ30" s="124">
        <f t="shared" si="6"/>
        <v>660.7166666666667</v>
      </c>
      <c r="BA30" s="124">
        <f t="shared" ref="BA30" si="71">IF($N$82="Sec",IF(ABS(DB30/2)&gt;0,DB30/2,-(DB30/2)),IF(ISBLANK(DI30),IF(ABS(DB30/2)&gt;0,DB30/2,-(DB30/2)),IF(ABS(DI30/2)&gt;0,-(DI30/2),(DI30/2))))</f>
        <v>-43.366666666666667</v>
      </c>
      <c r="BB30" s="124">
        <f t="shared" ref="BB30" si="72">-(BA30)</f>
        <v>43.366666666666667</v>
      </c>
      <c r="BC30" s="4">
        <v>80</v>
      </c>
      <c r="BD30" s="4">
        <v>2.2999999999999998</v>
      </c>
      <c r="BE30" s="156" t="s">
        <v>180</v>
      </c>
      <c r="BF30" s="156" t="s">
        <v>181</v>
      </c>
      <c r="BG30" s="156">
        <v>109</v>
      </c>
      <c r="BH30" s="156">
        <v>146</v>
      </c>
      <c r="BI30" s="156">
        <v>183</v>
      </c>
      <c r="BJ30" s="156">
        <v>221</v>
      </c>
      <c r="BK30" s="156">
        <v>254</v>
      </c>
      <c r="BL30" s="156">
        <v>38</v>
      </c>
      <c r="BM30" s="88"/>
      <c r="BN30" s="88"/>
      <c r="BO30" s="88"/>
      <c r="BP30" s="88"/>
      <c r="BQ30" s="88"/>
      <c r="BR30" s="88"/>
      <c r="BS30" s="88"/>
      <c r="BT30" s="88"/>
      <c r="BU30" s="88">
        <v>0.72371428571428587</v>
      </c>
      <c r="BV30" s="88">
        <v>0.71114285714285708</v>
      </c>
      <c r="BW30" s="88">
        <v>0.67018181818181821</v>
      </c>
      <c r="BX30" s="88">
        <v>0.67108000000000001</v>
      </c>
      <c r="BY30" s="88">
        <v>0.66041935483870984</v>
      </c>
      <c r="BZ30" s="88">
        <v>0.62866666666666671</v>
      </c>
      <c r="CA30" s="4" t="s">
        <v>305</v>
      </c>
      <c r="CB30" s="88">
        <v>9.6833333333333336</v>
      </c>
      <c r="CC30" s="88">
        <v>14.566666666666666</v>
      </c>
      <c r="CD30" s="88">
        <v>19.2</v>
      </c>
      <c r="CE30" s="88">
        <v>18.399999999999999</v>
      </c>
      <c r="CF30" s="88">
        <v>9.0500000000000007</v>
      </c>
      <c r="CG30" s="88">
        <v>7.916666666666667</v>
      </c>
      <c r="CH30" s="88">
        <v>7.15</v>
      </c>
      <c r="CI30" s="88">
        <v>15.616666666666667</v>
      </c>
      <c r="CJ30" s="88">
        <v>22.233333333333334</v>
      </c>
      <c r="CK30" s="88">
        <v>10.4</v>
      </c>
      <c r="CL30" s="88">
        <v>9.4333333333333336</v>
      </c>
      <c r="CM30" s="108">
        <v>1.2</v>
      </c>
      <c r="CN30" s="156" t="s">
        <v>181</v>
      </c>
      <c r="CO30" s="4">
        <v>60</v>
      </c>
      <c r="CP30" s="106"/>
      <c r="CQ30" s="106"/>
      <c r="CU30" s="4" t="s">
        <v>305</v>
      </c>
      <c r="CV30" s="5" t="s">
        <v>305</v>
      </c>
      <c r="CW30" s="5">
        <v>744.05</v>
      </c>
      <c r="CX30" s="5">
        <v>528.9</v>
      </c>
      <c r="CY30" s="5">
        <v>532.66666666666663</v>
      </c>
      <c r="CZ30" s="5">
        <v>609.13333333333333</v>
      </c>
      <c r="DA30" s="5">
        <v>660.7166666666667</v>
      </c>
      <c r="DB30" s="157">
        <v>-86.733333333333334</v>
      </c>
      <c r="DC30" s="5">
        <v>60</v>
      </c>
      <c r="DL30" s="4" t="s">
        <v>305</v>
      </c>
      <c r="DN30" s="5">
        <v>14</v>
      </c>
      <c r="DO30" s="5">
        <v>7</v>
      </c>
      <c r="DP30" s="5">
        <v>11</v>
      </c>
      <c r="DR30" s="5">
        <v>93</v>
      </c>
      <c r="DS30" s="5">
        <v>21</v>
      </c>
    </row>
    <row r="31" spans="2:130" ht="15" hidden="1" customHeight="1">
      <c r="M31" s="235" t="s">
        <v>99</v>
      </c>
      <c r="N31" s="235"/>
      <c r="O31" s="235"/>
      <c r="Q31" s="94" t="s">
        <v>33</v>
      </c>
      <c r="R31" s="97">
        <f t="shared" si="48"/>
        <v>996.890625</v>
      </c>
      <c r="S31" s="97">
        <f t="shared" si="49"/>
        <v>0</v>
      </c>
      <c r="T31" s="97">
        <f t="shared" si="50"/>
        <v>997.9453125</v>
      </c>
      <c r="U31" s="97">
        <f t="shared" si="51"/>
        <v>995.8359375</v>
      </c>
      <c r="V31" s="97">
        <f t="shared" si="52"/>
        <v>997.9453125</v>
      </c>
      <c r="W31" s="97">
        <f t="shared" si="53"/>
        <v>997.9453125</v>
      </c>
      <c r="X31" s="95" t="str">
        <f>IF(X30="Stop","Stop",$B$19)</f>
        <v>Tour</v>
      </c>
      <c r="Y31" s="97">
        <f t="shared" si="45"/>
        <v>996.890625</v>
      </c>
      <c r="Z31" s="97">
        <f t="shared" si="54"/>
        <v>997.9453125</v>
      </c>
      <c r="AA31" s="97">
        <f t="shared" si="55"/>
        <v>997.41796875</v>
      </c>
      <c r="AB31" s="97">
        <f>IF(AND(S25=0,S26=0,S27=0,S28=0,S29=0,S30=0,S31=0),(R31+R25)/2,ROUND(IF(SUM(S25:S32)&gt;0,AK31-$CR$15,AL31+$CR$15),0))</f>
        <v>930.4453125</v>
      </c>
      <c r="AC31" s="97">
        <f t="shared" si="56"/>
        <v>930.4453125</v>
      </c>
      <c r="AD31" s="97">
        <f t="shared" si="63"/>
        <v>994.78125</v>
      </c>
      <c r="AE31" s="97">
        <f t="shared" si="64"/>
        <v>996.890625</v>
      </c>
      <c r="AF31" s="100">
        <f t="shared" si="65"/>
        <v>1.0546875</v>
      </c>
      <c r="AG31" s="98">
        <f t="shared" si="57"/>
        <v>864</v>
      </c>
      <c r="AH31" s="107">
        <f t="shared" si="58"/>
        <v>996.890625</v>
      </c>
      <c r="AI31" s="107">
        <f t="shared" si="59"/>
        <v>999</v>
      </c>
      <c r="AJ31" s="98">
        <f t="shared" si="60"/>
        <v>0</v>
      </c>
      <c r="AK31" s="98">
        <f t="shared" si="46"/>
        <v>997.9453125</v>
      </c>
      <c r="AL31" s="98">
        <f t="shared" si="61"/>
        <v>432</v>
      </c>
      <c r="AM31" s="98">
        <f t="shared" si="66"/>
        <v>0</v>
      </c>
      <c r="AN31" s="98">
        <f t="shared" si="62"/>
        <v>0</v>
      </c>
      <c r="AO31" s="98">
        <f t="shared" si="67"/>
        <v>0</v>
      </c>
      <c r="AP31" s="98">
        <f t="shared" si="68"/>
        <v>676.32321947674416</v>
      </c>
      <c r="AQ31" s="98">
        <f t="shared" si="69"/>
        <v>0</v>
      </c>
      <c r="AR31" s="98">
        <f t="shared" si="70"/>
        <v>864</v>
      </c>
      <c r="AS31" s="98">
        <f t="shared" si="47"/>
        <v>0</v>
      </c>
      <c r="AT31" s="98">
        <f>IF(AND((AR30=$AR25),AQ30=1),1,IF(AND((AR30=$AR25),AQ30=-1),-1,0))</f>
        <v>0</v>
      </c>
      <c r="AU31" s="145" t="s">
        <v>65</v>
      </c>
      <c r="AV31" s="124">
        <f t="shared" si="2"/>
        <v>442.40860215053766</v>
      </c>
      <c r="AW31" s="124">
        <f t="shared" si="3"/>
        <v>816.0322580645161</v>
      </c>
      <c r="AX31" s="124">
        <f t="shared" si="4"/>
        <v>461.6236559139785</v>
      </c>
      <c r="AY31" s="124">
        <f t="shared" si="5"/>
        <v>573.79569892473114</v>
      </c>
      <c r="AZ31" s="124">
        <f t="shared" si="6"/>
        <v>539.52688172043008</v>
      </c>
      <c r="BA31" s="124">
        <f t="shared" ref="BA31:BA44" si="73">IF($N$82="Sec",IF(ABS(DB31/2)&gt;0,DB31/2,-(DB31/2)),IF(ISBLANK(DI31),IF(ABS(DB31/2)&gt;0,DB31/2,-(DB31/2)),IF(ABS(DI31/2)&gt;0,-(DI31/2),(DI31/2))))</f>
        <v>-0.59139784946236562</v>
      </c>
      <c r="BB31" s="124">
        <f t="shared" ref="BB31:BB62" si="74">-(BA31)</f>
        <v>0.59139784946236562</v>
      </c>
      <c r="BC31" s="145">
        <v>80</v>
      </c>
      <c r="BD31" s="145">
        <v>3.3010000000000002</v>
      </c>
      <c r="BE31" s="145" t="s">
        <v>180</v>
      </c>
      <c r="BF31" s="145" t="s">
        <v>179</v>
      </c>
      <c r="BG31" s="145">
        <v>109</v>
      </c>
      <c r="BH31" s="145">
        <v>146</v>
      </c>
      <c r="BI31" s="145">
        <v>183</v>
      </c>
      <c r="BJ31" s="145">
        <v>221</v>
      </c>
      <c r="BK31" s="145">
        <v>254</v>
      </c>
      <c r="BL31" s="145">
        <v>38</v>
      </c>
      <c r="BM31" s="88"/>
      <c r="BN31" s="88">
        <v>0.68300000000000005</v>
      </c>
      <c r="BO31" s="88">
        <v>0.69899999999999995</v>
      </c>
      <c r="BP31" s="88">
        <v>0.64530769230769225</v>
      </c>
      <c r="BQ31" s="88">
        <v>0.64515384615384619</v>
      </c>
      <c r="BR31" s="88">
        <v>0.60133333333333339</v>
      </c>
      <c r="BS31" s="88">
        <v>0.60971428571428565</v>
      </c>
      <c r="BT31" s="88">
        <v>0.77130769230769236</v>
      </c>
      <c r="BU31" s="88">
        <v>0.7400000000000001</v>
      </c>
      <c r="BV31" s="88">
        <v>0.75235294117647045</v>
      </c>
      <c r="BW31" s="88">
        <v>0.70520833333333333</v>
      </c>
      <c r="BX31" s="88">
        <v>0.70489690721649489</v>
      </c>
      <c r="BY31" s="88">
        <v>0.68189655172413766</v>
      </c>
      <c r="BZ31" s="88">
        <v>0.6562820512820513</v>
      </c>
      <c r="CA31" s="145" t="s">
        <v>65</v>
      </c>
      <c r="CB31" s="88">
        <v>15.706349206349206</v>
      </c>
      <c r="CC31" s="88">
        <v>27.984126984126984</v>
      </c>
      <c r="CD31" s="88">
        <v>18.952380952380953</v>
      </c>
      <c r="CE31" s="88">
        <v>16.563492063492063</v>
      </c>
      <c r="CF31" s="88">
        <v>20.277777777777779</v>
      </c>
      <c r="CG31" s="88">
        <v>13.769841269841271</v>
      </c>
      <c r="CH31" s="88">
        <v>9.3412698412698418</v>
      </c>
      <c r="CI31" s="88">
        <v>13.753968253968255</v>
      </c>
      <c r="CJ31" s="88">
        <v>7.8730158730158726</v>
      </c>
      <c r="CK31" s="88">
        <v>28.5</v>
      </c>
      <c r="CL31" s="88">
        <v>7.9444444444444446</v>
      </c>
      <c r="CM31" s="108">
        <v>1.18</v>
      </c>
      <c r="CN31" s="145" t="s">
        <v>179</v>
      </c>
      <c r="CO31" s="145">
        <v>126</v>
      </c>
      <c r="CP31" s="106"/>
      <c r="CQ31" s="106"/>
      <c r="CR31" s="145"/>
      <c r="CS31" s="145"/>
      <c r="CT31" s="144"/>
      <c r="CU31" s="145" t="s">
        <v>65</v>
      </c>
      <c r="CV31" s="144" t="s">
        <v>65</v>
      </c>
      <c r="CW31" s="144">
        <v>442.40860215053766</v>
      </c>
      <c r="CX31" s="144">
        <v>816.0322580645161</v>
      </c>
      <c r="CY31" s="144">
        <v>461.6236559139785</v>
      </c>
      <c r="CZ31" s="144">
        <v>573.79569892473114</v>
      </c>
      <c r="DA31" s="144">
        <v>539.52688172043008</v>
      </c>
      <c r="DB31" s="157">
        <v>-1.1827956989247312</v>
      </c>
      <c r="DC31" s="144">
        <v>93</v>
      </c>
      <c r="DD31" s="144">
        <v>603.91666666666663</v>
      </c>
      <c r="DE31" s="144">
        <v>649.5</v>
      </c>
      <c r="DF31" s="144">
        <v>633.25</v>
      </c>
      <c r="DG31" s="144">
        <v>418.33333333333331</v>
      </c>
      <c r="DH31" s="144">
        <v>342.58333333333331</v>
      </c>
      <c r="DI31" s="144">
        <v>7.833333333333333</v>
      </c>
      <c r="DJ31" s="144">
        <v>12</v>
      </c>
      <c r="DK31" s="144"/>
      <c r="DL31" s="145" t="s">
        <v>65</v>
      </c>
      <c r="DM31" s="144">
        <v>13</v>
      </c>
      <c r="DN31" s="144">
        <v>11</v>
      </c>
      <c r="DO31" s="144">
        <v>17</v>
      </c>
      <c r="DP31" s="144">
        <v>24</v>
      </c>
      <c r="DQ31" s="144"/>
      <c r="DR31" s="144">
        <v>116</v>
      </c>
      <c r="DS31" s="144">
        <v>78</v>
      </c>
      <c r="DT31" s="144"/>
      <c r="DU31" s="144">
        <v>2</v>
      </c>
      <c r="DV31" s="144">
        <v>6</v>
      </c>
      <c r="DW31" s="144">
        <v>13</v>
      </c>
      <c r="DX31" s="144">
        <v>13</v>
      </c>
      <c r="DY31" s="144">
        <v>21</v>
      </c>
      <c r="DZ31" s="144">
        <v>7</v>
      </c>
    </row>
    <row r="32" spans="2:130" ht="15" hidden="1" customHeight="1">
      <c r="D32" s="4"/>
      <c r="E32" s="4"/>
      <c r="F32" s="4"/>
      <c r="G32" s="4"/>
      <c r="H32" s="4"/>
      <c r="I32" s="4"/>
      <c r="J32" s="4"/>
      <c r="K32" s="4"/>
      <c r="L32" s="4"/>
      <c r="Q32" s="101" t="s">
        <v>34</v>
      </c>
      <c r="R32" s="102">
        <f t="shared" si="48"/>
        <v>997.9453125</v>
      </c>
      <c r="S32" s="102">
        <f t="shared" si="49"/>
        <v>0</v>
      </c>
      <c r="T32" s="97">
        <f t="shared" si="50"/>
        <v>998.47265625</v>
      </c>
      <c r="U32" s="102">
        <f t="shared" si="51"/>
        <v>997.41796875</v>
      </c>
      <c r="V32" s="102">
        <f t="shared" si="52"/>
        <v>998.47265625</v>
      </c>
      <c r="W32" s="97">
        <f t="shared" si="53"/>
        <v>998.47265625</v>
      </c>
      <c r="X32" s="103" t="str">
        <f>IF(X31="Stop","Stop",$B$20)</f>
        <v>Tour</v>
      </c>
      <c r="Y32" s="102">
        <f t="shared" si="45"/>
        <v>997.9453125</v>
      </c>
      <c r="Z32" s="102">
        <f t="shared" si="54"/>
        <v>998.47265625</v>
      </c>
      <c r="AA32" s="102">
        <f t="shared" si="55"/>
        <v>998.208984375</v>
      </c>
      <c r="AB32" s="102">
        <f>IF(AND(S25=0,S26=0,S27=0,S28=0,S29=0,S30=0,S31=0,S32=0),(R32+R25)/2,ROUND(IF(SUM(S25:S32)&gt;0,AK32-$CR$15,AL32+$CR$15),0))</f>
        <v>930.97265625</v>
      </c>
      <c r="AC32" s="102">
        <f t="shared" si="56"/>
        <v>930.97265625</v>
      </c>
      <c r="AD32" s="102">
        <f t="shared" si="63"/>
        <v>996.890625</v>
      </c>
      <c r="AE32" s="102">
        <f t="shared" si="64"/>
        <v>997.9453125</v>
      </c>
      <c r="AF32" s="104">
        <f t="shared" si="65"/>
        <v>0.52734375</v>
      </c>
      <c r="AG32" s="98">
        <f t="shared" si="57"/>
        <v>864</v>
      </c>
      <c r="AH32" s="107">
        <f t="shared" si="58"/>
        <v>997.9453125</v>
      </c>
      <c r="AI32" s="107">
        <f t="shared" si="59"/>
        <v>999</v>
      </c>
      <c r="AJ32" s="98">
        <f t="shared" si="60"/>
        <v>0</v>
      </c>
      <c r="AK32" s="98">
        <f t="shared" si="46"/>
        <v>998.47265625</v>
      </c>
      <c r="AL32" s="98">
        <f t="shared" si="61"/>
        <v>432</v>
      </c>
      <c r="AM32" s="98">
        <f t="shared" si="66"/>
        <v>0</v>
      </c>
      <c r="AN32" s="98">
        <f t="shared" si="62"/>
        <v>0</v>
      </c>
      <c r="AO32" s="98">
        <f t="shared" si="67"/>
        <v>0</v>
      </c>
      <c r="AP32" s="98">
        <f t="shared" si="68"/>
        <v>676.85056322674416</v>
      </c>
      <c r="AQ32" s="98">
        <f t="shared" si="69"/>
        <v>0</v>
      </c>
      <c r="AR32" s="98">
        <f t="shared" si="70"/>
        <v>864</v>
      </c>
      <c r="AS32" s="98">
        <f t="shared" si="47"/>
        <v>0</v>
      </c>
      <c r="AT32" s="98">
        <f>IF(AND((AR31=$AR25),AQ31=1),1,IF(AND((AR31=$AR25),AQ31=-1),-1,0))</f>
        <v>0</v>
      </c>
      <c r="AU32" s="145" t="s">
        <v>77</v>
      </c>
      <c r="AV32" s="124">
        <f t="shared" si="2"/>
        <v>760.99224806201551</v>
      </c>
      <c r="AW32" s="124">
        <f t="shared" si="3"/>
        <v>673.33333333333337</v>
      </c>
      <c r="AX32" s="124">
        <f t="shared" si="4"/>
        <v>525.4263565891473</v>
      </c>
      <c r="AY32" s="124">
        <f t="shared" si="5"/>
        <v>411.70542635658916</v>
      </c>
      <c r="AZ32" s="124">
        <f t="shared" si="6"/>
        <v>891.25581395348843</v>
      </c>
      <c r="BA32" s="124">
        <f t="shared" si="73"/>
        <v>44.193798449612402</v>
      </c>
      <c r="BB32" s="124">
        <f t="shared" si="74"/>
        <v>-44.193798449612402</v>
      </c>
      <c r="BC32" s="145">
        <v>72</v>
      </c>
      <c r="BD32" s="145">
        <v>4.2610000000000001</v>
      </c>
      <c r="BE32" s="145" t="s">
        <v>179</v>
      </c>
      <c r="BF32" s="145" t="s">
        <v>183</v>
      </c>
      <c r="BG32" s="145">
        <v>120</v>
      </c>
      <c r="BH32" s="145">
        <v>161</v>
      </c>
      <c r="BI32" s="145">
        <v>202</v>
      </c>
      <c r="BJ32" s="145">
        <v>243</v>
      </c>
      <c r="BK32" s="145">
        <v>279</v>
      </c>
      <c r="BL32" s="145">
        <v>41</v>
      </c>
      <c r="BM32" s="88"/>
      <c r="BN32" s="88">
        <v>0.46919999999999995</v>
      </c>
      <c r="BO32" s="88">
        <v>0.49850000000000005</v>
      </c>
      <c r="BP32" s="88">
        <v>0.47799999999999998</v>
      </c>
      <c r="BQ32" s="88">
        <v>0.448125</v>
      </c>
      <c r="BR32" s="88">
        <v>0.45144999999999991</v>
      </c>
      <c r="BS32" s="88">
        <v>0.45006666666666661</v>
      </c>
      <c r="BT32" s="88">
        <v>0.69369230769230772</v>
      </c>
      <c r="BU32" s="88">
        <v>0.71519047619047615</v>
      </c>
      <c r="BV32" s="88">
        <v>0.69411428571428579</v>
      </c>
      <c r="BW32" s="88">
        <v>0.67988333333333317</v>
      </c>
      <c r="BX32" s="88">
        <v>0.65089189189189223</v>
      </c>
      <c r="BY32" s="88">
        <v>0.62761878453038633</v>
      </c>
      <c r="BZ32" s="88">
        <v>0.61342708333333318</v>
      </c>
      <c r="CA32" s="145" t="s">
        <v>77</v>
      </c>
      <c r="CB32" s="88">
        <v>14.913705583756345</v>
      </c>
      <c r="CC32" s="88">
        <v>21.80710659898477</v>
      </c>
      <c r="CD32" s="88">
        <v>23.583756345177665</v>
      </c>
      <c r="CE32" s="88">
        <v>26.223350253807105</v>
      </c>
      <c r="CF32" s="88">
        <v>13.17258883248731</v>
      </c>
      <c r="CG32" s="88">
        <v>12.035532994923859</v>
      </c>
      <c r="CH32" s="88">
        <v>21.497461928934012</v>
      </c>
      <c r="CI32" s="88">
        <v>29.969543147208121</v>
      </c>
      <c r="CJ32" s="88">
        <v>18.233502538071065</v>
      </c>
      <c r="CK32" s="88">
        <v>15.517766497461929</v>
      </c>
      <c r="CL32" s="88">
        <v>14.517766497461929</v>
      </c>
      <c r="CM32" s="108">
        <v>1.3</v>
      </c>
      <c r="CN32" s="145" t="s">
        <v>183</v>
      </c>
      <c r="CO32" s="145">
        <v>197</v>
      </c>
      <c r="CP32" s="106"/>
      <c r="CQ32" s="106"/>
      <c r="CR32" s="145"/>
      <c r="CS32" s="145"/>
      <c r="CT32" s="144"/>
      <c r="CU32" s="145" t="s">
        <v>77</v>
      </c>
      <c r="CV32" s="144" t="s">
        <v>77</v>
      </c>
      <c r="CW32" s="144">
        <v>760.99224806201551</v>
      </c>
      <c r="CX32" s="144">
        <v>673.33333333333337</v>
      </c>
      <c r="CY32" s="144">
        <v>525.4263565891473</v>
      </c>
      <c r="CZ32" s="144">
        <v>411.70542635658916</v>
      </c>
      <c r="DA32" s="144">
        <v>891.25581395348843</v>
      </c>
      <c r="DB32" s="157">
        <v>88.387596899224803</v>
      </c>
      <c r="DC32" s="144">
        <v>129</v>
      </c>
      <c r="DD32" s="144">
        <v>855</v>
      </c>
      <c r="DE32" s="144">
        <v>580.54285714285709</v>
      </c>
      <c r="DF32" s="144">
        <v>554.57142857142856</v>
      </c>
      <c r="DG32" s="144">
        <v>337.57142857142856</v>
      </c>
      <c r="DH32" s="144">
        <v>777.51428571428573</v>
      </c>
      <c r="DI32" s="144">
        <v>147.17142857142858</v>
      </c>
      <c r="DJ32" s="144">
        <v>35</v>
      </c>
      <c r="DK32" s="144"/>
      <c r="DL32" s="145" t="s">
        <v>77</v>
      </c>
      <c r="DM32" s="144">
        <v>13</v>
      </c>
      <c r="DN32" s="144">
        <v>21</v>
      </c>
      <c r="DO32" s="144">
        <v>35</v>
      </c>
      <c r="DP32" s="144">
        <v>60</v>
      </c>
      <c r="DQ32" s="144"/>
      <c r="DR32" s="144">
        <v>181</v>
      </c>
      <c r="DS32" s="144">
        <v>96</v>
      </c>
      <c r="DT32" s="144"/>
      <c r="DU32" s="144">
        <v>5</v>
      </c>
      <c r="DV32" s="144">
        <v>8</v>
      </c>
      <c r="DW32" s="144">
        <v>2</v>
      </c>
      <c r="DX32" s="144">
        <v>8</v>
      </c>
      <c r="DY32" s="144">
        <v>20</v>
      </c>
      <c r="DZ32" s="144">
        <v>15</v>
      </c>
    </row>
    <row r="33" spans="2:130" ht="15" hidden="1" customHeight="1">
      <c r="D33" s="4"/>
      <c r="E33" s="4"/>
      <c r="F33" s="4"/>
      <c r="G33" s="4"/>
      <c r="H33" s="4"/>
      <c r="I33" s="4"/>
      <c r="J33" s="4"/>
      <c r="K33" s="4"/>
      <c r="L33" s="4"/>
      <c r="M33" s="4"/>
      <c r="AU33" s="145" t="s">
        <v>89</v>
      </c>
      <c r="AV33" s="124">
        <f t="shared" si="2"/>
        <v>516.74358974358972</v>
      </c>
      <c r="AW33" s="124">
        <f t="shared" si="3"/>
        <v>530.5</v>
      </c>
      <c r="AX33" s="124">
        <f t="shared" si="4"/>
        <v>533.19230769230774</v>
      </c>
      <c r="AY33" s="124">
        <f t="shared" si="5"/>
        <v>504.71794871794873</v>
      </c>
      <c r="AZ33" s="124">
        <f t="shared" si="6"/>
        <v>214.48717948717947</v>
      </c>
      <c r="BA33" s="124">
        <f t="shared" si="73"/>
        <v>-129.14102564102564</v>
      </c>
      <c r="BB33" s="124">
        <f t="shared" si="74"/>
        <v>129.14102564102564</v>
      </c>
      <c r="BC33" s="145">
        <v>79</v>
      </c>
      <c r="BD33" s="145">
        <v>3.601</v>
      </c>
      <c r="BE33" s="145" t="s">
        <v>180</v>
      </c>
      <c r="BF33" s="145" t="s">
        <v>182</v>
      </c>
      <c r="BG33" s="145">
        <v>109</v>
      </c>
      <c r="BH33" s="145">
        <v>146</v>
      </c>
      <c r="BI33" s="145">
        <v>183</v>
      </c>
      <c r="BJ33" s="145">
        <v>221</v>
      </c>
      <c r="BK33" s="145">
        <v>254</v>
      </c>
      <c r="BL33" s="145">
        <v>38</v>
      </c>
      <c r="BM33" s="88"/>
      <c r="BN33" s="88"/>
      <c r="BO33" s="88">
        <v>0.67600000000000005</v>
      </c>
      <c r="BP33" s="88"/>
      <c r="BQ33" s="88"/>
      <c r="BR33" s="88">
        <v>0.61949999999999994</v>
      </c>
      <c r="BS33" s="88"/>
      <c r="BT33" s="88">
        <v>0.85371428571428576</v>
      </c>
      <c r="BU33" s="88">
        <v>0.80781818181818188</v>
      </c>
      <c r="BV33" s="88">
        <v>0.82884210526315805</v>
      </c>
      <c r="BW33" s="88">
        <v>0.7728571428571428</v>
      </c>
      <c r="BX33" s="88">
        <v>0.75614925373134345</v>
      </c>
      <c r="BY33" s="88">
        <v>0.72663571428571405</v>
      </c>
      <c r="BZ33" s="88">
        <v>0.70836170212765959</v>
      </c>
      <c r="CA33" s="145" t="s">
        <v>89</v>
      </c>
      <c r="CB33" s="88">
        <v>20.387387387387388</v>
      </c>
      <c r="CC33" s="88">
        <v>25.963963963963963</v>
      </c>
      <c r="CD33" s="88">
        <v>17.594594594594593</v>
      </c>
      <c r="CE33" s="88">
        <v>11.378378378378379</v>
      </c>
      <c r="CF33" s="88">
        <v>11.099099099099099</v>
      </c>
      <c r="CG33" s="88">
        <v>10.234234234234235</v>
      </c>
      <c r="CH33" s="88">
        <v>16.603603603603602</v>
      </c>
      <c r="CI33" s="88">
        <v>26.882882882882882</v>
      </c>
      <c r="CJ33" s="88">
        <v>28.846846846846848</v>
      </c>
      <c r="CK33" s="88">
        <v>23.018018018018019</v>
      </c>
      <c r="CL33" s="88">
        <v>5.8378378378378377</v>
      </c>
      <c r="CM33" s="108">
        <v>1.0549999999999999</v>
      </c>
      <c r="CN33" s="145" t="s">
        <v>182</v>
      </c>
      <c r="CO33" s="145">
        <v>111</v>
      </c>
      <c r="CP33" s="106"/>
      <c r="CQ33" s="106"/>
      <c r="CR33" s="145"/>
      <c r="CS33" s="145"/>
      <c r="CT33" s="144"/>
      <c r="CU33" s="145" t="s">
        <v>89</v>
      </c>
      <c r="CV33" s="144" t="s">
        <v>89</v>
      </c>
      <c r="CW33" s="144">
        <v>516.74358974358972</v>
      </c>
      <c r="CX33" s="144">
        <v>530.5</v>
      </c>
      <c r="CY33" s="144">
        <v>533.19230769230774</v>
      </c>
      <c r="CZ33" s="144">
        <v>504.71794871794873</v>
      </c>
      <c r="DA33" s="144">
        <v>214.48717948717947</v>
      </c>
      <c r="DB33" s="157">
        <v>-258.28205128205127</v>
      </c>
      <c r="DC33" s="144">
        <v>78</v>
      </c>
      <c r="DD33" s="144">
        <v>650.5</v>
      </c>
      <c r="DE33" s="144">
        <v>410.78571428571428</v>
      </c>
      <c r="DF33" s="144">
        <v>557.07142857142856</v>
      </c>
      <c r="DG33" s="144">
        <v>458.28571428571428</v>
      </c>
      <c r="DH33" s="144">
        <v>154.14285714285714</v>
      </c>
      <c r="DI33" s="144">
        <v>-265.14285714285717</v>
      </c>
      <c r="DJ33" s="144">
        <v>14</v>
      </c>
      <c r="DK33" s="144"/>
      <c r="DL33" s="145" t="s">
        <v>89</v>
      </c>
      <c r="DM33" s="144">
        <v>14</v>
      </c>
      <c r="DN33" s="144">
        <v>22</v>
      </c>
      <c r="DO33" s="144">
        <v>19</v>
      </c>
      <c r="DP33" s="144">
        <v>35</v>
      </c>
      <c r="DQ33" s="144"/>
      <c r="DR33" s="144">
        <v>140</v>
      </c>
      <c r="DS33" s="144">
        <v>47</v>
      </c>
      <c r="DT33" s="144"/>
      <c r="DU33" s="144"/>
      <c r="DV33" s="144">
        <v>3</v>
      </c>
      <c r="DW33" s="144"/>
      <c r="DX33" s="144"/>
      <c r="DY33" s="144">
        <v>8</v>
      </c>
      <c r="DZ33" s="144"/>
    </row>
    <row r="34" spans="2:130" ht="15" hidden="1" customHeight="1">
      <c r="B34" s="236" t="s">
        <v>103</v>
      </c>
      <c r="C34" s="236"/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Q34" s="89" t="s">
        <v>35</v>
      </c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1"/>
      <c r="AE34" s="91"/>
      <c r="AF34" s="92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145" t="s">
        <v>52</v>
      </c>
      <c r="AV34" s="124">
        <f t="shared" si="2"/>
        <v>514.14606741573039</v>
      </c>
      <c r="AW34" s="124">
        <f t="shared" si="3"/>
        <v>714.83146067415726</v>
      </c>
      <c r="AX34" s="124">
        <f t="shared" si="4"/>
        <v>264.79775280898878</v>
      </c>
      <c r="AY34" s="124">
        <f t="shared" si="5"/>
        <v>474.92134831460675</v>
      </c>
      <c r="AZ34" s="124">
        <f t="shared" si="6"/>
        <v>700.93258426966293</v>
      </c>
      <c r="BA34" s="124">
        <f t="shared" si="73"/>
        <v>39.30898876404494</v>
      </c>
      <c r="BB34" s="124">
        <f t="shared" si="74"/>
        <v>-39.30898876404494</v>
      </c>
      <c r="BC34" s="145">
        <v>72</v>
      </c>
      <c r="BD34" s="145">
        <v>4.2469999999999999</v>
      </c>
      <c r="BE34" s="145" t="s">
        <v>179</v>
      </c>
      <c r="BF34" s="145" t="s">
        <v>179</v>
      </c>
      <c r="BG34" s="145">
        <v>120</v>
      </c>
      <c r="BH34" s="145">
        <v>161</v>
      </c>
      <c r="BI34" s="145">
        <v>202</v>
      </c>
      <c r="BJ34" s="145">
        <v>243</v>
      </c>
      <c r="BK34" s="145">
        <v>279</v>
      </c>
      <c r="BL34" s="145">
        <v>41</v>
      </c>
      <c r="BM34" s="88"/>
      <c r="BN34" s="88">
        <v>0.61949999999999994</v>
      </c>
      <c r="BO34" s="88"/>
      <c r="BP34" s="88"/>
      <c r="BQ34" s="88">
        <v>0.57450000000000001</v>
      </c>
      <c r="BR34" s="88">
        <v>0.5485000000000001</v>
      </c>
      <c r="BS34" s="88">
        <v>0.53649999999999998</v>
      </c>
      <c r="BT34" s="88">
        <v>0.82066666666666654</v>
      </c>
      <c r="BU34" s="88">
        <v>0.79476470588235304</v>
      </c>
      <c r="BV34" s="88">
        <v>0.74194999999999967</v>
      </c>
      <c r="BW34" s="88">
        <v>0.73842105263157887</v>
      </c>
      <c r="BX34" s="88">
        <v>0.7227594936708861</v>
      </c>
      <c r="BY34" s="88">
        <v>0.69722330097087359</v>
      </c>
      <c r="BZ34" s="88">
        <v>0.66597260273972603</v>
      </c>
      <c r="CA34" s="145" t="s">
        <v>52</v>
      </c>
      <c r="CB34" s="88">
        <v>16.413793103448278</v>
      </c>
      <c r="CC34" s="88">
        <v>31.043103448275861</v>
      </c>
      <c r="CD34" s="88">
        <v>20.801724137931036</v>
      </c>
      <c r="CE34" s="88">
        <v>18.094827586206897</v>
      </c>
      <c r="CF34" s="88">
        <v>19.379310344827587</v>
      </c>
      <c r="CG34" s="88">
        <v>14.655172413793103</v>
      </c>
      <c r="CH34" s="88">
        <v>14.982758620689655</v>
      </c>
      <c r="CI34" s="88">
        <v>25.655172413793103</v>
      </c>
      <c r="CJ34" s="88">
        <v>34.663793103448278</v>
      </c>
      <c r="CK34" s="88">
        <v>26.939655172413794</v>
      </c>
      <c r="CL34" s="88">
        <v>8.8793103448275854</v>
      </c>
      <c r="CM34" s="108">
        <v>1.1299999999999999</v>
      </c>
      <c r="CN34" s="145" t="s">
        <v>179</v>
      </c>
      <c r="CO34" s="145">
        <v>116</v>
      </c>
      <c r="CP34" s="145"/>
      <c r="CQ34" s="145"/>
      <c r="CR34" s="145"/>
      <c r="CS34" s="145"/>
      <c r="CT34" s="144"/>
      <c r="CU34" s="145" t="s">
        <v>52</v>
      </c>
      <c r="CV34" s="144" t="s">
        <v>52</v>
      </c>
      <c r="CW34" s="144">
        <v>514.14606741573039</v>
      </c>
      <c r="CX34" s="144">
        <v>714.83146067415726</v>
      </c>
      <c r="CY34" s="144">
        <v>264.79775280898878</v>
      </c>
      <c r="CZ34" s="144">
        <v>474.92134831460675</v>
      </c>
      <c r="DA34" s="144">
        <v>700.93258426966293</v>
      </c>
      <c r="DB34" s="157">
        <v>78.617977528089881</v>
      </c>
      <c r="DC34" s="144">
        <v>89</v>
      </c>
      <c r="DD34" s="144">
        <v>618</v>
      </c>
      <c r="DE34" s="144">
        <v>672</v>
      </c>
      <c r="DF34" s="144">
        <v>344</v>
      </c>
      <c r="DG34" s="144">
        <v>325</v>
      </c>
      <c r="DH34" s="144">
        <v>605</v>
      </c>
      <c r="DI34" s="144">
        <v>160</v>
      </c>
      <c r="DJ34" s="144">
        <v>1</v>
      </c>
      <c r="DK34" s="144"/>
      <c r="DL34" s="145" t="s">
        <v>52</v>
      </c>
      <c r="DM34" s="144">
        <v>6</v>
      </c>
      <c r="DN34" s="144">
        <v>17</v>
      </c>
      <c r="DO34" s="144">
        <v>20</v>
      </c>
      <c r="DP34" s="144">
        <v>19</v>
      </c>
      <c r="DQ34" s="144"/>
      <c r="DR34" s="144">
        <v>103</v>
      </c>
      <c r="DS34" s="144">
        <v>73</v>
      </c>
      <c r="DT34" s="144"/>
      <c r="DU34" s="144">
        <v>4</v>
      </c>
      <c r="DV34" s="144"/>
      <c r="DW34" s="144"/>
      <c r="DX34" s="144">
        <v>4</v>
      </c>
      <c r="DY34" s="144">
        <v>14</v>
      </c>
      <c r="DZ34" s="144">
        <v>2</v>
      </c>
    </row>
    <row r="35" spans="2:130" ht="15" hidden="1" customHeight="1" thickBot="1">
      <c r="B35" s="23"/>
      <c r="C35" s="23"/>
      <c r="D35" s="24"/>
      <c r="E35" s="24"/>
      <c r="F35" s="24"/>
      <c r="G35" s="24"/>
      <c r="H35" s="24"/>
      <c r="I35" s="24"/>
      <c r="J35" s="4"/>
      <c r="K35" s="4"/>
      <c r="L35" s="4"/>
      <c r="M35" s="4"/>
      <c r="Q35" s="94"/>
      <c r="R35" s="95"/>
      <c r="S35" s="95" t="s">
        <v>23</v>
      </c>
      <c r="T35" s="95"/>
      <c r="U35" s="95"/>
      <c r="V35" s="95"/>
      <c r="W35" s="95"/>
      <c r="X35" s="95"/>
      <c r="Y35" s="95" t="s">
        <v>24</v>
      </c>
      <c r="Z35" s="95" t="s">
        <v>25</v>
      </c>
      <c r="AA35" s="95" t="s">
        <v>26</v>
      </c>
      <c r="AB35" s="95"/>
      <c r="AC35" s="95"/>
      <c r="AD35" s="93" t="s">
        <v>24</v>
      </c>
      <c r="AE35" s="93" t="s">
        <v>25</v>
      </c>
      <c r="AF35" s="96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145" t="s">
        <v>40</v>
      </c>
      <c r="AV35" s="124">
        <f t="shared" si="2"/>
        <v>477.72619047619048</v>
      </c>
      <c r="AW35" s="124">
        <f t="shared" si="3"/>
        <v>773.38095238095241</v>
      </c>
      <c r="AX35" s="124">
        <f t="shared" si="4"/>
        <v>581.21428571428567</v>
      </c>
      <c r="AY35" s="124">
        <f t="shared" si="5"/>
        <v>624.27380952380952</v>
      </c>
      <c r="AZ35" s="124">
        <f t="shared" si="6"/>
        <v>431.84523809523807</v>
      </c>
      <c r="BA35" s="124">
        <f t="shared" si="73"/>
        <v>-79.529761904761898</v>
      </c>
      <c r="BB35" s="124">
        <f t="shared" si="74"/>
        <v>79.529761904761898</v>
      </c>
      <c r="BC35" s="145">
        <v>58</v>
      </c>
      <c r="BD35" s="145">
        <v>5.3029999999999999</v>
      </c>
      <c r="BE35" s="145" t="s">
        <v>179</v>
      </c>
      <c r="BF35" s="145" t="s">
        <v>179</v>
      </c>
      <c r="BG35" s="145">
        <v>120</v>
      </c>
      <c r="BH35" s="145">
        <v>161</v>
      </c>
      <c r="BI35" s="145">
        <v>202</v>
      </c>
      <c r="BJ35" s="145">
        <v>243</v>
      </c>
      <c r="BK35" s="145">
        <v>279</v>
      </c>
      <c r="BL35" s="145">
        <v>41</v>
      </c>
      <c r="BM35" s="88"/>
      <c r="BN35" s="88">
        <v>0.46066666666666672</v>
      </c>
      <c r="BO35" s="88"/>
      <c r="BP35" s="88">
        <v>0.42949999999999999</v>
      </c>
      <c r="BQ35" s="88">
        <v>0.39900000000000002</v>
      </c>
      <c r="BR35" s="88">
        <v>0.41299999999999998</v>
      </c>
      <c r="BS35" s="88"/>
      <c r="BT35" s="88">
        <v>0.81550000000000011</v>
      </c>
      <c r="BU35" s="88">
        <v>0.81055555555555558</v>
      </c>
      <c r="BV35" s="88">
        <v>0.75714814814814824</v>
      </c>
      <c r="BW35" s="88">
        <v>0.73969565217391298</v>
      </c>
      <c r="BX35" s="88">
        <v>0.71468627450980371</v>
      </c>
      <c r="BY35" s="88">
        <v>0.68478260869565277</v>
      </c>
      <c r="BZ35" s="88">
        <v>0.6724523809523808</v>
      </c>
      <c r="CA35" s="145" t="s">
        <v>40</v>
      </c>
      <c r="CB35" s="88">
        <v>15.21311475409836</v>
      </c>
      <c r="CC35" s="88">
        <v>32.065573770491802</v>
      </c>
      <c r="CD35" s="88">
        <v>18.114754098360656</v>
      </c>
      <c r="CE35" s="88">
        <v>19.934426229508198</v>
      </c>
      <c r="CF35" s="88">
        <v>15.024590163934427</v>
      </c>
      <c r="CG35" s="88">
        <v>14.60655737704918</v>
      </c>
      <c r="CH35" s="88">
        <v>13.60655737704918</v>
      </c>
      <c r="CI35" s="88">
        <v>21.409836065573771</v>
      </c>
      <c r="CJ35" s="88">
        <v>24.860655737704917</v>
      </c>
      <c r="CK35" s="88">
        <v>14.983606557377049</v>
      </c>
      <c r="CL35" s="88">
        <v>11.852459016393443</v>
      </c>
      <c r="CM35" s="108">
        <v>1.1499999999999999</v>
      </c>
      <c r="CN35" s="145" t="s">
        <v>179</v>
      </c>
      <c r="CO35" s="145">
        <v>122</v>
      </c>
      <c r="CP35" s="145"/>
      <c r="CQ35" s="145"/>
      <c r="CR35" s="145"/>
      <c r="CS35" s="145"/>
      <c r="CT35" s="144"/>
      <c r="CU35" s="145" t="s">
        <v>40</v>
      </c>
      <c r="CV35" s="144" t="s">
        <v>40</v>
      </c>
      <c r="CW35" s="144">
        <v>477.72619047619048</v>
      </c>
      <c r="CX35" s="144">
        <v>773.38095238095241</v>
      </c>
      <c r="CY35" s="144">
        <v>581.21428571428567</v>
      </c>
      <c r="CZ35" s="144">
        <v>624.27380952380952</v>
      </c>
      <c r="DA35" s="144">
        <v>431.84523809523807</v>
      </c>
      <c r="DB35" s="157">
        <v>-159.0595238095238</v>
      </c>
      <c r="DC35" s="144">
        <v>84</v>
      </c>
      <c r="DD35" s="144">
        <v>584.5333333333333</v>
      </c>
      <c r="DE35" s="144">
        <v>627.4666666666667</v>
      </c>
      <c r="DF35" s="144">
        <v>660.26666666666665</v>
      </c>
      <c r="DG35" s="144">
        <v>545.4</v>
      </c>
      <c r="DH35" s="144">
        <v>267.73333333333335</v>
      </c>
      <c r="DI35" s="144">
        <v>-113.13333333333334</v>
      </c>
      <c r="DJ35" s="144">
        <v>15</v>
      </c>
      <c r="DK35" s="144"/>
      <c r="DL35" s="145" t="s">
        <v>40</v>
      </c>
      <c r="DM35" s="144">
        <v>4</v>
      </c>
      <c r="DN35" s="144">
        <v>9</v>
      </c>
      <c r="DO35" s="144">
        <v>27</v>
      </c>
      <c r="DP35" s="144">
        <v>46</v>
      </c>
      <c r="DQ35" s="144"/>
      <c r="DR35" s="144">
        <v>138</v>
      </c>
      <c r="DS35" s="144">
        <v>42</v>
      </c>
      <c r="DT35" s="144"/>
      <c r="DU35" s="144">
        <v>3</v>
      </c>
      <c r="DV35" s="144"/>
      <c r="DW35" s="144">
        <v>4</v>
      </c>
      <c r="DX35" s="144">
        <v>2</v>
      </c>
      <c r="DY35" s="144">
        <v>6</v>
      </c>
      <c r="DZ35" s="144"/>
    </row>
    <row r="36" spans="2:130" ht="15" hidden="1" customHeight="1" thickBot="1">
      <c r="B36" s="25" t="s">
        <v>104</v>
      </c>
      <c r="C36" s="26"/>
      <c r="D36" s="26"/>
      <c r="E36" s="26"/>
      <c r="F36" s="26"/>
      <c r="G36" s="27"/>
      <c r="H36" s="28"/>
      <c r="I36" s="28"/>
      <c r="J36" s="29"/>
      <c r="K36" s="29"/>
      <c r="L36" s="29"/>
      <c r="M36" s="29"/>
      <c r="P36" s="4">
        <v>0</v>
      </c>
      <c r="Q36" s="94" t="s">
        <v>27</v>
      </c>
      <c r="R36" s="97">
        <f>H13</f>
        <v>642.22093023255809</v>
      </c>
      <c r="S36" s="97">
        <f>VLOOKUP(I13,$S$3:$V$9,4,FALSE)</f>
        <v>0</v>
      </c>
      <c r="T36" s="97">
        <f>IF(IF(S36=0,R36+$CR$16,IF(S36=-1,R36+$CR$16,IF(S36=-2,R36+(2*$CR$16),IF(S36=-3,R36+(3*$CR$16),IF(S36=1,R36-$CR$16,IF(S36=2,R36-(2*$CR$16),R36-(3*$CR$16)))))))&gt;999,999,IF(S36=0,R36+$CR$16,IF(S36=-1,R36+$CR$16,IF(S36=-2,R36+(2*$CR$16),IF(S36=-3,R36+(3*$CR$16),IF(S36=1,R36-$CR$16,IF(S36=2,R36-(2*$CR$16),R36-(3*$CR$16))))))))</f>
        <v>709.72093023255809</v>
      </c>
      <c r="U36" s="95"/>
      <c r="V36" s="95"/>
      <c r="W36" s="95"/>
      <c r="X36" s="95" t="str">
        <f>$B$13</f>
        <v>Tour</v>
      </c>
      <c r="Y36" s="97">
        <f t="shared" ref="Y36:Y43" si="75">IF(S36=0,R36,IF(S36&lt;0,R36,T36))</f>
        <v>642.22093023255809</v>
      </c>
      <c r="Z36" s="97">
        <f>IF(S36&gt;0,R36,T36)</f>
        <v>709.72093023255809</v>
      </c>
      <c r="AA36" s="97">
        <f>AVERAGE(Y36:Z36)</f>
        <v>675.97093023255809</v>
      </c>
      <c r="AB36" s="97">
        <f>ROUND(IF(SUM($S$36:$S$43)&gt;0,AA36-$CR$16,AA36+$CR$16),0)</f>
        <v>743</v>
      </c>
      <c r="AC36" s="97">
        <f>AB36</f>
        <v>743</v>
      </c>
      <c r="AD36" s="98"/>
      <c r="AE36" s="98"/>
      <c r="AF36" s="99"/>
      <c r="AG36" s="98">
        <f>IF(S36=0,R36,999)</f>
        <v>642.22093023255809</v>
      </c>
      <c r="AH36" s="98">
        <f>IF(S36=0,R36,0)</f>
        <v>642.22093023255809</v>
      </c>
      <c r="AI36" s="98">
        <f>IF(S36=0,999,R36)</f>
        <v>999</v>
      </c>
      <c r="AJ36" s="98">
        <f>IF(S36=0,0,R36)</f>
        <v>0</v>
      </c>
      <c r="AK36" s="98">
        <f t="shared" ref="AK36:AK43" si="76">IF(AG36-AH36=999,((AL36+AI36)/2),((AH36+AI36)/2))</f>
        <v>820.6104651162791</v>
      </c>
      <c r="AL36" s="98">
        <f>IF(R36=999,999,IF(AG36-AH36=999,(AJ36+AN36)/2,(AJ36+AG36)/2))</f>
        <v>321.11046511627904</v>
      </c>
      <c r="AM36" s="98"/>
      <c r="AN36" s="98"/>
      <c r="AO36" s="98"/>
      <c r="AP36" s="98"/>
      <c r="AQ36" s="98">
        <f>IF(S36=0,0,S36)</f>
        <v>0</v>
      </c>
      <c r="AR36" s="98">
        <f>R36</f>
        <v>642.22093023255809</v>
      </c>
      <c r="AS36" s="98">
        <f t="shared" ref="AS36:AS43" si="77">IF(X36="Stop",IF(AT36=1,R36-$CR$16,IF(AT36=(-1),R36+$CR$16,IF(AQ35=0,0,((AR35+AR36)/2)+(2*$CQ$16)))),0)</f>
        <v>0</v>
      </c>
      <c r="AT36" s="98">
        <f>IF(AND((AR35=$AR36),AQ35=1),1,IF(AND((AR35=$AR36),AQ35=-1),-1,0))</f>
        <v>0</v>
      </c>
      <c r="AU36" s="145" t="s">
        <v>67</v>
      </c>
      <c r="AV36" s="124">
        <f t="shared" si="2"/>
        <v>667.38582677165357</v>
      </c>
      <c r="AW36" s="124">
        <f t="shared" si="3"/>
        <v>858.29921259842524</v>
      </c>
      <c r="AX36" s="124">
        <f t="shared" si="4"/>
        <v>475.93700787401576</v>
      </c>
      <c r="AY36" s="124">
        <f t="shared" si="5"/>
        <v>534.38582677165357</v>
      </c>
      <c r="AZ36" s="124">
        <f t="shared" si="6"/>
        <v>450.44094488188978</v>
      </c>
      <c r="BA36" s="124">
        <f t="shared" si="73"/>
        <v>-81.937007874015748</v>
      </c>
      <c r="BB36" s="124">
        <f t="shared" si="74"/>
        <v>81.937007874015748</v>
      </c>
      <c r="BC36" s="145">
        <v>69</v>
      </c>
      <c r="BD36" s="145">
        <v>4.42</v>
      </c>
      <c r="BE36" s="145" t="s">
        <v>179</v>
      </c>
      <c r="BF36" s="145" t="s">
        <v>181</v>
      </c>
      <c r="BG36" s="145">
        <v>120</v>
      </c>
      <c r="BH36" s="145">
        <v>161</v>
      </c>
      <c r="BI36" s="145">
        <v>202</v>
      </c>
      <c r="BJ36" s="145">
        <v>243</v>
      </c>
      <c r="BK36" s="145">
        <v>279</v>
      </c>
      <c r="BL36" s="145">
        <v>41</v>
      </c>
      <c r="BM36" s="88">
        <v>0.64457142857142846</v>
      </c>
      <c r="BN36" s="88">
        <v>0.58799999999999986</v>
      </c>
      <c r="BO36" s="88">
        <v>0.58008333333333328</v>
      </c>
      <c r="BP36" s="88">
        <v>0.57071428571428573</v>
      </c>
      <c r="BQ36" s="88">
        <v>0.52823809523809528</v>
      </c>
      <c r="BR36" s="88">
        <v>0.53068421052631576</v>
      </c>
      <c r="BS36" s="88">
        <v>0.52161538461538481</v>
      </c>
      <c r="BT36" s="88">
        <v>0.79193749999999996</v>
      </c>
      <c r="BU36" s="88">
        <v>0.76228124999999991</v>
      </c>
      <c r="BV36" s="88">
        <v>0.71140000000000003</v>
      </c>
      <c r="BW36" s="88">
        <v>0.69538888888888883</v>
      </c>
      <c r="BX36" s="88">
        <v>0.67848543689320406</v>
      </c>
      <c r="BY36" s="88">
        <v>0.65540287769784167</v>
      </c>
      <c r="BZ36" s="88">
        <v>0.64378160919540239</v>
      </c>
      <c r="CA36" s="145" t="s">
        <v>67</v>
      </c>
      <c r="CB36" s="88">
        <v>8.8680203045685282</v>
      </c>
      <c r="CC36" s="88">
        <v>16.847715736040609</v>
      </c>
      <c r="CD36" s="88">
        <v>11.258883248730964</v>
      </c>
      <c r="CE36" s="88">
        <v>10.045685279187817</v>
      </c>
      <c r="CF36" s="88">
        <v>13.898477157360405</v>
      </c>
      <c r="CG36" s="88">
        <v>9.7411167512690362</v>
      </c>
      <c r="CH36" s="88">
        <v>13.578680203045685</v>
      </c>
      <c r="CI36" s="88">
        <v>21.076142131979694</v>
      </c>
      <c r="CJ36" s="88">
        <v>9.2233502538071068</v>
      </c>
      <c r="CK36" s="88">
        <v>25.238578680203045</v>
      </c>
      <c r="CL36" s="88">
        <v>12.086294416243655</v>
      </c>
      <c r="CM36" s="108">
        <v>1.21</v>
      </c>
      <c r="CN36" s="145" t="s">
        <v>181</v>
      </c>
      <c r="CO36" s="145">
        <v>197</v>
      </c>
      <c r="CP36" s="145"/>
      <c r="CQ36" s="145"/>
      <c r="CR36" s="145"/>
      <c r="CS36" s="145"/>
      <c r="CT36" s="144"/>
      <c r="CU36" s="145" t="s">
        <v>67</v>
      </c>
      <c r="CV36" s="144" t="s">
        <v>67</v>
      </c>
      <c r="CW36" s="144">
        <v>667.38582677165357</v>
      </c>
      <c r="CX36" s="144">
        <v>858.29921259842524</v>
      </c>
      <c r="CY36" s="144">
        <v>475.93700787401576</v>
      </c>
      <c r="CZ36" s="144">
        <v>534.38582677165357</v>
      </c>
      <c r="DA36" s="144">
        <v>450.44094488188978</v>
      </c>
      <c r="DB36" s="157">
        <v>-163.8740157480315</v>
      </c>
      <c r="DC36" s="144">
        <v>127</v>
      </c>
      <c r="DD36" s="144">
        <v>782.0322580645161</v>
      </c>
      <c r="DE36" s="144">
        <v>741.70967741935488</v>
      </c>
      <c r="DF36" s="144">
        <v>529.38709677419354</v>
      </c>
      <c r="DG36" s="144">
        <v>406.32258064516128</v>
      </c>
      <c r="DH36" s="144">
        <v>340.54838709677421</v>
      </c>
      <c r="DI36" s="144">
        <v>-135.70967741935485</v>
      </c>
      <c r="DJ36" s="144">
        <v>31</v>
      </c>
      <c r="DK36" s="144"/>
      <c r="DL36" s="145" t="s">
        <v>67</v>
      </c>
      <c r="DM36" s="144">
        <v>16</v>
      </c>
      <c r="DN36" s="144">
        <v>32</v>
      </c>
      <c r="DO36" s="144">
        <v>5</v>
      </c>
      <c r="DP36" s="144">
        <v>18</v>
      </c>
      <c r="DQ36" s="144"/>
      <c r="DR36" s="144">
        <v>139</v>
      </c>
      <c r="DS36" s="144">
        <v>87</v>
      </c>
      <c r="DT36" s="144">
        <v>7</v>
      </c>
      <c r="DU36" s="144">
        <v>11</v>
      </c>
      <c r="DV36" s="144">
        <v>12</v>
      </c>
      <c r="DW36" s="144">
        <v>7</v>
      </c>
      <c r="DX36" s="144">
        <v>21</v>
      </c>
      <c r="DY36" s="144">
        <v>38</v>
      </c>
      <c r="DZ36" s="144">
        <v>13</v>
      </c>
    </row>
    <row r="37" spans="2:130" ht="15" hidden="1" customHeight="1">
      <c r="B37" s="23" t="s">
        <v>105</v>
      </c>
      <c r="C37" s="23"/>
      <c r="D37" s="23"/>
      <c r="E37" s="23"/>
      <c r="F37" s="23"/>
      <c r="G37" s="23"/>
      <c r="H37" s="23"/>
      <c r="I37" s="23"/>
      <c r="P37" s="4">
        <v>0</v>
      </c>
      <c r="Q37" s="94" t="s">
        <v>28</v>
      </c>
      <c r="R37" s="97">
        <f t="shared" ref="R37:R43" si="78">H14</f>
        <v>709.72093023255809</v>
      </c>
      <c r="S37" s="97">
        <f t="shared" ref="S37:S43" si="79">VLOOKUP(I14,$S$3:$V$9,4,FALSE)</f>
        <v>0</v>
      </c>
      <c r="T37" s="97">
        <f t="shared" ref="T37:T43" si="80">IF(W37&gt;999,999,IF(W37&lt;1,1,W37))</f>
        <v>743.47093023255809</v>
      </c>
      <c r="U37" s="97">
        <f t="shared" ref="U37:U43" si="81">IF(OR(S37=-2,S37=2),R37-($CQ$16*2),IF(OR(S37=-3,S37=3),R37-($CQ$16*3),R37-AF37))</f>
        <v>675.97093023255809</v>
      </c>
      <c r="V37" s="97">
        <f t="shared" ref="V37:V43" si="82">IF(OR(S37=-2,S37=2),R37+($CQ$16*2),IF(OR(S37=-3,S37=3),R37+($CQ$16*3),R37+AF37))</f>
        <v>743.47093023255809</v>
      </c>
      <c r="W37" s="97">
        <f>IF(AND(S36-S37=0,S36=0),IF(SUM($S$36:$S$43)&lt;0,U37,V37),IF(AND(S36-S37&gt;0,S37=0),V37,IF(S36-S37&lt;0,IF(S37&gt;=0,U37,V37),IF(AND(S36-S37=0,S37&lt;0),V37,IF(AND(S36-S37&gt;0,S36=0),V37,U37)))))</f>
        <v>743.47093023255809</v>
      </c>
      <c r="X37" s="95" t="str">
        <f>IF(X36="Stop","Stop",$B$14)</f>
        <v>Tour</v>
      </c>
      <c r="Y37" s="97">
        <f t="shared" si="75"/>
        <v>709.72093023255809</v>
      </c>
      <c r="Z37" s="97">
        <f t="shared" ref="Z37:Z43" si="83">IF(S37&gt;0,R37,T37)</f>
        <v>743.47093023255809</v>
      </c>
      <c r="AA37" s="97">
        <f t="shared" ref="AA37:AA43" si="84">AVERAGE(Y37:Z37)</f>
        <v>726.59593023255809</v>
      </c>
      <c r="AB37" s="97">
        <f>IF(AND(S36=0,S37=0),(R37+R36)/2,ROUND(IF(SUM(S36:S43)&gt;0,AK37-$CR$16,AL37+$CR$16),0))</f>
        <v>675.97093023255809</v>
      </c>
      <c r="AC37" s="97">
        <f t="shared" ref="AC37:AC43" si="85">IF(X37="stop",IF(AS37=0,AC36,AS37),AB37)</f>
        <v>675.97093023255809</v>
      </c>
      <c r="AD37" s="97">
        <f>IF(R37&lt;R36,R37,R36)</f>
        <v>642.22093023255809</v>
      </c>
      <c r="AE37" s="97">
        <f>IF(R37&gt;R36,R37,R36)</f>
        <v>709.72093023255809</v>
      </c>
      <c r="AF37" s="100">
        <f>IF(R36-R37&gt;0,(R36-R37)/2,(R37-R36)/2)</f>
        <v>33.75</v>
      </c>
      <c r="AG37" s="98">
        <f t="shared" ref="AG37:AG43" si="86">IF(S37=0,IF(R37&lt;AG36,R37,AG36),AG36)</f>
        <v>642.22093023255809</v>
      </c>
      <c r="AH37" s="98">
        <f t="shared" ref="AH37:AH43" si="87">IF(S37=0,IF(R37&gt;AH36,R37,AH36),AH36)</f>
        <v>709.72093023255809</v>
      </c>
      <c r="AI37" s="98">
        <f t="shared" ref="AI37:AI43" si="88">IF(S37=0,AI36,IF(R37&lt;AI36,R37,AG36))</f>
        <v>999</v>
      </c>
      <c r="AJ37" s="98">
        <f t="shared" ref="AJ37:AJ43" si="89">IF(S37=0,AJ36,IF(R37&gt;AJ36,R37,AJ36))</f>
        <v>0</v>
      </c>
      <c r="AK37" s="98">
        <f t="shared" si="76"/>
        <v>854.3604651162791</v>
      </c>
      <c r="AL37" s="98">
        <f t="shared" ref="AL37:AL43" si="90">IF(R37=999,999,IF(AG37-AH37=999,(AJ37+AN37)/2,(AJ37+AG37)/2))</f>
        <v>321.11046511627904</v>
      </c>
      <c r="AM37" s="98">
        <f>S37-S36</f>
        <v>0</v>
      </c>
      <c r="AN37" s="98">
        <f t="shared" ref="AN37:AN43" si="91">IF(AM37=0,AN36,R37)</f>
        <v>0</v>
      </c>
      <c r="AO37" s="98">
        <f>IF(S37=S36,0,1)</f>
        <v>0</v>
      </c>
      <c r="AP37" s="98">
        <f>IF(X37="Stop",AP36,IF(AO37=0,(R37+$R$14)/2,AC37))</f>
        <v>532.73837209302326</v>
      </c>
      <c r="AQ37" s="98">
        <f>IF(AQ36=0,0,IF(S37=0,0,S37))</f>
        <v>0</v>
      </c>
      <c r="AR37" s="98">
        <f>IF(AQ37=AQ36,AR36,R37)</f>
        <v>642.22093023255809</v>
      </c>
      <c r="AS37" s="98">
        <f t="shared" si="77"/>
        <v>0</v>
      </c>
      <c r="AT37" s="98">
        <f>IF(AND((AR36=$AR36),AQ36=1),1,IF(AND((AR36=$AR36),AQ36=-1),-1,0))</f>
        <v>0</v>
      </c>
      <c r="AU37" s="145" t="s">
        <v>68</v>
      </c>
      <c r="AV37" s="124">
        <f t="shared" si="2"/>
        <v>917.36842105263156</v>
      </c>
      <c r="AW37" s="124">
        <f t="shared" si="3"/>
        <v>495.30526315789473</v>
      </c>
      <c r="AX37" s="124">
        <f t="shared" si="4"/>
        <v>418.2315789473684</v>
      </c>
      <c r="AY37" s="124">
        <f t="shared" si="5"/>
        <v>254.53684210526316</v>
      </c>
      <c r="AZ37" s="124">
        <f t="shared" si="6"/>
        <v>672.06315789473683</v>
      </c>
      <c r="BA37" s="124">
        <f t="shared" si="73"/>
        <v>-42.621052631578948</v>
      </c>
      <c r="BB37" s="124">
        <f t="shared" si="74"/>
        <v>42.621052631578948</v>
      </c>
      <c r="BC37" s="145">
        <v>78</v>
      </c>
      <c r="BD37" s="145">
        <v>3.3690000000000002</v>
      </c>
      <c r="BE37" s="145" t="s">
        <v>179</v>
      </c>
      <c r="BF37" s="145" t="s">
        <v>181</v>
      </c>
      <c r="BG37" s="145">
        <v>120</v>
      </c>
      <c r="BH37" s="145">
        <v>161</v>
      </c>
      <c r="BI37" s="145">
        <v>202</v>
      </c>
      <c r="BJ37" s="145">
        <v>243</v>
      </c>
      <c r="BK37" s="145">
        <v>279</v>
      </c>
      <c r="BL37" s="145">
        <v>41</v>
      </c>
      <c r="BM37" s="88">
        <v>0.57550000000000001</v>
      </c>
      <c r="BN37" s="88"/>
      <c r="BO37" s="88"/>
      <c r="BP37" s="88">
        <v>0.51859999999999995</v>
      </c>
      <c r="BQ37" s="88">
        <v>0.53020000000000012</v>
      </c>
      <c r="BR37" s="88">
        <v>0.49575000000000002</v>
      </c>
      <c r="BS37" s="88">
        <v>0.45700000000000002</v>
      </c>
      <c r="BT37" s="88">
        <v>0.75905000000000022</v>
      </c>
      <c r="BU37" s="88">
        <v>0.72430303030303045</v>
      </c>
      <c r="BV37" s="88">
        <v>0.7097500000000001</v>
      </c>
      <c r="BW37" s="88">
        <v>0.71572222222222193</v>
      </c>
      <c r="BX37" s="88">
        <v>0.67003448275862065</v>
      </c>
      <c r="BY37" s="88">
        <v>0.64092356687898122</v>
      </c>
      <c r="BZ37" s="88">
        <v>0.62935897435897437</v>
      </c>
      <c r="CA37" s="145" t="s">
        <v>68</v>
      </c>
      <c r="CB37" s="88">
        <v>10.656626506024097</v>
      </c>
      <c r="CC37" s="88">
        <v>12.831325301204819</v>
      </c>
      <c r="CD37" s="88">
        <v>37.879518072289159</v>
      </c>
      <c r="CE37" s="88">
        <v>37.542168674698793</v>
      </c>
      <c r="CF37" s="88">
        <v>19.656626506024097</v>
      </c>
      <c r="CG37" s="88">
        <v>7.5662650602409638</v>
      </c>
      <c r="CH37" s="88">
        <v>10.849397590361447</v>
      </c>
      <c r="CI37" s="88">
        <v>20.463855421686748</v>
      </c>
      <c r="CJ37" s="88">
        <v>33.578313253012048</v>
      </c>
      <c r="CK37" s="88">
        <v>26.58433734939759</v>
      </c>
      <c r="CL37" s="88">
        <v>9.4638554216867465</v>
      </c>
      <c r="CM37" s="108">
        <v>1.23</v>
      </c>
      <c r="CN37" s="145" t="s">
        <v>181</v>
      </c>
      <c r="CO37" s="145">
        <v>166</v>
      </c>
      <c r="CP37" s="145"/>
      <c r="CQ37" s="145"/>
      <c r="CR37" s="145"/>
      <c r="CS37" s="145"/>
      <c r="CT37" s="144"/>
      <c r="CU37" s="145" t="s">
        <v>68</v>
      </c>
      <c r="CV37" s="144" t="s">
        <v>68</v>
      </c>
      <c r="CW37" s="144">
        <v>917.36842105263156</v>
      </c>
      <c r="CX37" s="144">
        <v>495.30526315789473</v>
      </c>
      <c r="CY37" s="144">
        <v>418.2315789473684</v>
      </c>
      <c r="CZ37" s="144">
        <v>254.53684210526316</v>
      </c>
      <c r="DA37" s="144">
        <v>672.06315789473683</v>
      </c>
      <c r="DB37" s="157">
        <v>-85.242105263157896</v>
      </c>
      <c r="DC37" s="144">
        <v>95</v>
      </c>
      <c r="DD37" s="144">
        <v>988.47222222222217</v>
      </c>
      <c r="DE37" s="144">
        <v>347.72222222222223</v>
      </c>
      <c r="DF37" s="144">
        <v>530.88888888888891</v>
      </c>
      <c r="DG37" s="144">
        <v>88.694444444444443</v>
      </c>
      <c r="DH37" s="144">
        <v>490.83333333333331</v>
      </c>
      <c r="DI37" s="144">
        <v>-13.083333333333334</v>
      </c>
      <c r="DJ37" s="144">
        <v>36</v>
      </c>
      <c r="DK37" s="144"/>
      <c r="DL37" s="145" t="s">
        <v>68</v>
      </c>
      <c r="DM37" s="144">
        <v>20</v>
      </c>
      <c r="DN37" s="144">
        <v>33</v>
      </c>
      <c r="DO37" s="144">
        <v>16</v>
      </c>
      <c r="DP37" s="144">
        <v>54</v>
      </c>
      <c r="DQ37" s="144"/>
      <c r="DR37" s="144">
        <v>157</v>
      </c>
      <c r="DS37" s="144">
        <v>39</v>
      </c>
      <c r="DT37" s="144">
        <v>4</v>
      </c>
      <c r="DU37" s="144"/>
      <c r="DV37" s="144"/>
      <c r="DW37" s="144">
        <v>5</v>
      </c>
      <c r="DX37" s="144">
        <v>15</v>
      </c>
      <c r="DY37" s="144">
        <v>8</v>
      </c>
      <c r="DZ37" s="144">
        <v>2</v>
      </c>
    </row>
    <row r="38" spans="2:130" ht="15" hidden="1" customHeight="1">
      <c r="B38" s="23" t="s">
        <v>106</v>
      </c>
      <c r="C38" s="23"/>
      <c r="D38" s="23"/>
      <c r="E38" s="23"/>
      <c r="F38" s="23"/>
      <c r="G38" s="23"/>
      <c r="H38" s="23"/>
      <c r="I38" s="23"/>
      <c r="Q38" s="94" t="s">
        <v>29</v>
      </c>
      <c r="R38" s="97">
        <f t="shared" si="78"/>
        <v>743.47093023255809</v>
      </c>
      <c r="S38" s="97">
        <f t="shared" si="79"/>
        <v>0</v>
      </c>
      <c r="T38" s="97">
        <f t="shared" si="80"/>
        <v>760.34593023255809</v>
      </c>
      <c r="U38" s="97">
        <f t="shared" si="81"/>
        <v>726.59593023255809</v>
      </c>
      <c r="V38" s="97">
        <f t="shared" si="82"/>
        <v>760.34593023255809</v>
      </c>
      <c r="W38" s="97">
        <f t="shared" ref="W38:W43" si="92">IF(AND(S37-S38=0,S37=0),IF(SUM($S$36:$S$43)&lt;0,U38,V38),IF(AND(S37-S38&gt;0,S38=0),V38,IF(S37-S38&lt;0,IF(S38&gt;=0,U38,V38),IF(AND(S37-S38=0,S38&lt;0),V38,IF(AND(S37-S38&gt;0,S37=0),V38,U38)))))</f>
        <v>760.34593023255809</v>
      </c>
      <c r="X38" s="95" t="str">
        <f>IF(X37="Stop","Stop",$B$15)</f>
        <v>Tour</v>
      </c>
      <c r="Y38" s="97">
        <f t="shared" si="75"/>
        <v>743.47093023255809</v>
      </c>
      <c r="Z38" s="97">
        <f t="shared" si="83"/>
        <v>760.34593023255809</v>
      </c>
      <c r="AA38" s="97">
        <f t="shared" si="84"/>
        <v>751.90843023255809</v>
      </c>
      <c r="AB38" s="97">
        <f>IF(AND(S36=0,S37=0,S38=0),(R38+R36)/2,ROUND(IF(SUM(S36:S43)&gt;0,AK38-$CR$16,AL38+$CR$16),0))</f>
        <v>692.84593023255809</v>
      </c>
      <c r="AC38" s="97">
        <f t="shared" si="85"/>
        <v>692.84593023255809</v>
      </c>
      <c r="AD38" s="97">
        <f t="shared" ref="AD38:AD43" si="93">IF(R38&lt;R37,R38,R37)</f>
        <v>709.72093023255809</v>
      </c>
      <c r="AE38" s="97">
        <f t="shared" ref="AE38:AE43" si="94">IF(R38&gt;R37,R38,R37)</f>
        <v>743.47093023255809</v>
      </c>
      <c r="AF38" s="100">
        <f t="shared" ref="AF38:AF43" si="95">IF(R37-R38&gt;0,(R37-R38)/2,(R38-R37)/2)</f>
        <v>16.875</v>
      </c>
      <c r="AG38" s="98">
        <f t="shared" si="86"/>
        <v>642.22093023255809</v>
      </c>
      <c r="AH38" s="98">
        <f t="shared" si="87"/>
        <v>743.47093023255809</v>
      </c>
      <c r="AI38" s="98">
        <f t="shared" si="88"/>
        <v>999</v>
      </c>
      <c r="AJ38" s="98">
        <f t="shared" si="89"/>
        <v>0</v>
      </c>
      <c r="AK38" s="98">
        <f t="shared" si="76"/>
        <v>871.2354651162791</v>
      </c>
      <c r="AL38" s="98">
        <f t="shared" si="90"/>
        <v>321.11046511627904</v>
      </c>
      <c r="AM38" s="98">
        <f t="shared" ref="AM38:AM43" si="96">S38-S37</f>
        <v>0</v>
      </c>
      <c r="AN38" s="98">
        <f t="shared" si="91"/>
        <v>0</v>
      </c>
      <c r="AO38" s="98">
        <f t="shared" ref="AO38:AO43" si="97">IF(S38=S37,0,1)</f>
        <v>0</v>
      </c>
      <c r="AP38" s="98">
        <f t="shared" ref="AP38:AP43" si="98">IF(X38="Stop",AP37,IF(AO38=0,(R38+$R$14)/2,AC38))</f>
        <v>549.61337209302326</v>
      </c>
      <c r="AQ38" s="98">
        <f t="shared" ref="AQ38:AQ43" si="99">IF(AQ37=0,0,IF(S38=0,0,S38))</f>
        <v>0</v>
      </c>
      <c r="AR38" s="98">
        <f t="shared" ref="AR38:AR43" si="100">IF(AQ38=AQ37,AR37,R38)</f>
        <v>642.22093023255809</v>
      </c>
      <c r="AS38" s="98">
        <f t="shared" si="77"/>
        <v>0</v>
      </c>
      <c r="AT38" s="98">
        <f>IF(AND((AR37=$AR36),AQ37=1),1,IF(AND((AR37=$AR36),AQ37=-1),-1,0))</f>
        <v>0</v>
      </c>
      <c r="AU38" s="145" t="s">
        <v>48</v>
      </c>
      <c r="AV38" s="124">
        <f t="shared" si="2"/>
        <v>429.42957746478874</v>
      </c>
      <c r="AW38" s="124">
        <f t="shared" si="3"/>
        <v>842.14084507042253</v>
      </c>
      <c r="AX38" s="124">
        <f t="shared" si="4"/>
        <v>546.47887323943667</v>
      </c>
      <c r="AY38" s="124">
        <f t="shared" si="5"/>
        <v>580.78169014084506</v>
      </c>
      <c r="AZ38" s="124">
        <f t="shared" si="6"/>
        <v>380.57746478873241</v>
      </c>
      <c r="BA38" s="124">
        <f t="shared" si="73"/>
        <v>-157.11267605633802</v>
      </c>
      <c r="BB38" s="124">
        <f t="shared" si="74"/>
        <v>157.11267605633802</v>
      </c>
      <c r="BC38" s="145">
        <v>69</v>
      </c>
      <c r="BD38" s="145">
        <v>4.42</v>
      </c>
      <c r="BE38" s="145" t="s">
        <v>179</v>
      </c>
      <c r="BF38" s="145" t="s">
        <v>179</v>
      </c>
      <c r="BG38" s="145">
        <v>120</v>
      </c>
      <c r="BH38" s="145">
        <v>161</v>
      </c>
      <c r="BI38" s="145">
        <v>202</v>
      </c>
      <c r="BJ38" s="145">
        <v>243</v>
      </c>
      <c r="BK38" s="145">
        <v>279</v>
      </c>
      <c r="BL38" s="145">
        <v>41</v>
      </c>
      <c r="BM38" s="88">
        <v>0.69099999999999995</v>
      </c>
      <c r="BN38" s="88">
        <v>0.65539999999999998</v>
      </c>
      <c r="BO38" s="88">
        <v>0.64533333333333331</v>
      </c>
      <c r="BP38" s="88">
        <v>0.6186666666666667</v>
      </c>
      <c r="BQ38" s="88">
        <v>0.59675</v>
      </c>
      <c r="BR38" s="88">
        <v>0.58644444444444455</v>
      </c>
      <c r="BS38" s="88">
        <v>0.64100000000000001</v>
      </c>
      <c r="BT38" s="88">
        <v>0.80260465116279056</v>
      </c>
      <c r="BU38" s="88">
        <v>0.77084000000000019</v>
      </c>
      <c r="BV38" s="88">
        <v>0.7633333333333332</v>
      </c>
      <c r="BW38" s="88">
        <v>0.73757142857142866</v>
      </c>
      <c r="BX38" s="88">
        <v>0.70655294117647049</v>
      </c>
      <c r="BY38" s="88">
        <v>0.68758878504672927</v>
      </c>
      <c r="BZ38" s="88">
        <v>0.66433333333333311</v>
      </c>
      <c r="CA38" s="145" t="s">
        <v>48</v>
      </c>
      <c r="CB38" s="88">
        <v>18.028571428571428</v>
      </c>
      <c r="CC38" s="88">
        <v>32.428571428571431</v>
      </c>
      <c r="CD38" s="88">
        <v>18.542857142857144</v>
      </c>
      <c r="CE38" s="88">
        <v>11.457142857142857</v>
      </c>
      <c r="CF38" s="88">
        <v>17.52</v>
      </c>
      <c r="CG38" s="88">
        <v>12.794285714285714</v>
      </c>
      <c r="CH38" s="88">
        <v>9.2285714285714278</v>
      </c>
      <c r="CI38" s="88">
        <v>25.297142857142855</v>
      </c>
      <c r="CJ38" s="88">
        <v>34.125714285714288</v>
      </c>
      <c r="CK38" s="88">
        <v>30.114285714285714</v>
      </c>
      <c r="CL38" s="88">
        <v>9.2057142857142864</v>
      </c>
      <c r="CM38" s="108">
        <v>1.1499999999999999</v>
      </c>
      <c r="CN38" s="145" t="s">
        <v>179</v>
      </c>
      <c r="CO38" s="145">
        <v>175</v>
      </c>
      <c r="CP38" s="145"/>
      <c r="CQ38" s="145"/>
      <c r="CR38" s="145"/>
      <c r="CS38" s="145"/>
      <c r="CT38" s="144"/>
      <c r="CU38" s="145" t="s">
        <v>48</v>
      </c>
      <c r="CV38" s="144" t="s">
        <v>48</v>
      </c>
      <c r="CW38" s="144">
        <v>429.42957746478874</v>
      </c>
      <c r="CX38" s="144">
        <v>842.14084507042253</v>
      </c>
      <c r="CY38" s="144">
        <v>546.47887323943667</v>
      </c>
      <c r="CZ38" s="144">
        <v>580.78169014084506</v>
      </c>
      <c r="DA38" s="144">
        <v>380.57746478873241</v>
      </c>
      <c r="DB38" s="157">
        <v>-314.22535211267603</v>
      </c>
      <c r="DC38" s="144">
        <v>142</v>
      </c>
      <c r="DD38" s="144"/>
      <c r="DE38" s="144"/>
      <c r="DF38" s="144"/>
      <c r="DG38" s="144"/>
      <c r="DH38" s="144"/>
      <c r="DI38" s="144"/>
      <c r="DJ38" s="144"/>
      <c r="DK38" s="144"/>
      <c r="DL38" s="145" t="s">
        <v>48</v>
      </c>
      <c r="DM38" s="144">
        <v>43</v>
      </c>
      <c r="DN38" s="144">
        <v>25</v>
      </c>
      <c r="DO38" s="144">
        <v>36</v>
      </c>
      <c r="DP38" s="144">
        <v>35</v>
      </c>
      <c r="DQ38" s="144"/>
      <c r="DR38" s="144">
        <v>214</v>
      </c>
      <c r="DS38" s="144">
        <v>99</v>
      </c>
      <c r="DT38" s="144">
        <v>2</v>
      </c>
      <c r="DU38" s="144">
        <v>5</v>
      </c>
      <c r="DV38" s="144">
        <v>6</v>
      </c>
      <c r="DW38" s="144">
        <v>3</v>
      </c>
      <c r="DX38" s="144">
        <v>4</v>
      </c>
      <c r="DY38" s="144">
        <v>9</v>
      </c>
      <c r="DZ38" s="144">
        <v>4</v>
      </c>
    </row>
    <row r="39" spans="2:130" ht="15" hidden="1" customHeight="1">
      <c r="B39" s="24" t="s">
        <v>107</v>
      </c>
      <c r="C39" s="23"/>
      <c r="D39" s="23"/>
      <c r="E39" s="23"/>
      <c r="F39" s="23"/>
      <c r="G39" s="23"/>
      <c r="H39" s="23"/>
      <c r="I39" s="23"/>
      <c r="Q39" s="94" t="s">
        <v>30</v>
      </c>
      <c r="R39" s="97">
        <f t="shared" si="78"/>
        <v>760.34593023255809</v>
      </c>
      <c r="S39" s="97">
        <f t="shared" si="79"/>
        <v>0</v>
      </c>
      <c r="T39" s="97">
        <f t="shared" si="80"/>
        <v>768.78343023255809</v>
      </c>
      <c r="U39" s="97">
        <f t="shared" si="81"/>
        <v>751.90843023255809</v>
      </c>
      <c r="V39" s="97">
        <f t="shared" si="82"/>
        <v>768.78343023255809</v>
      </c>
      <c r="W39" s="97">
        <f t="shared" si="92"/>
        <v>768.78343023255809</v>
      </c>
      <c r="X39" s="95" t="str">
        <f>IF(X38="Stop","Stop",$B$16)</f>
        <v>Tour</v>
      </c>
      <c r="Y39" s="97">
        <f t="shared" si="75"/>
        <v>760.34593023255809</v>
      </c>
      <c r="Z39" s="97">
        <f t="shared" si="83"/>
        <v>768.78343023255809</v>
      </c>
      <c r="AA39" s="97">
        <f t="shared" si="84"/>
        <v>764.56468023255809</v>
      </c>
      <c r="AB39" s="97">
        <f>IF(AND(S36=0,S37=0,S38=0,S39=0),(R39+R36)/2,ROUND(IF(SUM(S36:S43)&gt;0,AK39-$CR$16,AL39+$CR$16),0))</f>
        <v>701.28343023255809</v>
      </c>
      <c r="AC39" s="97">
        <f t="shared" si="85"/>
        <v>701.28343023255809</v>
      </c>
      <c r="AD39" s="97">
        <f t="shared" si="93"/>
        <v>743.47093023255809</v>
      </c>
      <c r="AE39" s="97">
        <f t="shared" si="94"/>
        <v>760.34593023255809</v>
      </c>
      <c r="AF39" s="100">
        <f t="shared" si="95"/>
        <v>8.4375</v>
      </c>
      <c r="AG39" s="98">
        <f t="shared" si="86"/>
        <v>642.22093023255809</v>
      </c>
      <c r="AH39" s="98">
        <f t="shared" si="87"/>
        <v>760.34593023255809</v>
      </c>
      <c r="AI39" s="98">
        <f t="shared" si="88"/>
        <v>999</v>
      </c>
      <c r="AJ39" s="98">
        <f t="shared" si="89"/>
        <v>0</v>
      </c>
      <c r="AK39" s="98">
        <f t="shared" si="76"/>
        <v>879.6729651162791</v>
      </c>
      <c r="AL39" s="98">
        <f t="shared" si="90"/>
        <v>321.11046511627904</v>
      </c>
      <c r="AM39" s="98">
        <f t="shared" si="96"/>
        <v>0</v>
      </c>
      <c r="AN39" s="98">
        <f t="shared" si="91"/>
        <v>0</v>
      </c>
      <c r="AO39" s="98">
        <f t="shared" si="97"/>
        <v>0</v>
      </c>
      <c r="AP39" s="98">
        <f t="shared" si="98"/>
        <v>558.05087209302326</v>
      </c>
      <c r="AQ39" s="98">
        <f t="shared" si="99"/>
        <v>0</v>
      </c>
      <c r="AR39" s="98">
        <f t="shared" si="100"/>
        <v>642.22093023255809</v>
      </c>
      <c r="AS39" s="98">
        <f t="shared" si="77"/>
        <v>0</v>
      </c>
      <c r="AT39" s="98">
        <f>IF(AND((AR38=$AR36),AQ38=1),1,IF(AND((AR38=$AR36),AQ38=-1),-1,0))</f>
        <v>0</v>
      </c>
      <c r="AU39" s="145" t="s">
        <v>61</v>
      </c>
      <c r="AV39" s="124">
        <f t="shared" si="2"/>
        <v>285.89908256880733</v>
      </c>
      <c r="AW39" s="124">
        <f t="shared" si="3"/>
        <v>888.02752293577987</v>
      </c>
      <c r="AX39" s="124">
        <f t="shared" si="4"/>
        <v>500.11009174311926</v>
      </c>
      <c r="AY39" s="124">
        <f t="shared" si="5"/>
        <v>716.85321100917429</v>
      </c>
      <c r="AZ39" s="124">
        <f t="shared" si="6"/>
        <v>722.04587155963304</v>
      </c>
      <c r="BA39" s="124">
        <f t="shared" si="73"/>
        <v>-45.793577981651374</v>
      </c>
      <c r="BB39" s="124">
        <f t="shared" si="74"/>
        <v>45.793577981651374</v>
      </c>
      <c r="BC39" s="145">
        <v>53</v>
      </c>
      <c r="BD39" s="145">
        <v>5.7869999999999999</v>
      </c>
      <c r="BE39" s="145" t="s">
        <v>179</v>
      </c>
      <c r="BF39" s="145" t="s">
        <v>182</v>
      </c>
      <c r="BG39" s="145">
        <v>120</v>
      </c>
      <c r="BH39" s="145">
        <v>161</v>
      </c>
      <c r="BI39" s="145">
        <v>202</v>
      </c>
      <c r="BJ39" s="145">
        <v>243</v>
      </c>
      <c r="BK39" s="145">
        <v>279</v>
      </c>
      <c r="BL39" s="145">
        <v>41</v>
      </c>
      <c r="BM39" s="88"/>
      <c r="BN39" s="88">
        <v>0.69099999999999995</v>
      </c>
      <c r="BO39" s="88"/>
      <c r="BP39" s="88">
        <v>0.66633333333333322</v>
      </c>
      <c r="BQ39" s="88">
        <v>0.63449999999999995</v>
      </c>
      <c r="BR39" s="88">
        <v>0.54033333333333333</v>
      </c>
      <c r="BS39" s="88">
        <v>0.52199999999999991</v>
      </c>
      <c r="BT39" s="88">
        <v>0.85845054945054955</v>
      </c>
      <c r="BU39" s="88">
        <v>0.84522222222222221</v>
      </c>
      <c r="BV39" s="88">
        <v>0.81164285714285722</v>
      </c>
      <c r="BW39" s="88">
        <v>0.79936842105263162</v>
      </c>
      <c r="BX39" s="88">
        <v>0.74621621621621648</v>
      </c>
      <c r="BY39" s="88">
        <v>0.73694791666666648</v>
      </c>
      <c r="BZ39" s="88">
        <v>0.71291250000000006</v>
      </c>
      <c r="CA39" s="145" t="s">
        <v>61</v>
      </c>
      <c r="CB39" s="88">
        <v>19.748148148148147</v>
      </c>
      <c r="CC39" s="88">
        <v>38.214814814814815</v>
      </c>
      <c r="CD39" s="88">
        <v>13.02962962962963</v>
      </c>
      <c r="CE39" s="88">
        <v>9.9777777777777779</v>
      </c>
      <c r="CF39" s="88">
        <v>18.081481481481482</v>
      </c>
      <c r="CG39" s="88">
        <v>15.940740740740742</v>
      </c>
      <c r="CH39" s="88">
        <v>12.266666666666667</v>
      </c>
      <c r="CI39" s="88">
        <v>28.125925925925927</v>
      </c>
      <c r="CJ39" s="88">
        <v>34.94814814814815</v>
      </c>
      <c r="CK39" s="88">
        <v>19.162962962962961</v>
      </c>
      <c r="CL39" s="88">
        <v>13.703703703703704</v>
      </c>
      <c r="CM39" s="108">
        <v>1.04</v>
      </c>
      <c r="CN39" s="145" t="s">
        <v>182</v>
      </c>
      <c r="CO39" s="145">
        <v>135</v>
      </c>
      <c r="CP39" s="145"/>
      <c r="CQ39" s="145"/>
      <c r="CR39" s="145"/>
      <c r="CS39" s="145"/>
      <c r="CT39" s="144"/>
      <c r="CU39" s="145" t="s">
        <v>61</v>
      </c>
      <c r="CV39" s="144" t="s">
        <v>61</v>
      </c>
      <c r="CW39" s="144">
        <v>285.89908256880733</v>
      </c>
      <c r="CX39" s="144">
        <v>888.02752293577987</v>
      </c>
      <c r="CY39" s="144">
        <v>500.11009174311926</v>
      </c>
      <c r="CZ39" s="144">
        <v>716.85321100917429</v>
      </c>
      <c r="DA39" s="144">
        <v>722.04587155963304</v>
      </c>
      <c r="DB39" s="157">
        <v>-91.587155963302749</v>
      </c>
      <c r="DC39" s="144">
        <v>109</v>
      </c>
      <c r="DD39" s="144"/>
      <c r="DE39" s="144"/>
      <c r="DF39" s="144"/>
      <c r="DG39" s="144"/>
      <c r="DH39" s="144"/>
      <c r="DI39" s="144"/>
      <c r="DJ39" s="144"/>
      <c r="DK39" s="144"/>
      <c r="DL39" s="145" t="s">
        <v>61</v>
      </c>
      <c r="DM39" s="144">
        <v>91</v>
      </c>
      <c r="DN39" s="144">
        <v>9</v>
      </c>
      <c r="DO39" s="144">
        <v>14</v>
      </c>
      <c r="DP39" s="144">
        <v>38</v>
      </c>
      <c r="DQ39" s="144"/>
      <c r="DR39" s="144">
        <v>96</v>
      </c>
      <c r="DS39" s="144">
        <v>80</v>
      </c>
      <c r="DT39" s="144"/>
      <c r="DU39" s="144">
        <v>1</v>
      </c>
      <c r="DV39" s="144"/>
      <c r="DW39" s="144">
        <v>3</v>
      </c>
      <c r="DX39" s="144">
        <v>2</v>
      </c>
      <c r="DY39" s="144">
        <v>9</v>
      </c>
      <c r="DZ39" s="144">
        <v>6</v>
      </c>
    </row>
    <row r="40" spans="2:130" ht="15" hidden="1" customHeight="1" thickBot="1">
      <c r="C40" s="23"/>
      <c r="D40" s="23"/>
      <c r="E40" s="23"/>
      <c r="F40" s="23"/>
      <c r="G40" s="23"/>
      <c r="H40" s="23"/>
      <c r="I40" s="23"/>
      <c r="Q40" s="94" t="s">
        <v>31</v>
      </c>
      <c r="R40" s="97">
        <f t="shared" si="78"/>
        <v>768.78343023255809</v>
      </c>
      <c r="S40" s="97">
        <f t="shared" si="79"/>
        <v>0</v>
      </c>
      <c r="T40" s="97">
        <f t="shared" si="80"/>
        <v>773.00218023255809</v>
      </c>
      <c r="U40" s="97">
        <f t="shared" si="81"/>
        <v>764.56468023255809</v>
      </c>
      <c r="V40" s="97">
        <f t="shared" si="82"/>
        <v>773.00218023255809</v>
      </c>
      <c r="W40" s="97">
        <f t="shared" si="92"/>
        <v>773.00218023255809</v>
      </c>
      <c r="X40" s="95" t="str">
        <f>IF(X39="Stop","Stop",$B$17)</f>
        <v>Tour</v>
      </c>
      <c r="Y40" s="97">
        <f t="shared" si="75"/>
        <v>768.78343023255809</v>
      </c>
      <c r="Z40" s="97">
        <f t="shared" si="83"/>
        <v>773.00218023255809</v>
      </c>
      <c r="AA40" s="97">
        <f t="shared" si="84"/>
        <v>770.89280523255809</v>
      </c>
      <c r="AB40" s="97">
        <f>IF(AND(S36=0,S37=0,S38=0,S39=0,S40=0),(R40+R36)/2,ROUND(IF(SUM(S36:S43)&gt;0,AK40-$CR$16,AL40+$CR$16),0))</f>
        <v>705.50218023255809</v>
      </c>
      <c r="AC40" s="97">
        <f t="shared" si="85"/>
        <v>705.50218023255809</v>
      </c>
      <c r="AD40" s="97">
        <f t="shared" si="93"/>
        <v>760.34593023255809</v>
      </c>
      <c r="AE40" s="97">
        <f t="shared" si="94"/>
        <v>768.78343023255809</v>
      </c>
      <c r="AF40" s="100">
        <f t="shared" si="95"/>
        <v>4.21875</v>
      </c>
      <c r="AG40" s="98">
        <f t="shared" si="86"/>
        <v>642.22093023255809</v>
      </c>
      <c r="AH40" s="98">
        <f t="shared" si="87"/>
        <v>768.78343023255809</v>
      </c>
      <c r="AI40" s="98">
        <f t="shared" si="88"/>
        <v>999</v>
      </c>
      <c r="AJ40" s="98">
        <f t="shared" si="89"/>
        <v>0</v>
      </c>
      <c r="AK40" s="98">
        <f t="shared" si="76"/>
        <v>883.8917151162791</v>
      </c>
      <c r="AL40" s="98">
        <f t="shared" si="90"/>
        <v>321.11046511627904</v>
      </c>
      <c r="AM40" s="98">
        <f t="shared" si="96"/>
        <v>0</v>
      </c>
      <c r="AN40" s="98">
        <f t="shared" si="91"/>
        <v>0</v>
      </c>
      <c r="AO40" s="98">
        <f t="shared" si="97"/>
        <v>0</v>
      </c>
      <c r="AP40" s="98">
        <f t="shared" si="98"/>
        <v>562.26962209302326</v>
      </c>
      <c r="AQ40" s="98">
        <f t="shared" si="99"/>
        <v>0</v>
      </c>
      <c r="AR40" s="98">
        <f t="shared" si="100"/>
        <v>642.22093023255809</v>
      </c>
      <c r="AS40" s="98">
        <f t="shared" si="77"/>
        <v>0</v>
      </c>
      <c r="AT40" s="98">
        <f>IF(AND((AR39=$AR36),AQ39=1),1,IF(AND((AR39=$AR36),AQ39=-1),-1,0))</f>
        <v>0</v>
      </c>
      <c r="AU40" s="145" t="s">
        <v>62</v>
      </c>
      <c r="AV40" s="124">
        <f t="shared" si="2"/>
        <v>557.32558139534888</v>
      </c>
      <c r="AW40" s="124">
        <f t="shared" si="3"/>
        <v>953.3604651162791</v>
      </c>
      <c r="AX40" s="124">
        <f t="shared" si="4"/>
        <v>932.61627906976742</v>
      </c>
      <c r="AY40" s="124">
        <f t="shared" si="5"/>
        <v>762.91860465116281</v>
      </c>
      <c r="AZ40" s="124">
        <f t="shared" si="6"/>
        <v>735.09302325581393</v>
      </c>
      <c r="BA40" s="124">
        <f t="shared" si="73"/>
        <v>-165.59883720930233</v>
      </c>
      <c r="BB40" s="124">
        <f t="shared" si="74"/>
        <v>165.59883720930233</v>
      </c>
      <c r="BC40" s="145">
        <v>58</v>
      </c>
      <c r="BD40" s="145">
        <v>5.2469999999999999</v>
      </c>
      <c r="BE40" s="145" t="s">
        <v>179</v>
      </c>
      <c r="BF40" s="145" t="s">
        <v>179</v>
      </c>
      <c r="BG40" s="145">
        <v>120</v>
      </c>
      <c r="BH40" s="145">
        <v>161</v>
      </c>
      <c r="BI40" s="145">
        <v>202</v>
      </c>
      <c r="BJ40" s="145">
        <v>243</v>
      </c>
      <c r="BK40" s="145">
        <v>279</v>
      </c>
      <c r="BL40" s="145">
        <v>41</v>
      </c>
      <c r="BM40" s="88"/>
      <c r="BN40" s="88"/>
      <c r="BO40" s="88"/>
      <c r="BP40" s="88">
        <v>0.49759999999999999</v>
      </c>
      <c r="BQ40" s="88">
        <v>0.47783333333333333</v>
      </c>
      <c r="BR40" s="88">
        <v>0.46559999999999996</v>
      </c>
      <c r="BS40" s="88">
        <v>0.45879999999999999</v>
      </c>
      <c r="BT40" s="88">
        <v>0.78992307692307684</v>
      </c>
      <c r="BU40" s="88">
        <v>0.76186956521739146</v>
      </c>
      <c r="BV40" s="88">
        <v>0.75733333333333341</v>
      </c>
      <c r="BW40" s="88">
        <v>0.73237500000000022</v>
      </c>
      <c r="BX40" s="88">
        <v>0.70514999999999972</v>
      </c>
      <c r="BY40" s="88">
        <v>0.67994838709677452</v>
      </c>
      <c r="BZ40" s="88">
        <v>0.66310256410256407</v>
      </c>
      <c r="CA40" s="145" t="s">
        <v>62</v>
      </c>
      <c r="CB40" s="88">
        <v>14.992700729927007</v>
      </c>
      <c r="CC40" s="88">
        <v>14.532846715328468</v>
      </c>
      <c r="CD40" s="88">
        <v>17.649635036496349</v>
      </c>
      <c r="CE40" s="88">
        <v>12.642335766423358</v>
      </c>
      <c r="CF40" s="88">
        <v>18.576642335766422</v>
      </c>
      <c r="CG40" s="88">
        <v>21.321167883211679</v>
      </c>
      <c r="CH40" s="88">
        <v>22.394160583941606</v>
      </c>
      <c r="CI40" s="88">
        <v>24.554744525547445</v>
      </c>
      <c r="CJ40" s="88">
        <v>21.854014598540147</v>
      </c>
      <c r="CK40" s="88">
        <v>18.678832116788321</v>
      </c>
      <c r="CL40" s="88">
        <v>12.072992700729927</v>
      </c>
      <c r="CM40" s="108">
        <v>1.1499999999999999</v>
      </c>
      <c r="CN40" s="145" t="s">
        <v>179</v>
      </c>
      <c r="CO40" s="145">
        <v>137</v>
      </c>
      <c r="CP40" s="145"/>
      <c r="CQ40" s="145"/>
      <c r="CR40" s="145"/>
      <c r="CS40" s="145"/>
      <c r="CT40" s="144"/>
      <c r="CU40" s="145" t="s">
        <v>62</v>
      </c>
      <c r="CV40" s="144" t="s">
        <v>62</v>
      </c>
      <c r="CW40" s="144">
        <v>557.32558139534888</v>
      </c>
      <c r="CX40" s="144">
        <v>953.3604651162791</v>
      </c>
      <c r="CY40" s="144">
        <v>932.61627906976742</v>
      </c>
      <c r="CZ40" s="144">
        <v>762.91860465116281</v>
      </c>
      <c r="DA40" s="144">
        <v>735.09302325581393</v>
      </c>
      <c r="DB40" s="157">
        <v>-331.19767441860466</v>
      </c>
      <c r="DC40" s="144">
        <v>86</v>
      </c>
      <c r="DD40" s="144">
        <v>679.56521739130437</v>
      </c>
      <c r="DE40" s="144">
        <v>882.60869565217388</v>
      </c>
      <c r="DF40" s="144">
        <v>947.56521739130437</v>
      </c>
      <c r="DG40" s="144">
        <v>541.91304347826087</v>
      </c>
      <c r="DH40" s="144">
        <v>600.78260869565213</v>
      </c>
      <c r="DI40" s="144">
        <v>-312.86956521739131</v>
      </c>
      <c r="DJ40" s="144">
        <v>23</v>
      </c>
      <c r="DK40" s="144"/>
      <c r="DL40" s="145" t="s">
        <v>62</v>
      </c>
      <c r="DM40" s="144">
        <v>13</v>
      </c>
      <c r="DN40" s="144">
        <v>23</v>
      </c>
      <c r="DO40" s="144">
        <v>3</v>
      </c>
      <c r="DP40" s="144">
        <v>32</v>
      </c>
      <c r="DQ40" s="144"/>
      <c r="DR40" s="144">
        <v>155</v>
      </c>
      <c r="DS40" s="144">
        <v>39</v>
      </c>
      <c r="DT40" s="144"/>
      <c r="DU40" s="144"/>
      <c r="DV40" s="144"/>
      <c r="DW40" s="144">
        <v>5</v>
      </c>
      <c r="DX40" s="144">
        <v>6</v>
      </c>
      <c r="DY40" s="144">
        <v>10</v>
      </c>
      <c r="DZ40" s="144">
        <v>5</v>
      </c>
    </row>
    <row r="41" spans="2:130" ht="15" hidden="1" customHeight="1" thickBot="1">
      <c r="B41" s="25" t="s">
        <v>108</v>
      </c>
      <c r="C41" s="30"/>
      <c r="D41" s="30"/>
      <c r="E41" s="30"/>
      <c r="F41" s="30"/>
      <c r="G41" s="31"/>
      <c r="H41" s="23"/>
      <c r="I41" s="23"/>
      <c r="M41" s="5" t="b">
        <f>IF(AND(P36=0,P37=0),TRUE,FALSE)</f>
        <v>1</v>
      </c>
      <c r="Q41" s="94" t="s">
        <v>32</v>
      </c>
      <c r="R41" s="97">
        <f t="shared" si="78"/>
        <v>773.00218023255809</v>
      </c>
      <c r="S41" s="97">
        <f t="shared" si="79"/>
        <v>0</v>
      </c>
      <c r="T41" s="97">
        <f t="shared" si="80"/>
        <v>775.11155523255809</v>
      </c>
      <c r="U41" s="97">
        <f t="shared" si="81"/>
        <v>770.89280523255809</v>
      </c>
      <c r="V41" s="97">
        <f t="shared" si="82"/>
        <v>775.11155523255809</v>
      </c>
      <c r="W41" s="97">
        <f t="shared" si="92"/>
        <v>775.11155523255809</v>
      </c>
      <c r="X41" s="95" t="str">
        <f>IF(X40="Stop","Stop",$B$18)</f>
        <v>Tour</v>
      </c>
      <c r="Y41" s="97">
        <f t="shared" si="75"/>
        <v>773.00218023255809</v>
      </c>
      <c r="Z41" s="97">
        <f t="shared" si="83"/>
        <v>775.11155523255809</v>
      </c>
      <c r="AA41" s="97">
        <f t="shared" si="84"/>
        <v>774.05686773255809</v>
      </c>
      <c r="AB41" s="97">
        <f>IF(AND(S36=0,S37=0,S38=0,S39=0,S40=0,S41=0),(R41+R36)/2,ROUND(IF(SUM(S36:S43)&gt;0,AK41-$CR$16,AL41+$CR$16),0))</f>
        <v>707.61155523255809</v>
      </c>
      <c r="AC41" s="97">
        <f t="shared" si="85"/>
        <v>707.61155523255809</v>
      </c>
      <c r="AD41" s="97">
        <f t="shared" si="93"/>
        <v>768.78343023255809</v>
      </c>
      <c r="AE41" s="97">
        <f t="shared" si="94"/>
        <v>773.00218023255809</v>
      </c>
      <c r="AF41" s="100">
        <f t="shared" si="95"/>
        <v>2.109375</v>
      </c>
      <c r="AG41" s="98">
        <f t="shared" si="86"/>
        <v>642.22093023255809</v>
      </c>
      <c r="AH41" s="98">
        <f t="shared" si="87"/>
        <v>773.00218023255809</v>
      </c>
      <c r="AI41" s="98">
        <f t="shared" si="88"/>
        <v>999</v>
      </c>
      <c r="AJ41" s="98">
        <f t="shared" si="89"/>
        <v>0</v>
      </c>
      <c r="AK41" s="98">
        <f t="shared" si="76"/>
        <v>886.0010901162791</v>
      </c>
      <c r="AL41" s="98">
        <f t="shared" si="90"/>
        <v>321.11046511627904</v>
      </c>
      <c r="AM41" s="98">
        <f t="shared" si="96"/>
        <v>0</v>
      </c>
      <c r="AN41" s="98">
        <f t="shared" si="91"/>
        <v>0</v>
      </c>
      <c r="AO41" s="98">
        <f t="shared" si="97"/>
        <v>0</v>
      </c>
      <c r="AP41" s="98">
        <f t="shared" si="98"/>
        <v>564.37899709302326</v>
      </c>
      <c r="AQ41" s="98">
        <f t="shared" si="99"/>
        <v>0</v>
      </c>
      <c r="AR41" s="98">
        <f t="shared" si="100"/>
        <v>642.22093023255809</v>
      </c>
      <c r="AS41" s="98">
        <f t="shared" si="77"/>
        <v>0</v>
      </c>
      <c r="AT41" s="98">
        <f>IF(AND((AR40=$AR36),AQ40=1),1,IF(AND((AR40=$AR36),AQ40=-1),-1,0))</f>
        <v>0</v>
      </c>
      <c r="AU41" s="145" t="s">
        <v>59</v>
      </c>
      <c r="AV41" s="124">
        <f t="shared" si="2"/>
        <v>665.68253968253964</v>
      </c>
      <c r="AW41" s="124">
        <f t="shared" si="3"/>
        <v>693.93650793650795</v>
      </c>
      <c r="AX41" s="124">
        <f t="shared" si="4"/>
        <v>536.99206349206349</v>
      </c>
      <c r="AY41" s="124">
        <f t="shared" si="5"/>
        <v>595.83333333333337</v>
      </c>
      <c r="AZ41" s="124">
        <f t="shared" si="6"/>
        <v>288.05555555555554</v>
      </c>
      <c r="BA41" s="124">
        <f t="shared" si="73"/>
        <v>-196.23412698412699</v>
      </c>
      <c r="BB41" s="124">
        <f t="shared" si="74"/>
        <v>196.23412698412699</v>
      </c>
      <c r="BC41" s="145">
        <v>60</v>
      </c>
      <c r="BD41" s="145">
        <v>5.1369999999999996</v>
      </c>
      <c r="BE41" s="145" t="s">
        <v>182</v>
      </c>
      <c r="BF41" s="145" t="s">
        <v>179</v>
      </c>
      <c r="BG41" s="145">
        <v>99</v>
      </c>
      <c r="BH41" s="145">
        <v>133</v>
      </c>
      <c r="BI41" s="145">
        <v>168</v>
      </c>
      <c r="BJ41" s="145">
        <v>202</v>
      </c>
      <c r="BK41" s="145">
        <v>232</v>
      </c>
      <c r="BL41" s="145">
        <v>35</v>
      </c>
      <c r="BM41" s="88"/>
      <c r="BN41" s="88"/>
      <c r="BO41" s="88">
        <v>0.69880000000000009</v>
      </c>
      <c r="BP41" s="88">
        <v>0.65150000000000008</v>
      </c>
      <c r="BQ41" s="88">
        <v>0.60966666666666647</v>
      </c>
      <c r="BR41" s="88">
        <v>0.59815000000000007</v>
      </c>
      <c r="BS41" s="88">
        <v>0.57464285714285712</v>
      </c>
      <c r="BT41" s="88">
        <v>0.77059999999999995</v>
      </c>
      <c r="BU41" s="88">
        <v>0.76174999999999993</v>
      </c>
      <c r="BV41" s="88">
        <v>0.7381904761904764</v>
      </c>
      <c r="BW41" s="88">
        <v>0.71514655172413766</v>
      </c>
      <c r="BX41" s="88">
        <v>0.68604651162790697</v>
      </c>
      <c r="BY41" s="88">
        <v>0.67145205479452097</v>
      </c>
      <c r="BZ41" s="88">
        <v>0.65023943661971817</v>
      </c>
      <c r="CA41" s="145" t="s">
        <v>59</v>
      </c>
      <c r="CB41" s="88">
        <v>17.766304347826086</v>
      </c>
      <c r="CC41" s="88">
        <v>29.271739130434781</v>
      </c>
      <c r="CD41" s="88">
        <v>24.510869565217391</v>
      </c>
      <c r="CE41" s="88">
        <v>21.233695652173914</v>
      </c>
      <c r="CF41" s="88">
        <v>16.114130434782609</v>
      </c>
      <c r="CG41" s="88">
        <v>10.706521739130435</v>
      </c>
      <c r="CH41" s="88">
        <v>13.760869565217391</v>
      </c>
      <c r="CI41" s="88">
        <v>21.646739130434781</v>
      </c>
      <c r="CJ41" s="88">
        <v>29.358695652173914</v>
      </c>
      <c r="CK41" s="88">
        <v>26.663043478260871</v>
      </c>
      <c r="CL41" s="88">
        <v>8.75</v>
      </c>
      <c r="CM41" s="108">
        <v>1.19</v>
      </c>
      <c r="CN41" s="145" t="s">
        <v>179</v>
      </c>
      <c r="CO41" s="145">
        <v>184</v>
      </c>
      <c r="CP41" s="145"/>
      <c r="CQ41" s="145"/>
      <c r="CR41" s="145"/>
      <c r="CS41" s="145"/>
      <c r="CT41" s="144"/>
      <c r="CU41" s="145" t="s">
        <v>59</v>
      </c>
      <c r="CV41" s="144" t="s">
        <v>59</v>
      </c>
      <c r="CW41" s="144">
        <v>665.68253968253964</v>
      </c>
      <c r="CX41" s="144">
        <v>693.93650793650795</v>
      </c>
      <c r="CY41" s="144">
        <v>536.99206349206349</v>
      </c>
      <c r="CZ41" s="144">
        <v>595.83333333333337</v>
      </c>
      <c r="DA41" s="144">
        <v>288.05555555555554</v>
      </c>
      <c r="DB41" s="157">
        <v>-392.46825396825398</v>
      </c>
      <c r="DC41" s="144">
        <v>126</v>
      </c>
      <c r="DD41" s="144">
        <v>769.625</v>
      </c>
      <c r="DE41" s="144">
        <v>568.4375</v>
      </c>
      <c r="DF41" s="144">
        <v>574.90625</v>
      </c>
      <c r="DG41" s="144">
        <v>540.84375</v>
      </c>
      <c r="DH41" s="144">
        <v>163.5625</v>
      </c>
      <c r="DI41" s="144">
        <v>-333.53125</v>
      </c>
      <c r="DJ41" s="144">
        <v>32</v>
      </c>
      <c r="DK41" s="144"/>
      <c r="DL41" s="145" t="s">
        <v>59</v>
      </c>
      <c r="DM41" s="144">
        <v>5</v>
      </c>
      <c r="DN41" s="144">
        <v>16</v>
      </c>
      <c r="DO41" s="144">
        <v>63</v>
      </c>
      <c r="DP41" s="144">
        <v>116</v>
      </c>
      <c r="DQ41" s="144"/>
      <c r="DR41" s="144">
        <v>219</v>
      </c>
      <c r="DS41" s="144">
        <v>71</v>
      </c>
      <c r="DT41" s="144"/>
      <c r="DU41" s="144"/>
      <c r="DV41" s="144">
        <v>5</v>
      </c>
      <c r="DW41" s="144">
        <v>8</v>
      </c>
      <c r="DX41" s="144">
        <v>15</v>
      </c>
      <c r="DY41" s="144">
        <v>20</v>
      </c>
      <c r="DZ41" s="144">
        <v>14</v>
      </c>
    </row>
    <row r="42" spans="2:130" ht="15" hidden="1" customHeight="1">
      <c r="B42" s="23" t="s">
        <v>113</v>
      </c>
      <c r="C42" s="23"/>
      <c r="D42" s="23"/>
      <c r="E42" s="23"/>
      <c r="F42" s="23"/>
      <c r="G42" s="23"/>
      <c r="H42" s="23"/>
      <c r="I42" s="23"/>
      <c r="Q42" s="94" t="s">
        <v>33</v>
      </c>
      <c r="R42" s="97">
        <f t="shared" si="78"/>
        <v>775.11155523255809</v>
      </c>
      <c r="S42" s="97">
        <f t="shared" si="79"/>
        <v>0</v>
      </c>
      <c r="T42" s="97">
        <f t="shared" si="80"/>
        <v>776.16624273255809</v>
      </c>
      <c r="U42" s="97">
        <f t="shared" si="81"/>
        <v>774.05686773255809</v>
      </c>
      <c r="V42" s="97">
        <f t="shared" si="82"/>
        <v>776.16624273255809</v>
      </c>
      <c r="W42" s="97">
        <f t="shared" si="92"/>
        <v>776.16624273255809</v>
      </c>
      <c r="X42" s="95" t="str">
        <f>IF(X41="Stop","Stop",$B$19)</f>
        <v>Tour</v>
      </c>
      <c r="Y42" s="97">
        <f t="shared" si="75"/>
        <v>775.11155523255809</v>
      </c>
      <c r="Z42" s="97">
        <f t="shared" si="83"/>
        <v>776.16624273255809</v>
      </c>
      <c r="AA42" s="97">
        <f t="shared" si="84"/>
        <v>775.63889898255809</v>
      </c>
      <c r="AB42" s="97">
        <f>IF(AND(S36=0,S37=0,S38=0,S39=0,S40=0,S41=0,S42=0),(R42+R36)/2,ROUND(IF(SUM(S36:S43)&gt;0,AK42-$CR$16,AL42+$CR$16),0))</f>
        <v>708.66624273255809</v>
      </c>
      <c r="AC42" s="97">
        <f t="shared" si="85"/>
        <v>708.66624273255809</v>
      </c>
      <c r="AD42" s="97">
        <f t="shared" si="93"/>
        <v>773.00218023255809</v>
      </c>
      <c r="AE42" s="97">
        <f t="shared" si="94"/>
        <v>775.11155523255809</v>
      </c>
      <c r="AF42" s="100">
        <f t="shared" si="95"/>
        <v>1.0546875</v>
      </c>
      <c r="AG42" s="98">
        <f t="shared" si="86"/>
        <v>642.22093023255809</v>
      </c>
      <c r="AH42" s="98">
        <f t="shared" si="87"/>
        <v>775.11155523255809</v>
      </c>
      <c r="AI42" s="98">
        <f t="shared" si="88"/>
        <v>999</v>
      </c>
      <c r="AJ42" s="98">
        <f t="shared" si="89"/>
        <v>0</v>
      </c>
      <c r="AK42" s="98">
        <f t="shared" si="76"/>
        <v>887.0557776162791</v>
      </c>
      <c r="AL42" s="98">
        <f t="shared" si="90"/>
        <v>321.11046511627904</v>
      </c>
      <c r="AM42" s="98">
        <f t="shared" si="96"/>
        <v>0</v>
      </c>
      <c r="AN42" s="98">
        <f t="shared" si="91"/>
        <v>0</v>
      </c>
      <c r="AO42" s="98">
        <f t="shared" si="97"/>
        <v>0</v>
      </c>
      <c r="AP42" s="98">
        <f t="shared" si="98"/>
        <v>565.43368459302326</v>
      </c>
      <c r="AQ42" s="98">
        <f t="shared" si="99"/>
        <v>0</v>
      </c>
      <c r="AR42" s="98">
        <f t="shared" si="100"/>
        <v>642.22093023255809</v>
      </c>
      <c r="AS42" s="98">
        <f t="shared" si="77"/>
        <v>0</v>
      </c>
      <c r="AT42" s="98">
        <f>IF(AND((AR41=$AR36),AQ41=1),1,IF(AND((AR41=$AR36),AQ41=-1),-1,0))</f>
        <v>0</v>
      </c>
      <c r="AU42" s="145" t="s">
        <v>55</v>
      </c>
      <c r="AV42" s="124">
        <f t="shared" si="2"/>
        <v>667.80645161290317</v>
      </c>
      <c r="AW42" s="124">
        <f t="shared" si="3"/>
        <v>574.06451612903231</v>
      </c>
      <c r="AX42" s="124">
        <f t="shared" si="4"/>
        <v>601.33870967741939</v>
      </c>
      <c r="AY42" s="124">
        <f t="shared" si="5"/>
        <v>472.83870967741933</v>
      </c>
      <c r="AZ42" s="124">
        <f t="shared" si="6"/>
        <v>304.66129032258067</v>
      </c>
      <c r="BA42" s="124">
        <f t="shared" si="73"/>
        <v>52.83064516129032</v>
      </c>
      <c r="BB42" s="124">
        <f t="shared" si="74"/>
        <v>-52.83064516129032</v>
      </c>
      <c r="BC42" s="145">
        <v>60</v>
      </c>
      <c r="BD42" s="145">
        <v>5.1449999999999996</v>
      </c>
      <c r="BE42" s="145" t="s">
        <v>181</v>
      </c>
      <c r="BF42" s="145" t="s">
        <v>183</v>
      </c>
      <c r="BG42" s="145">
        <v>134</v>
      </c>
      <c r="BH42" s="145">
        <v>180</v>
      </c>
      <c r="BI42" s="145">
        <v>226</v>
      </c>
      <c r="BJ42" s="145">
        <v>272</v>
      </c>
      <c r="BK42" s="145">
        <v>313</v>
      </c>
      <c r="BL42" s="145">
        <v>46</v>
      </c>
      <c r="BM42" s="88"/>
      <c r="BN42" s="88"/>
      <c r="BO42" s="88"/>
      <c r="BP42" s="88"/>
      <c r="BQ42" s="88">
        <v>0.43114285714285716</v>
      </c>
      <c r="BR42" s="88">
        <v>0.42081818181818187</v>
      </c>
      <c r="BS42" s="88">
        <v>0.41036363636363637</v>
      </c>
      <c r="BT42" s="88">
        <v>0.70041176470588218</v>
      </c>
      <c r="BU42" s="88">
        <v>0.70461904761904748</v>
      </c>
      <c r="BV42" s="88">
        <v>0.66722222222222216</v>
      </c>
      <c r="BW42" s="88">
        <v>0.66850000000000009</v>
      </c>
      <c r="BX42" s="88">
        <v>0.63560273972602743</v>
      </c>
      <c r="BY42" s="88">
        <v>0.6220405405405407</v>
      </c>
      <c r="BZ42" s="88">
        <v>0.59625000000000006</v>
      </c>
      <c r="CA42" s="145" t="s">
        <v>55</v>
      </c>
      <c r="CB42" s="88">
        <v>20.968085106382979</v>
      </c>
      <c r="CC42" s="88">
        <v>31.797872340425531</v>
      </c>
      <c r="CD42" s="88">
        <v>17.74468085106383</v>
      </c>
      <c r="CE42" s="88">
        <v>23.382978723404257</v>
      </c>
      <c r="CF42" s="88">
        <v>19.946808510638299</v>
      </c>
      <c r="CG42" s="88">
        <v>11.095744680851064</v>
      </c>
      <c r="CH42" s="88">
        <v>11.627659574468085</v>
      </c>
      <c r="CI42" s="88">
        <v>20.627659574468087</v>
      </c>
      <c r="CJ42" s="88">
        <v>33.882978723404257</v>
      </c>
      <c r="CK42" s="88">
        <v>31.042553191489361</v>
      </c>
      <c r="CL42" s="88">
        <v>7.9680851063829783</v>
      </c>
      <c r="CM42" s="108">
        <v>1.3049999999999999</v>
      </c>
      <c r="CN42" s="145" t="s">
        <v>183</v>
      </c>
      <c r="CO42" s="145">
        <v>94</v>
      </c>
      <c r="CP42" s="145"/>
      <c r="CQ42" s="145"/>
      <c r="CR42" s="145"/>
      <c r="CS42" s="145"/>
      <c r="CT42" s="144"/>
      <c r="CU42" s="145" t="s">
        <v>55</v>
      </c>
      <c r="CV42" s="144" t="s">
        <v>55</v>
      </c>
      <c r="CW42" s="144">
        <v>667.80645161290317</v>
      </c>
      <c r="CX42" s="144">
        <v>574.06451612903231</v>
      </c>
      <c r="CY42" s="144">
        <v>601.33870967741939</v>
      </c>
      <c r="CZ42" s="144">
        <v>472.83870967741933</v>
      </c>
      <c r="DA42" s="144">
        <v>304.66129032258067</v>
      </c>
      <c r="DB42" s="157">
        <v>105.66129032258064</v>
      </c>
      <c r="DC42" s="144">
        <v>62</v>
      </c>
      <c r="DD42" s="144">
        <v>784.93333333333328</v>
      </c>
      <c r="DE42" s="144">
        <v>482.2</v>
      </c>
      <c r="DF42" s="144">
        <v>613.86666666666667</v>
      </c>
      <c r="DG42" s="144">
        <v>404.13333333333333</v>
      </c>
      <c r="DH42" s="144">
        <v>204.13333333333333</v>
      </c>
      <c r="DI42" s="144">
        <v>166.33333333333334</v>
      </c>
      <c r="DJ42" s="144">
        <v>15</v>
      </c>
      <c r="DK42" s="144"/>
      <c r="DL42" s="145" t="s">
        <v>55</v>
      </c>
      <c r="DM42" s="144">
        <v>17</v>
      </c>
      <c r="DN42" s="144">
        <v>21</v>
      </c>
      <c r="DO42" s="144">
        <v>9</v>
      </c>
      <c r="DP42" s="144">
        <v>20</v>
      </c>
      <c r="DQ42" s="144"/>
      <c r="DR42" s="144">
        <v>74</v>
      </c>
      <c r="DS42" s="144">
        <v>28</v>
      </c>
      <c r="DT42" s="144"/>
      <c r="DU42" s="144"/>
      <c r="DV42" s="144"/>
      <c r="DW42" s="144"/>
      <c r="DX42" s="144">
        <v>7</v>
      </c>
      <c r="DY42" s="144">
        <v>11</v>
      </c>
      <c r="DZ42" s="144">
        <v>11</v>
      </c>
    </row>
    <row r="43" spans="2:130" ht="15" hidden="1" customHeight="1">
      <c r="B43" s="23" t="s">
        <v>114</v>
      </c>
      <c r="C43" s="23"/>
      <c r="D43" s="23"/>
      <c r="E43" s="23"/>
      <c r="F43" s="23"/>
      <c r="G43" s="23"/>
      <c r="H43" s="23"/>
      <c r="I43" s="23"/>
      <c r="Q43" s="101" t="s">
        <v>34</v>
      </c>
      <c r="R43" s="102">
        <f t="shared" si="78"/>
        <v>776.16624273255809</v>
      </c>
      <c r="S43" s="102">
        <f t="shared" si="79"/>
        <v>0</v>
      </c>
      <c r="T43" s="97">
        <f t="shared" si="80"/>
        <v>776.69358648255809</v>
      </c>
      <c r="U43" s="102">
        <f t="shared" si="81"/>
        <v>775.63889898255809</v>
      </c>
      <c r="V43" s="102">
        <f t="shared" si="82"/>
        <v>776.69358648255809</v>
      </c>
      <c r="W43" s="97">
        <f t="shared" si="92"/>
        <v>776.69358648255809</v>
      </c>
      <c r="X43" s="103" t="str">
        <f>IF(X42="Stop","Stop",$B$20)</f>
        <v>Tour</v>
      </c>
      <c r="Y43" s="102">
        <f t="shared" si="75"/>
        <v>776.16624273255809</v>
      </c>
      <c r="Z43" s="102">
        <f t="shared" si="83"/>
        <v>776.69358648255809</v>
      </c>
      <c r="AA43" s="102">
        <f t="shared" si="84"/>
        <v>776.42991460755809</v>
      </c>
      <c r="AB43" s="102">
        <f>IF(AND(S36=0,S37=0,S38=0,S39=0,S40=0,S41=0,S42=0,S43=0),(R43+R36)/2,ROUND(IF(SUM(S36:S43)&gt;0,AK43-$CR$16,AL43+$CR$16),0))</f>
        <v>709.19358648255809</v>
      </c>
      <c r="AC43" s="102">
        <f t="shared" si="85"/>
        <v>709.19358648255809</v>
      </c>
      <c r="AD43" s="102">
        <f t="shared" si="93"/>
        <v>775.11155523255809</v>
      </c>
      <c r="AE43" s="102">
        <f t="shared" si="94"/>
        <v>776.16624273255809</v>
      </c>
      <c r="AF43" s="104">
        <f t="shared" si="95"/>
        <v>0.52734375</v>
      </c>
      <c r="AG43" s="98">
        <f t="shared" si="86"/>
        <v>642.22093023255809</v>
      </c>
      <c r="AH43" s="98">
        <f t="shared" si="87"/>
        <v>776.16624273255809</v>
      </c>
      <c r="AI43" s="98">
        <f t="shared" si="88"/>
        <v>999</v>
      </c>
      <c r="AJ43" s="98">
        <f t="shared" si="89"/>
        <v>0</v>
      </c>
      <c r="AK43" s="98">
        <f t="shared" si="76"/>
        <v>887.5831213662791</v>
      </c>
      <c r="AL43" s="98">
        <f t="shared" si="90"/>
        <v>321.11046511627904</v>
      </c>
      <c r="AM43" s="98">
        <f t="shared" si="96"/>
        <v>0</v>
      </c>
      <c r="AN43" s="98">
        <f t="shared" si="91"/>
        <v>0</v>
      </c>
      <c r="AO43" s="98">
        <f t="shared" si="97"/>
        <v>0</v>
      </c>
      <c r="AP43" s="98">
        <f t="shared" si="98"/>
        <v>565.96102834302326</v>
      </c>
      <c r="AQ43" s="98">
        <f t="shared" si="99"/>
        <v>0</v>
      </c>
      <c r="AR43" s="98">
        <f t="shared" si="100"/>
        <v>642.22093023255809</v>
      </c>
      <c r="AS43" s="98">
        <f t="shared" si="77"/>
        <v>0</v>
      </c>
      <c r="AT43" s="98">
        <f>IF(AND((AR42=$AR36),AQ42=1),1,IF(AND((AR42=$AR36),AQ42=-1),-1,0))</f>
        <v>0</v>
      </c>
      <c r="AU43" s="145" t="s">
        <v>42</v>
      </c>
      <c r="AV43" s="124">
        <f t="shared" si="2"/>
        <v>519.35064935064941</v>
      </c>
      <c r="AW43" s="124">
        <f t="shared" si="3"/>
        <v>827.10389610389609</v>
      </c>
      <c r="AX43" s="124">
        <f t="shared" si="4"/>
        <v>502.24675324675326</v>
      </c>
      <c r="AY43" s="124">
        <f t="shared" si="5"/>
        <v>594.67532467532465</v>
      </c>
      <c r="AZ43" s="124">
        <f t="shared" si="6"/>
        <v>625.01298701298697</v>
      </c>
      <c r="BA43" s="124">
        <f t="shared" si="73"/>
        <v>-16.311688311688311</v>
      </c>
      <c r="BB43" s="124">
        <f t="shared" si="74"/>
        <v>16.311688311688311</v>
      </c>
      <c r="BC43" s="145">
        <v>52</v>
      </c>
      <c r="BD43" s="145">
        <v>5.94</v>
      </c>
      <c r="BE43" s="145" t="s">
        <v>179</v>
      </c>
      <c r="BF43" s="145" t="s">
        <v>180</v>
      </c>
      <c r="BG43" s="145">
        <v>120</v>
      </c>
      <c r="BH43" s="145">
        <v>161</v>
      </c>
      <c r="BI43" s="145">
        <v>202</v>
      </c>
      <c r="BJ43" s="145">
        <v>243</v>
      </c>
      <c r="BK43" s="145">
        <v>279</v>
      </c>
      <c r="BL43" s="145">
        <v>41</v>
      </c>
      <c r="BM43" s="88">
        <v>0.57900000000000007</v>
      </c>
      <c r="BN43" s="88">
        <v>0.57733333333333337</v>
      </c>
      <c r="BO43" s="88"/>
      <c r="BP43" s="88">
        <v>0.52433333333333332</v>
      </c>
      <c r="BQ43" s="88">
        <v>0.51085714285714279</v>
      </c>
      <c r="BR43" s="88">
        <v>0.50119999999999998</v>
      </c>
      <c r="BS43" s="88">
        <v>0.49220000000000008</v>
      </c>
      <c r="BT43" s="88">
        <v>0.81799999999999995</v>
      </c>
      <c r="BU43" s="88">
        <v>0.78264999999999996</v>
      </c>
      <c r="BV43" s="88">
        <v>0.75124999999999997</v>
      </c>
      <c r="BW43" s="88">
        <v>0.75903225806451613</v>
      </c>
      <c r="BX43" s="88">
        <v>0.72118749999999976</v>
      </c>
      <c r="BY43" s="88">
        <v>0.70347586206896473</v>
      </c>
      <c r="BZ43" s="88">
        <v>0.68480555555555556</v>
      </c>
      <c r="CA43" s="145" t="s">
        <v>42</v>
      </c>
      <c r="CB43" s="88">
        <v>14.4921875</v>
      </c>
      <c r="CC43" s="88">
        <v>31.7109375</v>
      </c>
      <c r="CD43" s="88">
        <v>17.9609375</v>
      </c>
      <c r="CE43" s="88">
        <v>20.6171875</v>
      </c>
      <c r="CF43" s="88">
        <v>15.8046875</v>
      </c>
      <c r="CG43" s="88">
        <v>13.4140625</v>
      </c>
      <c r="CH43" s="88">
        <v>15.34375</v>
      </c>
      <c r="CI43" s="88">
        <v>17.5625</v>
      </c>
      <c r="CJ43" s="88">
        <v>24.7734375</v>
      </c>
      <c r="CK43" s="88">
        <v>15.25</v>
      </c>
      <c r="CL43" s="88">
        <v>9.0234375</v>
      </c>
      <c r="CM43" s="108">
        <v>1.1200000000000001</v>
      </c>
      <c r="CN43" s="145" t="s">
        <v>180</v>
      </c>
      <c r="CO43" s="145">
        <v>128</v>
      </c>
      <c r="CP43" s="145"/>
      <c r="CQ43" s="145"/>
      <c r="CR43" s="145"/>
      <c r="CS43" s="145"/>
      <c r="CT43" s="144"/>
      <c r="CU43" s="145" t="s">
        <v>42</v>
      </c>
      <c r="CV43" s="144" t="s">
        <v>42</v>
      </c>
      <c r="CW43" s="144">
        <v>519.35064935064941</v>
      </c>
      <c r="CX43" s="144">
        <v>827.10389610389609</v>
      </c>
      <c r="CY43" s="144">
        <v>502.24675324675326</v>
      </c>
      <c r="CZ43" s="144">
        <v>594.67532467532465</v>
      </c>
      <c r="DA43" s="144">
        <v>625.01298701298697</v>
      </c>
      <c r="DB43" s="157">
        <v>-32.623376623376622</v>
      </c>
      <c r="DC43" s="144">
        <v>77</v>
      </c>
      <c r="DD43" s="144">
        <v>612.37931034482756</v>
      </c>
      <c r="DE43" s="144">
        <v>724.06896551724139</v>
      </c>
      <c r="DF43" s="144">
        <v>521.79310344827582</v>
      </c>
      <c r="DG43" s="144">
        <v>517.17241379310349</v>
      </c>
      <c r="DH43" s="144">
        <v>518.93103448275861</v>
      </c>
      <c r="DI43" s="144">
        <v>-3.103448275862069</v>
      </c>
      <c r="DJ43" s="144">
        <v>29</v>
      </c>
      <c r="DK43" s="144"/>
      <c r="DL43" s="145" t="s">
        <v>42</v>
      </c>
      <c r="DM43" s="144">
        <v>2</v>
      </c>
      <c r="DN43" s="144">
        <v>20</v>
      </c>
      <c r="DO43" s="144">
        <v>8</v>
      </c>
      <c r="DP43" s="144">
        <v>31</v>
      </c>
      <c r="DQ43" s="144"/>
      <c r="DR43" s="144">
        <v>145</v>
      </c>
      <c r="DS43" s="144">
        <v>36</v>
      </c>
      <c r="DT43" s="144">
        <v>6</v>
      </c>
      <c r="DU43" s="144">
        <v>3</v>
      </c>
      <c r="DV43" s="144"/>
      <c r="DW43" s="144">
        <v>6</v>
      </c>
      <c r="DX43" s="144">
        <v>7</v>
      </c>
      <c r="DY43" s="144">
        <v>20</v>
      </c>
      <c r="DZ43" s="144">
        <v>10</v>
      </c>
    </row>
    <row r="44" spans="2:130" ht="15" hidden="1" customHeight="1" thickBot="1">
      <c r="B44" s="23"/>
      <c r="C44" s="23"/>
      <c r="D44" s="23"/>
      <c r="E44" s="23"/>
      <c r="F44" s="23"/>
      <c r="G44" s="23"/>
      <c r="H44" s="23"/>
      <c r="I44" s="23"/>
      <c r="AU44" s="145" t="s">
        <v>53</v>
      </c>
      <c r="AV44" s="124">
        <f t="shared" si="2"/>
        <v>460.48750000000001</v>
      </c>
      <c r="AW44" s="124">
        <f t="shared" si="3"/>
        <v>891.5</v>
      </c>
      <c r="AX44" s="124">
        <f t="shared" si="4"/>
        <v>298.11250000000001</v>
      </c>
      <c r="AY44" s="124">
        <f t="shared" si="5"/>
        <v>643.79999999999995</v>
      </c>
      <c r="AZ44" s="124">
        <f t="shared" si="6"/>
        <v>695</v>
      </c>
      <c r="BA44" s="124">
        <f t="shared" si="73"/>
        <v>69.775000000000006</v>
      </c>
      <c r="BB44" s="124">
        <f t="shared" si="74"/>
        <v>-69.775000000000006</v>
      </c>
      <c r="BC44" s="145">
        <v>79</v>
      </c>
      <c r="BD44" s="145">
        <v>3.8610000000000002</v>
      </c>
      <c r="BE44" s="145" t="s">
        <v>182</v>
      </c>
      <c r="BF44" s="145" t="s">
        <v>180</v>
      </c>
      <c r="BG44" s="145">
        <v>99</v>
      </c>
      <c r="BH44" s="145">
        <v>133</v>
      </c>
      <c r="BI44" s="145">
        <v>168</v>
      </c>
      <c r="BJ44" s="145">
        <v>202</v>
      </c>
      <c r="BK44" s="145">
        <v>232</v>
      </c>
      <c r="BL44" s="145">
        <v>35</v>
      </c>
      <c r="BM44" s="88">
        <v>0.69066666666666665</v>
      </c>
      <c r="BN44" s="88">
        <v>0.6875</v>
      </c>
      <c r="BO44" s="88">
        <v>0.63966666666666672</v>
      </c>
      <c r="BP44" s="88"/>
      <c r="BQ44" s="88">
        <v>0.59699999999999998</v>
      </c>
      <c r="BR44" s="88">
        <v>0.56580000000000008</v>
      </c>
      <c r="BS44" s="88">
        <v>0.5625714285714285</v>
      </c>
      <c r="BT44" s="88">
        <v>0.84308333333333341</v>
      </c>
      <c r="BU44" s="88">
        <v>0.81176923076923069</v>
      </c>
      <c r="BV44" s="88">
        <v>0.78372000000000019</v>
      </c>
      <c r="BW44" s="88">
        <v>0.78210526315789497</v>
      </c>
      <c r="BX44" s="88">
        <v>0.74763725490196065</v>
      </c>
      <c r="BY44" s="88">
        <v>0.73062580645161201</v>
      </c>
      <c r="BZ44" s="88">
        <v>0.69669444444444439</v>
      </c>
      <c r="CA44" s="145" t="s">
        <v>53</v>
      </c>
      <c r="CB44" s="88">
        <v>18.233576642335766</v>
      </c>
      <c r="CC44" s="88">
        <v>40.642335766423358</v>
      </c>
      <c r="CD44" s="88">
        <v>18.832116788321169</v>
      </c>
      <c r="CE44" s="88">
        <v>24.072992700729927</v>
      </c>
      <c r="CF44" s="88">
        <v>21.883211678832115</v>
      </c>
      <c r="CG44" s="88">
        <v>11.014598540145986</v>
      </c>
      <c r="CH44" s="88">
        <v>13.204379562043796</v>
      </c>
      <c r="CI44" s="88">
        <v>20.416058394160583</v>
      </c>
      <c r="CJ44" s="88">
        <v>34.313868613138688</v>
      </c>
      <c r="CK44" s="88">
        <v>17.233576642335766</v>
      </c>
      <c r="CL44" s="88">
        <v>8.4160583941605847</v>
      </c>
      <c r="CM44" s="108">
        <v>1.07</v>
      </c>
      <c r="CN44" s="145" t="s">
        <v>180</v>
      </c>
      <c r="CO44" s="145">
        <v>137</v>
      </c>
      <c r="CP44" s="145"/>
      <c r="CQ44" s="145"/>
      <c r="CR44" s="145"/>
      <c r="CS44" s="145"/>
      <c r="CT44" s="144"/>
      <c r="CU44" s="145" t="s">
        <v>53</v>
      </c>
      <c r="CV44" s="144" t="s">
        <v>53</v>
      </c>
      <c r="CW44" s="144">
        <v>460.48750000000001</v>
      </c>
      <c r="CX44" s="144">
        <v>891.5</v>
      </c>
      <c r="CY44" s="144">
        <v>298.11250000000001</v>
      </c>
      <c r="CZ44" s="144">
        <v>643.79999999999995</v>
      </c>
      <c r="DA44" s="144">
        <v>695</v>
      </c>
      <c r="DB44" s="157">
        <v>139.55000000000001</v>
      </c>
      <c r="DC44" s="144">
        <v>80</v>
      </c>
      <c r="DD44" s="144">
        <v>562.65517241379314</v>
      </c>
      <c r="DE44" s="144">
        <v>751.72413793103453</v>
      </c>
      <c r="DF44" s="144">
        <v>318.55172413793105</v>
      </c>
      <c r="DG44" s="144">
        <v>651.72413793103453</v>
      </c>
      <c r="DH44" s="144">
        <v>593</v>
      </c>
      <c r="DI44" s="144">
        <v>213.65517241379311</v>
      </c>
      <c r="DJ44" s="144">
        <v>29</v>
      </c>
      <c r="DK44" s="144"/>
      <c r="DL44" s="145" t="s">
        <v>53</v>
      </c>
      <c r="DM44" s="144">
        <v>24</v>
      </c>
      <c r="DN44" s="144">
        <v>26</v>
      </c>
      <c r="DO44" s="144">
        <v>25</v>
      </c>
      <c r="DP44" s="144">
        <v>38</v>
      </c>
      <c r="DQ44" s="144"/>
      <c r="DR44" s="144">
        <v>155</v>
      </c>
      <c r="DS44" s="144">
        <v>36</v>
      </c>
      <c r="DT44" s="144">
        <v>3</v>
      </c>
      <c r="DU44" s="144">
        <v>8</v>
      </c>
      <c r="DV44" s="144">
        <v>3</v>
      </c>
      <c r="DW44" s="144"/>
      <c r="DX44" s="144">
        <v>8</v>
      </c>
      <c r="DY44" s="144">
        <v>5</v>
      </c>
      <c r="DZ44" s="144">
        <v>7</v>
      </c>
    </row>
    <row r="45" spans="2:130" ht="15" hidden="1" customHeight="1" thickBot="1">
      <c r="B45" s="25" t="s">
        <v>112</v>
      </c>
      <c r="C45" s="30"/>
      <c r="D45" s="30"/>
      <c r="E45" s="30"/>
      <c r="F45" s="30"/>
      <c r="G45" s="31"/>
      <c r="H45" s="23"/>
      <c r="I45" s="23"/>
      <c r="Q45" s="89" t="s">
        <v>36</v>
      </c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1"/>
      <c r="AE45" s="91"/>
      <c r="AF45" s="92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145" t="s">
        <v>72</v>
      </c>
      <c r="AV45" s="124">
        <f t="shared" si="2"/>
        <v>791.45045045045049</v>
      </c>
      <c r="AW45" s="124">
        <f t="shared" si="3"/>
        <v>480.70270270270271</v>
      </c>
      <c r="AX45" s="124">
        <f t="shared" si="4"/>
        <v>486.08108108108109</v>
      </c>
      <c r="AY45" s="124">
        <f t="shared" si="5"/>
        <v>344.09009009009009</v>
      </c>
      <c r="AZ45" s="124">
        <f t="shared" si="6"/>
        <v>405.36936936936939</v>
      </c>
      <c r="BA45" s="124">
        <f>IF($N$82="Sec",IF(ABS(DB45/2)&gt;0,DB45/2,-(DB45/2)),IF(ISBLANK(DI45),IF(ABS(DB45/2)&gt;0,DB45/2,-(DB45/2)),IF(ABS(DI45/2)&gt;0,-(DI45/2),(DI45/2))))</f>
        <v>11.346846846846846</v>
      </c>
      <c r="BB45" s="124">
        <f t="shared" si="74"/>
        <v>-11.346846846846846</v>
      </c>
      <c r="BC45" s="145">
        <v>66</v>
      </c>
      <c r="BD45" s="145">
        <v>4.6920000000000002</v>
      </c>
      <c r="BE45" s="145" t="s">
        <v>180</v>
      </c>
      <c r="BF45" s="145" t="s">
        <v>179</v>
      </c>
      <c r="BG45" s="145">
        <v>109</v>
      </c>
      <c r="BH45" s="145">
        <v>146</v>
      </c>
      <c r="BI45" s="145">
        <v>183</v>
      </c>
      <c r="BJ45" s="145">
        <v>221</v>
      </c>
      <c r="BK45" s="145">
        <v>254</v>
      </c>
      <c r="BL45" s="145">
        <v>38</v>
      </c>
      <c r="BM45" s="88"/>
      <c r="BN45" s="88">
        <v>0.59662499999999996</v>
      </c>
      <c r="BO45" s="88">
        <v>0.61099999999999999</v>
      </c>
      <c r="BP45" s="88">
        <v>0.58399999999999996</v>
      </c>
      <c r="BQ45" s="88">
        <v>0.56125000000000003</v>
      </c>
      <c r="BR45" s="88">
        <v>0.54341379310344817</v>
      </c>
      <c r="BS45" s="88">
        <v>0.52729411764705891</v>
      </c>
      <c r="BT45" s="88">
        <v>0.79649999999999999</v>
      </c>
      <c r="BU45" s="88">
        <v>0.76575862068965528</v>
      </c>
      <c r="BV45" s="88">
        <v>0.73951724137931041</v>
      </c>
      <c r="BW45" s="88">
        <v>0.71260416666666637</v>
      </c>
      <c r="BX45" s="88">
        <v>0.68612500000000043</v>
      </c>
      <c r="BY45" s="88">
        <v>0.67722900763358751</v>
      </c>
      <c r="BZ45" s="88">
        <v>0.65130864197530847</v>
      </c>
      <c r="CA45" s="145" t="s">
        <v>72</v>
      </c>
      <c r="CB45" s="120">
        <v>16.312101910828027</v>
      </c>
      <c r="CC45" s="120">
        <v>15.127388535031848</v>
      </c>
      <c r="CD45" s="120">
        <v>16.210191082802549</v>
      </c>
      <c r="CE45" s="120">
        <v>17.681528662420384</v>
      </c>
      <c r="CF45" s="120">
        <v>31.535031847133759</v>
      </c>
      <c r="CG45" s="120">
        <v>15.165605095541402</v>
      </c>
      <c r="CH45" s="120">
        <v>14.777070063694268</v>
      </c>
      <c r="CI45" s="120">
        <v>15.286624203821656</v>
      </c>
      <c r="CJ45" s="120">
        <v>22.477707006369428</v>
      </c>
      <c r="CK45" s="120">
        <v>33.337579617834393</v>
      </c>
      <c r="CL45" s="120">
        <v>12.382165605095542</v>
      </c>
      <c r="CM45" s="108">
        <v>1.18</v>
      </c>
      <c r="CN45" s="145" t="s">
        <v>179</v>
      </c>
      <c r="CO45" s="145">
        <v>157</v>
      </c>
      <c r="CP45" s="145"/>
      <c r="CQ45" s="145"/>
      <c r="CR45" s="145"/>
      <c r="CS45" s="145"/>
      <c r="CT45" s="144"/>
      <c r="CU45" s="145" t="s">
        <v>72</v>
      </c>
      <c r="CV45" s="144" t="s">
        <v>72</v>
      </c>
      <c r="CW45" s="144">
        <v>791.45045045045049</v>
      </c>
      <c r="CX45" s="144">
        <v>480.70270270270271</v>
      </c>
      <c r="CY45" s="144">
        <v>486.08108108108109</v>
      </c>
      <c r="CZ45" s="144">
        <v>344.09009009009009</v>
      </c>
      <c r="DA45" s="144">
        <v>405.36936936936939</v>
      </c>
      <c r="DB45" s="157">
        <v>22.693693693693692</v>
      </c>
      <c r="DC45" s="144">
        <v>111</v>
      </c>
      <c r="DD45" s="144">
        <v>862.78947368421052</v>
      </c>
      <c r="DE45" s="144">
        <v>383.94736842105266</v>
      </c>
      <c r="DF45" s="144">
        <v>519.15789473684208</v>
      </c>
      <c r="DG45" s="144">
        <v>257.84210526315792</v>
      </c>
      <c r="DH45" s="144">
        <v>295</v>
      </c>
      <c r="DI45" s="144">
        <v>4.4736842105263159</v>
      </c>
      <c r="DJ45" s="144">
        <v>19</v>
      </c>
      <c r="DK45" s="144"/>
      <c r="DL45" s="145" t="s">
        <v>72</v>
      </c>
      <c r="DM45" s="144">
        <v>2</v>
      </c>
      <c r="DN45" s="144">
        <v>29</v>
      </c>
      <c r="DO45" s="144">
        <v>29</v>
      </c>
      <c r="DP45" s="144">
        <v>48</v>
      </c>
      <c r="DQ45" s="144"/>
      <c r="DR45" s="144">
        <v>131</v>
      </c>
      <c r="DS45" s="144">
        <v>81</v>
      </c>
      <c r="DT45" s="144"/>
      <c r="DU45" s="144">
        <v>8</v>
      </c>
      <c r="DV45" s="144">
        <v>2</v>
      </c>
      <c r="DW45" s="144">
        <v>2</v>
      </c>
      <c r="DX45" s="144">
        <v>16</v>
      </c>
      <c r="DY45" s="144">
        <v>29</v>
      </c>
      <c r="DZ45" s="144">
        <v>17</v>
      </c>
    </row>
    <row r="46" spans="2:130" ht="15" hidden="1" customHeight="1">
      <c r="B46" s="23" t="s">
        <v>109</v>
      </c>
      <c r="C46" s="23"/>
      <c r="D46" s="23"/>
      <c r="E46" s="23"/>
      <c r="F46" s="23"/>
      <c r="G46" s="23"/>
      <c r="H46" s="23"/>
      <c r="I46" s="23"/>
      <c r="K46" s="32"/>
      <c r="Q46" s="94"/>
      <c r="R46" s="95"/>
      <c r="S46" s="95" t="s">
        <v>23</v>
      </c>
      <c r="T46" s="95"/>
      <c r="U46" s="95"/>
      <c r="V46" s="95"/>
      <c r="W46" s="95"/>
      <c r="X46" s="95"/>
      <c r="Y46" s="95" t="s">
        <v>24</v>
      </c>
      <c r="Z46" s="95" t="s">
        <v>25</v>
      </c>
      <c r="AA46" s="95" t="s">
        <v>26</v>
      </c>
      <c r="AB46" s="95"/>
      <c r="AC46" s="95"/>
      <c r="AD46" s="93" t="s">
        <v>24</v>
      </c>
      <c r="AE46" s="93" t="s">
        <v>25</v>
      </c>
      <c r="AF46" s="96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145" t="s">
        <v>70</v>
      </c>
      <c r="AV46" s="124">
        <f t="shared" si="2"/>
        <v>760.64367816091954</v>
      </c>
      <c r="AW46" s="124">
        <f t="shared" si="3"/>
        <v>666.02298850574709</v>
      </c>
      <c r="AX46" s="124">
        <f t="shared" si="4"/>
        <v>390.19540229885058</v>
      </c>
      <c r="AY46" s="124">
        <f t="shared" si="5"/>
        <v>568.16091954022988</v>
      </c>
      <c r="AZ46" s="124">
        <f t="shared" si="6"/>
        <v>636.86206896551721</v>
      </c>
      <c r="BA46" s="124">
        <f t="shared" ref="BA46:BA62" si="101">IF($N$82="Sec",IF(ABS(DB46/2)&gt;0,DB46/2,-(DB46/2)),IF(ISBLANK(DI46),IF(ABS(DB46/2)&gt;0,DB46/2,-(DB46/2)),IF(ABS(DI46/2)&gt;0,-(DI46/2),(DI46/2))))</f>
        <v>12.051724137931034</v>
      </c>
      <c r="BB46" s="124">
        <f t="shared" si="74"/>
        <v>-12.051724137931034</v>
      </c>
      <c r="BC46" s="145">
        <v>75</v>
      </c>
      <c r="BD46" s="145">
        <v>4.0830000000000002</v>
      </c>
      <c r="BE46" s="145" t="s">
        <v>179</v>
      </c>
      <c r="BF46" s="145" t="s">
        <v>181</v>
      </c>
      <c r="BG46" s="145">
        <v>120</v>
      </c>
      <c r="BH46" s="145">
        <v>161</v>
      </c>
      <c r="BI46" s="145">
        <v>202</v>
      </c>
      <c r="BJ46" s="145">
        <v>243</v>
      </c>
      <c r="BK46" s="145">
        <v>279</v>
      </c>
      <c r="BL46" s="145">
        <v>41</v>
      </c>
      <c r="BM46" s="88">
        <v>0.58799999999999997</v>
      </c>
      <c r="BN46" s="88"/>
      <c r="BO46" s="88"/>
      <c r="BP46" s="88"/>
      <c r="BQ46" s="88">
        <v>0.55871428571428583</v>
      </c>
      <c r="BR46" s="88">
        <v>0.5587692307692308</v>
      </c>
      <c r="BS46" s="88">
        <v>0.56133333333333335</v>
      </c>
      <c r="BT46" s="88">
        <v>0.74740000000000006</v>
      </c>
      <c r="BU46" s="88">
        <v>0.7375454545454545</v>
      </c>
      <c r="BV46" s="88">
        <v>0.72613333333333341</v>
      </c>
      <c r="BW46" s="88">
        <v>0.69071874999999994</v>
      </c>
      <c r="BX46" s="88">
        <v>0.66746280991735452</v>
      </c>
      <c r="BY46" s="88">
        <v>0.64841221374045854</v>
      </c>
      <c r="BZ46" s="88">
        <v>0.63210256410256427</v>
      </c>
      <c r="CA46" s="145" t="s">
        <v>70</v>
      </c>
      <c r="CB46" s="88">
        <v>19.274999999999999</v>
      </c>
      <c r="CC46" s="88">
        <v>27.308333333333334</v>
      </c>
      <c r="CD46" s="88">
        <v>22.625</v>
      </c>
      <c r="CE46" s="88">
        <v>26.908333333333335</v>
      </c>
      <c r="CF46" s="88">
        <v>23.691666666666666</v>
      </c>
      <c r="CG46" s="88">
        <v>19.475000000000001</v>
      </c>
      <c r="CH46" s="88">
        <v>16.875</v>
      </c>
      <c r="CI46" s="88">
        <v>20.125</v>
      </c>
      <c r="CJ46" s="88">
        <v>21.375</v>
      </c>
      <c r="CK46" s="88">
        <v>17.225000000000001</v>
      </c>
      <c r="CL46" s="88">
        <v>14.516666666666667</v>
      </c>
      <c r="CM46" s="108">
        <v>1.23</v>
      </c>
      <c r="CN46" s="145" t="s">
        <v>181</v>
      </c>
      <c r="CO46" s="145">
        <v>120</v>
      </c>
      <c r="CP46" s="145"/>
      <c r="CQ46" s="145"/>
      <c r="CR46" s="145"/>
      <c r="CS46" s="145"/>
      <c r="CT46" s="144"/>
      <c r="CU46" s="145" t="s">
        <v>70</v>
      </c>
      <c r="CV46" s="144" t="s">
        <v>70</v>
      </c>
      <c r="CW46" s="144">
        <v>760.64367816091954</v>
      </c>
      <c r="CX46" s="144">
        <v>666.02298850574709</v>
      </c>
      <c r="CY46" s="144">
        <v>390.19540229885058</v>
      </c>
      <c r="CZ46" s="144">
        <v>568.16091954022988</v>
      </c>
      <c r="DA46" s="144">
        <v>636.86206896551721</v>
      </c>
      <c r="DB46" s="157">
        <v>24.103448275862068</v>
      </c>
      <c r="DC46" s="144">
        <v>87</v>
      </c>
      <c r="DD46" s="144">
        <v>830.91666666666663</v>
      </c>
      <c r="DE46" s="144">
        <v>573.16666666666663</v>
      </c>
      <c r="DF46" s="144">
        <v>443.75</v>
      </c>
      <c r="DG46" s="144">
        <v>415.16666666666669</v>
      </c>
      <c r="DH46" s="144">
        <v>518.91666666666663</v>
      </c>
      <c r="DI46" s="144">
        <v>61.666666666666664</v>
      </c>
      <c r="DJ46" s="144">
        <v>12</v>
      </c>
      <c r="DK46" s="144"/>
      <c r="DL46" s="145" t="s">
        <v>70</v>
      </c>
      <c r="DM46" s="144">
        <v>10</v>
      </c>
      <c r="DN46" s="144">
        <v>11</v>
      </c>
      <c r="DO46" s="144">
        <v>15</v>
      </c>
      <c r="DP46" s="144">
        <v>32</v>
      </c>
      <c r="DQ46" s="144"/>
      <c r="DR46" s="144">
        <v>131</v>
      </c>
      <c r="DS46" s="144">
        <v>39</v>
      </c>
      <c r="DT46" s="144">
        <v>2</v>
      </c>
      <c r="DU46" s="144"/>
      <c r="DV46" s="144"/>
      <c r="DW46" s="144"/>
      <c r="DX46" s="144">
        <v>7</v>
      </c>
      <c r="DY46" s="144">
        <v>13</v>
      </c>
      <c r="DZ46" s="144">
        <v>3</v>
      </c>
    </row>
    <row r="47" spans="2:130" ht="15" hidden="1" customHeight="1">
      <c r="B47" s="23" t="s">
        <v>110</v>
      </c>
      <c r="C47" s="23"/>
      <c r="D47" s="23"/>
      <c r="E47" s="23"/>
      <c r="F47" s="23"/>
      <c r="G47" s="23"/>
      <c r="H47" s="23"/>
      <c r="I47" s="23"/>
      <c r="Q47" s="94" t="s">
        <v>27</v>
      </c>
      <c r="R47" s="97">
        <f>J13</f>
        <v>661.39534883720933</v>
      </c>
      <c r="S47" s="97">
        <f>VLOOKUP(K13,$T$3:$V$9,3,FALSE)</f>
        <v>0</v>
      </c>
      <c r="T47" s="97">
        <f>IF(IF(S47=0,R47+$CR$17,IF(S47=-1,R47+$CR$17,IF(S47=-2,R47+(2*$CR$17),IF(S47=-3,R47+(3*$CR$17),IF(S47=1,R47-$CR$17,IF(S47=2,R47-(2*$CR$17),R47-(3*$CR$17)))))))&gt;999,999,IF(S47=0,R47+$CR$17,IF(S47=-1,R47+$CR$17,IF(S47=-2,R47+(2*$CR$17),IF(S47=-3,R47+(3*$CR$17),IF(S47=1,R47-$CR$17,IF(S47=2,R47-(2*$CR$17),R47-(3*$CR$17))))))))</f>
        <v>728.89534883720933</v>
      </c>
      <c r="U47" s="95"/>
      <c r="V47" s="95"/>
      <c r="W47" s="95"/>
      <c r="X47" s="95" t="str">
        <f>$B$13</f>
        <v>Tour</v>
      </c>
      <c r="Y47" s="97">
        <f t="shared" ref="Y47:Y54" si="102">IF(S47=0,R47,IF(S47&lt;0,R47,T47))</f>
        <v>661.39534883720933</v>
      </c>
      <c r="Z47" s="97">
        <f>IF(S47&gt;0,R47,T47)</f>
        <v>728.89534883720933</v>
      </c>
      <c r="AA47" s="97">
        <f>AVERAGE(Y47:Z47)</f>
        <v>695.14534883720933</v>
      </c>
      <c r="AB47" s="97">
        <f>ROUND(IF(SUM($S$47:$S$54)&gt;0,AA47-$CR$17,AA47+$CR$17),0)</f>
        <v>763</v>
      </c>
      <c r="AC47" s="97">
        <f>AB47</f>
        <v>763</v>
      </c>
      <c r="AD47" s="98"/>
      <c r="AE47" s="98"/>
      <c r="AF47" s="99"/>
      <c r="AG47" s="98">
        <f>IF(S47=0,R47,999)</f>
        <v>661.39534883720933</v>
      </c>
      <c r="AH47" s="98">
        <f>IF(S47=0,R47,0)</f>
        <v>661.39534883720933</v>
      </c>
      <c r="AI47" s="98">
        <f>IF(S47=0,999,R47)</f>
        <v>999</v>
      </c>
      <c r="AJ47" s="98">
        <f>IF(S47=0,0,R47)</f>
        <v>0</v>
      </c>
      <c r="AK47" s="98">
        <f t="shared" ref="AK47:AK54" si="103">IF(AG47-AH47=999,((AL47+AI47)/2),((AH47+AI47)/2))</f>
        <v>830.19767441860472</v>
      </c>
      <c r="AL47" s="98">
        <f>IF(R47=999,999,IF(AG47-AH47=999,(AJ47+AN47)/2,(AJ47+AG47)/2))</f>
        <v>330.69767441860466</v>
      </c>
      <c r="AM47" s="98"/>
      <c r="AN47" s="98"/>
      <c r="AO47" s="98"/>
      <c r="AP47" s="98"/>
      <c r="AQ47" s="98">
        <f>IF(S47=0,0,S47)</f>
        <v>0</v>
      </c>
      <c r="AR47" s="98">
        <f>R47</f>
        <v>661.39534883720933</v>
      </c>
      <c r="AS47" s="98">
        <f t="shared" ref="AS47:AS54" si="104">IF(X47="Stop",IF(AT47=1,R47-$CR$17,IF(AT47=(-1),R47+$CR$17,IF(AQ46=0,0,((AR46+AR47)/2)+(2*$CQ$17)))),0)</f>
        <v>0</v>
      </c>
      <c r="AT47" s="98">
        <f>IF(AND((AR46=$AR47),AQ46=1),1,IF(AND((AR46=$AR47),AQ46=-1),-1,0))</f>
        <v>0</v>
      </c>
      <c r="AU47" s="145" t="s">
        <v>279</v>
      </c>
      <c r="AV47" s="124">
        <f t="shared" si="2"/>
        <v>293.90123456790121</v>
      </c>
      <c r="AW47" s="124">
        <f t="shared" si="3"/>
        <v>736.79012345679007</v>
      </c>
      <c r="AX47" s="124">
        <f t="shared" si="4"/>
        <v>195.72839506172841</v>
      </c>
      <c r="AY47" s="124">
        <f t="shared" si="5"/>
        <v>577.11111111111109</v>
      </c>
      <c r="AZ47" s="124">
        <f t="shared" si="6"/>
        <v>434.79012345679013</v>
      </c>
      <c r="BA47" s="124">
        <f t="shared" si="101"/>
        <v>6.0185185185185182</v>
      </c>
      <c r="BB47" s="124">
        <f t="shared" si="74"/>
        <v>-6.0185185185185182</v>
      </c>
      <c r="BC47" s="145">
        <v>67</v>
      </c>
      <c r="BD47" s="145">
        <v>4.7359999999999998</v>
      </c>
      <c r="BE47" s="145" t="s">
        <v>180</v>
      </c>
      <c r="BF47" s="145" t="s">
        <v>182</v>
      </c>
      <c r="BG47" s="145">
        <v>109</v>
      </c>
      <c r="BH47" s="145">
        <v>146</v>
      </c>
      <c r="BI47" s="145">
        <v>183</v>
      </c>
      <c r="BJ47" s="145">
        <v>221</v>
      </c>
      <c r="BK47" s="145">
        <v>254</v>
      </c>
      <c r="BL47" s="145">
        <v>38</v>
      </c>
      <c r="BM47" s="88"/>
      <c r="BN47" s="88"/>
      <c r="BO47" s="88">
        <v>0.66057142857142848</v>
      </c>
      <c r="BP47" s="88">
        <v>0.62974999999999992</v>
      </c>
      <c r="BQ47" s="88">
        <v>0.62833333333333341</v>
      </c>
      <c r="BR47" s="88">
        <v>0.61139999999999994</v>
      </c>
      <c r="BS47" s="88">
        <v>0.58466666666666667</v>
      </c>
      <c r="BT47" s="88">
        <v>0.82816666666666661</v>
      </c>
      <c r="BU47" s="88"/>
      <c r="BV47" s="88">
        <v>0.80513333333333326</v>
      </c>
      <c r="BW47" s="88">
        <v>0.77233333333333343</v>
      </c>
      <c r="BX47" s="88">
        <v>0.7635882352941179</v>
      </c>
      <c r="BY47" s="88">
        <v>0.72434057971014421</v>
      </c>
      <c r="BZ47" s="88">
        <v>0.7118701298701301</v>
      </c>
      <c r="CA47" s="145" t="s">
        <v>279</v>
      </c>
      <c r="CB47" s="88">
        <v>15.862068965517242</v>
      </c>
      <c r="CC47" s="88">
        <v>58.78448275862069</v>
      </c>
      <c r="CD47" s="88">
        <v>8.9396551724137936</v>
      </c>
      <c r="CE47" s="88">
        <v>10.586206896551724</v>
      </c>
      <c r="CF47" s="88">
        <v>19.603448275862068</v>
      </c>
      <c r="CG47" s="88">
        <v>11.181034482758621</v>
      </c>
      <c r="CH47" s="88">
        <v>15.043103448275861</v>
      </c>
      <c r="CI47" s="88">
        <v>16.767241379310345</v>
      </c>
      <c r="CJ47" s="88">
        <v>16.043103448275861</v>
      </c>
      <c r="CK47" s="88">
        <v>23.431034482758619</v>
      </c>
      <c r="CL47" s="88">
        <v>11.258620689655173</v>
      </c>
      <c r="CM47" s="120">
        <v>1.0375000000000001</v>
      </c>
      <c r="CN47" s="145" t="s">
        <v>182</v>
      </c>
      <c r="CO47" s="145">
        <v>116</v>
      </c>
      <c r="CP47" s="145"/>
      <c r="CQ47" s="145"/>
      <c r="CR47" s="145"/>
      <c r="CS47" s="145"/>
      <c r="CT47" s="144"/>
      <c r="CU47" s="145" t="s">
        <v>279</v>
      </c>
      <c r="CV47" s="144" t="s">
        <v>279</v>
      </c>
      <c r="CW47" s="144">
        <v>293.90123456790121</v>
      </c>
      <c r="CX47" s="144">
        <v>736.79012345679007</v>
      </c>
      <c r="CY47" s="144">
        <v>195.72839506172841</v>
      </c>
      <c r="CZ47" s="144">
        <v>577.11111111111109</v>
      </c>
      <c r="DA47" s="144">
        <v>434.79012345679013</v>
      </c>
      <c r="DB47" s="157">
        <v>12.037037037037036</v>
      </c>
      <c r="DC47" s="144">
        <v>81</v>
      </c>
      <c r="DD47" s="144">
        <v>419.84210526315792</v>
      </c>
      <c r="DE47" s="144">
        <v>648.21052631578948</v>
      </c>
      <c r="DF47" s="144">
        <v>268.26315789473682</v>
      </c>
      <c r="DG47" s="144">
        <v>406.78947368421052</v>
      </c>
      <c r="DH47" s="144">
        <v>309.89473684210526</v>
      </c>
      <c r="DI47" s="144">
        <v>17.315789473684209</v>
      </c>
      <c r="DJ47" s="144">
        <v>19</v>
      </c>
      <c r="DK47" s="144"/>
      <c r="DL47" s="145" t="s">
        <v>279</v>
      </c>
      <c r="DM47" s="144">
        <v>6</v>
      </c>
      <c r="DN47" s="144"/>
      <c r="DO47" s="144">
        <v>15</v>
      </c>
      <c r="DP47" s="144">
        <v>12</v>
      </c>
      <c r="DQ47" s="144"/>
      <c r="DR47" s="144">
        <v>138</v>
      </c>
      <c r="DS47" s="144">
        <v>77</v>
      </c>
      <c r="DT47" s="144"/>
      <c r="DU47" s="144"/>
      <c r="DV47" s="144">
        <v>7</v>
      </c>
      <c r="DW47" s="144">
        <v>8</v>
      </c>
      <c r="DX47" s="144">
        <v>9</v>
      </c>
      <c r="DY47" s="144">
        <v>15</v>
      </c>
      <c r="DZ47" s="144">
        <v>9</v>
      </c>
    </row>
    <row r="48" spans="2:130" ht="15" hidden="1" customHeight="1">
      <c r="B48" s="23" t="s">
        <v>111</v>
      </c>
      <c r="C48" s="23"/>
      <c r="D48" s="23"/>
      <c r="E48" s="23"/>
      <c r="F48" s="23"/>
      <c r="G48" s="23"/>
      <c r="H48" s="23"/>
      <c r="I48" s="23"/>
      <c r="Q48" s="94" t="s">
        <v>28</v>
      </c>
      <c r="R48" s="97">
        <f t="shared" ref="R48:R54" si="105">J14</f>
        <v>728.89534883720933</v>
      </c>
      <c r="S48" s="97">
        <f t="shared" ref="S48:S54" si="106">VLOOKUP(K14,$T$3:$V$9,3,FALSE)</f>
        <v>0</v>
      </c>
      <c r="T48" s="97">
        <f t="shared" ref="T48:T54" si="107">IF(W48&gt;999,999,IF(W48&lt;1,1,W48))</f>
        <v>762.64534883720933</v>
      </c>
      <c r="U48" s="97">
        <f t="shared" ref="U48:U54" si="108">IF(OR(S48=-2,S48=2),R48-($CQ$17*2),IF(OR(S48=-3,S48=3),R48-($CQ$17*3),R48-AF48))</f>
        <v>695.14534883720933</v>
      </c>
      <c r="V48" s="97">
        <f t="shared" ref="V48:V54" si="109">IF(OR(S48=-2,S48=2),R48+($CQ$17*2),IF(OR(S48=-3,S48=3),R48+($CQ$17*3),R48+AF48))</f>
        <v>762.64534883720933</v>
      </c>
      <c r="W48" s="97">
        <f>IF(AND(S47-S48=0,S47=0),IF(SUM($S$47:$S$54)&lt;0,U48,V48),IF(AND(S47-S48&gt;0,S48=0),V48,IF(S47-S48&lt;0,IF(S48&gt;=0,U48,V48),IF(AND(S47-S48=0,S48&lt;0),V48,IF(AND(S47-S48&gt;0,S47=0),V48,U48)))))</f>
        <v>762.64534883720933</v>
      </c>
      <c r="X48" s="95" t="str">
        <f>IF(X47="Stop","Stop",$B$14)</f>
        <v>Tour</v>
      </c>
      <c r="Y48" s="97">
        <f t="shared" si="102"/>
        <v>728.89534883720933</v>
      </c>
      <c r="Z48" s="97">
        <f t="shared" ref="Z48:Z54" si="110">IF(S48&gt;0,R48,T48)</f>
        <v>762.64534883720933</v>
      </c>
      <c r="AA48" s="97">
        <f t="shared" ref="AA48:AA54" si="111">AVERAGE(Y48:Z48)</f>
        <v>745.77034883720933</v>
      </c>
      <c r="AB48" s="97">
        <f>IF(AND(S47=0,S48=0),(R48+R47)/2,ROUND(IF(SUM(S47:S54)&gt;0,AK48-$CR$17,AL48+$CR$17),0))</f>
        <v>695.14534883720933</v>
      </c>
      <c r="AC48" s="97">
        <f t="shared" ref="AC48:AC54" si="112">IF(X48="stop",IF(AS48=0,AC47,AS48),AB48)</f>
        <v>695.14534883720933</v>
      </c>
      <c r="AD48" s="97">
        <f>IF(R48&lt;R47,R48,R47)</f>
        <v>661.39534883720933</v>
      </c>
      <c r="AE48" s="97">
        <f>IF(R48&gt;R47,R48,R47)</f>
        <v>728.89534883720933</v>
      </c>
      <c r="AF48" s="100">
        <f>IF(R47-R48&gt;0,(R47-R48)/2,(R48-R47)/2)</f>
        <v>33.75</v>
      </c>
      <c r="AG48" s="98">
        <f t="shared" ref="AG48:AG54" si="113">IF(S48=0,IF(R48&lt;AG47,R48,AG47),AG47)</f>
        <v>661.39534883720933</v>
      </c>
      <c r="AH48" s="98">
        <f t="shared" ref="AH48:AH54" si="114">IF(S48=0,IF(R48&gt;AH47,R48,AH47),AH47)</f>
        <v>728.89534883720933</v>
      </c>
      <c r="AI48" s="98">
        <f t="shared" ref="AI48:AI54" si="115">IF(S48=0,AI47,IF(R48&lt;AI47,R48,AG47))</f>
        <v>999</v>
      </c>
      <c r="AJ48" s="98">
        <f t="shared" ref="AJ48:AJ54" si="116">IF(S48=0,AJ47,IF(R48&gt;AJ47,R48,AJ47))</f>
        <v>0</v>
      </c>
      <c r="AK48" s="98">
        <f t="shared" si="103"/>
        <v>863.94767441860472</v>
      </c>
      <c r="AL48" s="98">
        <f t="shared" ref="AL48:AL54" si="117">IF(R48=999,999,IF(AG48-AH48=999,(AJ48+AN48)/2,(AJ48+AG48)/2))</f>
        <v>330.69767441860466</v>
      </c>
      <c r="AM48" s="98">
        <f>S48-S47</f>
        <v>0</v>
      </c>
      <c r="AN48" s="98">
        <f t="shared" ref="AN48:AN54" si="118">IF(AM48=0,AN47,R48)</f>
        <v>0</v>
      </c>
      <c r="AO48" s="98">
        <f>IF(S48=S47,0,1)</f>
        <v>0</v>
      </c>
      <c r="AP48" s="98">
        <f>IF(X48="Stop",AP47,IF(AO48=0,(R48+$R$14)/2,AC48))</f>
        <v>542.32558139534888</v>
      </c>
      <c r="AQ48" s="98">
        <f>IF(AQ47=0,0,IF(S48=0,0,S48))</f>
        <v>0</v>
      </c>
      <c r="AR48" s="98">
        <f>IF(AQ48=AQ47,AR47,R48)</f>
        <v>661.39534883720933</v>
      </c>
      <c r="AS48" s="98">
        <f t="shared" si="104"/>
        <v>0</v>
      </c>
      <c r="AT48" s="98">
        <f>IF(AND((AR47=$AR47),AQ47=1),1,IF(AND((AR47=$AR47),AQ47=-1),-1,0))</f>
        <v>0</v>
      </c>
      <c r="AU48" s="145" t="s">
        <v>43</v>
      </c>
      <c r="AV48" s="124">
        <f t="shared" si="2"/>
        <v>260.26605504587155</v>
      </c>
      <c r="AW48" s="124">
        <f t="shared" si="3"/>
        <v>529.98165137614683</v>
      </c>
      <c r="AX48" s="124">
        <f t="shared" si="4"/>
        <v>687.20183486238534</v>
      </c>
      <c r="AY48" s="124">
        <f t="shared" si="5"/>
        <v>477.87155963302752</v>
      </c>
      <c r="AZ48" s="124">
        <f t="shared" si="6"/>
        <v>385.57798165137615</v>
      </c>
      <c r="BA48" s="124">
        <f t="shared" si="101"/>
        <v>-69.678899082568805</v>
      </c>
      <c r="BB48" s="124">
        <f t="shared" si="74"/>
        <v>69.678899082568805</v>
      </c>
      <c r="BC48" s="145">
        <v>57</v>
      </c>
      <c r="BD48" s="145">
        <v>5.4119999999999999</v>
      </c>
      <c r="BE48" s="145" t="s">
        <v>179</v>
      </c>
      <c r="BF48" s="145" t="s">
        <v>182</v>
      </c>
      <c r="BG48" s="145">
        <v>120</v>
      </c>
      <c r="BH48" s="145">
        <v>161</v>
      </c>
      <c r="BI48" s="145">
        <v>202</v>
      </c>
      <c r="BJ48" s="145">
        <v>243</v>
      </c>
      <c r="BK48" s="145">
        <v>279</v>
      </c>
      <c r="BL48" s="145">
        <v>41</v>
      </c>
      <c r="BM48" s="88">
        <v>0.64624999999999999</v>
      </c>
      <c r="BN48" s="88"/>
      <c r="BO48" s="88">
        <v>0.61599999999999999</v>
      </c>
      <c r="BP48" s="88">
        <v>0.60171428571428565</v>
      </c>
      <c r="BQ48" s="88">
        <v>0.55799999999999994</v>
      </c>
      <c r="BR48" s="88">
        <v>0.55105263157894735</v>
      </c>
      <c r="BS48" s="88">
        <v>0.52921428571428575</v>
      </c>
      <c r="BT48" s="88">
        <v>0.8901428571428569</v>
      </c>
      <c r="BU48" s="88">
        <v>0.87557142857142856</v>
      </c>
      <c r="BV48" s="88">
        <v>0.81664285714285711</v>
      </c>
      <c r="BW48" s="88">
        <v>0.81332432432432489</v>
      </c>
      <c r="BX48" s="88">
        <v>0.77532478632478696</v>
      </c>
      <c r="BY48" s="88">
        <v>0.75528368794326295</v>
      </c>
      <c r="BZ48" s="88">
        <v>0.72495294117647091</v>
      </c>
      <c r="CA48" s="145" t="s">
        <v>43</v>
      </c>
      <c r="CB48" s="88">
        <v>18.856249999999999</v>
      </c>
      <c r="CC48" s="88">
        <v>41.287500000000001</v>
      </c>
      <c r="CD48" s="88">
        <v>22.331250000000001</v>
      </c>
      <c r="CE48" s="88">
        <v>17.45</v>
      </c>
      <c r="CF48" s="88">
        <v>17.606249999999999</v>
      </c>
      <c r="CG48" s="88">
        <v>21.293749999999999</v>
      </c>
      <c r="CH48" s="88">
        <v>24.318750000000001</v>
      </c>
      <c r="CI48" s="88">
        <v>20.631250000000001</v>
      </c>
      <c r="CJ48" s="88">
        <v>23.756250000000001</v>
      </c>
      <c r="CK48" s="88">
        <v>24.3</v>
      </c>
      <c r="CL48" s="88">
        <v>11.9625</v>
      </c>
      <c r="CM48" s="108">
        <v>1.0345</v>
      </c>
      <c r="CN48" s="145" t="s">
        <v>182</v>
      </c>
      <c r="CO48" s="145">
        <v>160</v>
      </c>
      <c r="CP48" s="145"/>
      <c r="CQ48" s="145"/>
      <c r="CR48" s="145"/>
      <c r="CS48" s="145"/>
      <c r="CT48" s="144"/>
      <c r="CU48" s="145" t="s">
        <v>43</v>
      </c>
      <c r="CV48" s="144" t="s">
        <v>43</v>
      </c>
      <c r="CW48" s="144">
        <v>260.26605504587155</v>
      </c>
      <c r="CX48" s="144">
        <v>529.98165137614683</v>
      </c>
      <c r="CY48" s="144">
        <v>687.20183486238534</v>
      </c>
      <c r="CZ48" s="144">
        <v>477.87155963302752</v>
      </c>
      <c r="DA48" s="144">
        <v>385.57798165137615</v>
      </c>
      <c r="DB48" s="157">
        <v>-139.35779816513761</v>
      </c>
      <c r="DC48" s="144">
        <v>109</v>
      </c>
      <c r="DD48" s="144">
        <v>386.68421052631578</v>
      </c>
      <c r="DE48" s="144">
        <v>381.57894736842104</v>
      </c>
      <c r="DF48" s="144">
        <v>745.21052631578948</v>
      </c>
      <c r="DG48" s="144">
        <v>429.73684210526318</v>
      </c>
      <c r="DH48" s="144">
        <v>262.36842105263156</v>
      </c>
      <c r="DI48" s="144">
        <v>-75.78947368421052</v>
      </c>
      <c r="DJ48" s="144">
        <v>19</v>
      </c>
      <c r="DK48" s="144"/>
      <c r="DL48" s="145" t="s">
        <v>43</v>
      </c>
      <c r="DM48" s="144">
        <v>14</v>
      </c>
      <c r="DN48" s="144">
        <v>21</v>
      </c>
      <c r="DO48" s="144">
        <v>14</v>
      </c>
      <c r="DP48" s="144">
        <v>37</v>
      </c>
      <c r="DQ48" s="144"/>
      <c r="DR48" s="144">
        <v>141</v>
      </c>
      <c r="DS48" s="144">
        <v>85</v>
      </c>
      <c r="DT48" s="144">
        <v>8</v>
      </c>
      <c r="DU48" s="144"/>
      <c r="DV48" s="144">
        <v>1</v>
      </c>
      <c r="DW48" s="144">
        <v>7</v>
      </c>
      <c r="DX48" s="144">
        <v>3</v>
      </c>
      <c r="DY48" s="144">
        <v>19</v>
      </c>
      <c r="DZ48" s="144">
        <v>14</v>
      </c>
    </row>
    <row r="49" spans="2:130" ht="15" hidden="1" customHeight="1" thickBot="1">
      <c r="B49" s="23"/>
      <c r="C49" s="23"/>
      <c r="D49" s="23"/>
      <c r="E49" s="23"/>
      <c r="F49" s="23"/>
      <c r="G49" s="23"/>
      <c r="H49" s="23"/>
      <c r="I49" s="23"/>
      <c r="Q49" s="94" t="s">
        <v>29</v>
      </c>
      <c r="R49" s="97">
        <f t="shared" si="105"/>
        <v>762.64534883720933</v>
      </c>
      <c r="S49" s="97">
        <f t="shared" si="106"/>
        <v>0</v>
      </c>
      <c r="T49" s="97">
        <f t="shared" si="107"/>
        <v>779.52034883720933</v>
      </c>
      <c r="U49" s="97">
        <f t="shared" si="108"/>
        <v>745.77034883720933</v>
      </c>
      <c r="V49" s="97">
        <f t="shared" si="109"/>
        <v>779.52034883720933</v>
      </c>
      <c r="W49" s="97">
        <f t="shared" ref="W49:W54" si="119">IF(AND(S48-S49=0,S48=0),IF(SUM($S$47:$S$54)&lt;0,U49,V49),IF(AND(S48-S49&gt;0,S49=0),V49,IF(S48-S49&lt;0,IF(S49&gt;=0,U49,V49),IF(AND(S48-S49=0,S49&lt;0),V49,IF(AND(S48-S49&gt;0,S48=0),V49,U49)))))</f>
        <v>779.52034883720933</v>
      </c>
      <c r="X49" s="95" t="str">
        <f>IF(X48="Stop","Stop",$B$15)</f>
        <v>Tour</v>
      </c>
      <c r="Y49" s="97">
        <f t="shared" si="102"/>
        <v>762.64534883720933</v>
      </c>
      <c r="Z49" s="97">
        <f t="shared" si="110"/>
        <v>779.52034883720933</v>
      </c>
      <c r="AA49" s="97">
        <f t="shared" si="111"/>
        <v>771.08284883720933</v>
      </c>
      <c r="AB49" s="97">
        <f>IF(AND(S47=0,S48=0,S49=0),(R49+R47)/2,ROUND(IF(SUM(S47:S54)&gt;0,AK49-$CR$17,AL49+$CR$17),0))</f>
        <v>712.02034883720933</v>
      </c>
      <c r="AC49" s="97">
        <f t="shared" si="112"/>
        <v>712.02034883720933</v>
      </c>
      <c r="AD49" s="97">
        <f t="shared" ref="AD49:AD54" si="120">IF(R49&lt;R48,R49,R48)</f>
        <v>728.89534883720933</v>
      </c>
      <c r="AE49" s="97">
        <f t="shared" ref="AE49:AE54" si="121">IF(R49&gt;R48,R49,R48)</f>
        <v>762.64534883720933</v>
      </c>
      <c r="AF49" s="100">
        <f t="shared" ref="AF49:AF54" si="122">IF(R48-R49&gt;0,(R48-R49)/2,(R49-R48)/2)</f>
        <v>16.875</v>
      </c>
      <c r="AG49" s="98">
        <f t="shared" si="113"/>
        <v>661.39534883720933</v>
      </c>
      <c r="AH49" s="98">
        <f t="shared" si="114"/>
        <v>762.64534883720933</v>
      </c>
      <c r="AI49" s="98">
        <f t="shared" si="115"/>
        <v>999</v>
      </c>
      <c r="AJ49" s="98">
        <f t="shared" si="116"/>
        <v>0</v>
      </c>
      <c r="AK49" s="98">
        <f t="shared" si="103"/>
        <v>880.82267441860472</v>
      </c>
      <c r="AL49" s="98">
        <f t="shared" si="117"/>
        <v>330.69767441860466</v>
      </c>
      <c r="AM49" s="98">
        <f t="shared" ref="AM49:AM54" si="123">S49-S48</f>
        <v>0</v>
      </c>
      <c r="AN49" s="98">
        <f t="shared" si="118"/>
        <v>0</v>
      </c>
      <c r="AO49" s="98">
        <f t="shared" ref="AO49:AO54" si="124">IF(S49=S48,0,1)</f>
        <v>0</v>
      </c>
      <c r="AP49" s="98">
        <f t="shared" ref="AP49:AP54" si="125">IF(X49="Stop",AP48,IF(AO49=0,(R49+$R$14)/2,AC49))</f>
        <v>559.20058139534888</v>
      </c>
      <c r="AQ49" s="98">
        <f t="shared" ref="AQ49:AQ54" si="126">IF(AQ48=0,0,IF(S49=0,0,S49))</f>
        <v>0</v>
      </c>
      <c r="AR49" s="98">
        <f t="shared" ref="AR49:AR54" si="127">IF(AQ49=AQ48,AR48,R49)</f>
        <v>661.39534883720933</v>
      </c>
      <c r="AS49" s="98">
        <f t="shared" si="104"/>
        <v>0</v>
      </c>
      <c r="AT49" s="98">
        <f>IF(AND((AR48=$AR47),AQ48=1),1,IF(AND((AR48=$AR47),AQ48=-1),-1,0))</f>
        <v>0</v>
      </c>
      <c r="AU49" s="145" t="s">
        <v>66</v>
      </c>
      <c r="AV49" s="124">
        <f t="shared" si="2"/>
        <v>589.81600000000003</v>
      </c>
      <c r="AW49" s="124">
        <f t="shared" si="3"/>
        <v>752.76</v>
      </c>
      <c r="AX49" s="124">
        <f t="shared" si="4"/>
        <v>621.32799999999997</v>
      </c>
      <c r="AY49" s="124">
        <f t="shared" si="5"/>
        <v>612.05600000000004</v>
      </c>
      <c r="AZ49" s="124">
        <f t="shared" si="6"/>
        <v>601.49599999999998</v>
      </c>
      <c r="BA49" s="124">
        <f t="shared" si="101"/>
        <v>-94.656000000000006</v>
      </c>
      <c r="BB49" s="124">
        <f t="shared" si="74"/>
        <v>94.656000000000006</v>
      </c>
      <c r="BC49" s="145">
        <v>55</v>
      </c>
      <c r="BD49" s="145">
        <v>5.6440000000000001</v>
      </c>
      <c r="BE49" s="145" t="s">
        <v>179</v>
      </c>
      <c r="BF49" s="145" t="s">
        <v>179</v>
      </c>
      <c r="BG49" s="145">
        <v>120</v>
      </c>
      <c r="BH49" s="145">
        <v>161</v>
      </c>
      <c r="BI49" s="145">
        <v>202</v>
      </c>
      <c r="BJ49" s="145">
        <v>243</v>
      </c>
      <c r="BK49" s="145">
        <v>279</v>
      </c>
      <c r="BL49" s="145">
        <v>41</v>
      </c>
      <c r="BM49" s="88"/>
      <c r="BN49" s="88"/>
      <c r="BO49" s="88">
        <v>0.50124999999999997</v>
      </c>
      <c r="BP49" s="88">
        <v>0.48614999999999997</v>
      </c>
      <c r="BQ49" s="88">
        <v>0.46383333333333332</v>
      </c>
      <c r="BR49" s="88">
        <v>0.4487037037037036</v>
      </c>
      <c r="BS49" s="88">
        <v>0.43666666666666676</v>
      </c>
      <c r="BT49" s="88">
        <v>0.80083333333333362</v>
      </c>
      <c r="BU49" s="88">
        <v>0.78125000000000011</v>
      </c>
      <c r="BV49" s="88">
        <v>0.77072222222222231</v>
      </c>
      <c r="BW49" s="88">
        <v>0.69916666666666671</v>
      </c>
      <c r="BX49" s="88">
        <v>0.69533333333333347</v>
      </c>
      <c r="BY49" s="88">
        <v>0.67953333333333377</v>
      </c>
      <c r="BZ49" s="88">
        <v>0.65747619047619044</v>
      </c>
      <c r="CA49" s="145" t="s">
        <v>66</v>
      </c>
      <c r="CB49" s="88">
        <v>16.828125</v>
      </c>
      <c r="CC49" s="88">
        <v>31.130208333333332</v>
      </c>
      <c r="CD49" s="88">
        <v>21.947916666666668</v>
      </c>
      <c r="CE49" s="88">
        <v>17.567708333333332</v>
      </c>
      <c r="CF49" s="88">
        <v>22.270833333333332</v>
      </c>
      <c r="CG49" s="88">
        <v>12.203125</v>
      </c>
      <c r="CH49" s="88">
        <v>21.802083333333332</v>
      </c>
      <c r="CI49" s="88">
        <v>24.802083333333332</v>
      </c>
      <c r="CJ49" s="88">
        <v>28.791666666666668</v>
      </c>
      <c r="CK49" s="88">
        <v>17.208333333333332</v>
      </c>
      <c r="CL49" s="88">
        <v>12.6875</v>
      </c>
      <c r="CM49" s="108">
        <v>1.1850000000000001</v>
      </c>
      <c r="CN49" s="145" t="s">
        <v>179</v>
      </c>
      <c r="CO49" s="145">
        <v>192</v>
      </c>
      <c r="CP49" s="145"/>
      <c r="CQ49" s="145"/>
      <c r="CR49" s="145"/>
      <c r="CS49" s="145"/>
      <c r="CT49" s="144"/>
      <c r="CU49" s="145" t="s">
        <v>66</v>
      </c>
      <c r="CV49" s="144" t="s">
        <v>66</v>
      </c>
      <c r="CW49" s="144">
        <v>589.81600000000003</v>
      </c>
      <c r="CX49" s="144">
        <v>752.76</v>
      </c>
      <c r="CY49" s="144">
        <v>621.32799999999997</v>
      </c>
      <c r="CZ49" s="144">
        <v>612.05600000000004</v>
      </c>
      <c r="DA49" s="144">
        <v>601.49599999999998</v>
      </c>
      <c r="DB49" s="157">
        <v>-189.31200000000001</v>
      </c>
      <c r="DC49" s="144">
        <v>125</v>
      </c>
      <c r="DD49" s="144">
        <v>701.25</v>
      </c>
      <c r="DE49" s="144">
        <v>605</v>
      </c>
      <c r="DF49" s="144">
        <v>667.28125</v>
      </c>
      <c r="DG49" s="144">
        <v>581</v>
      </c>
      <c r="DH49" s="144">
        <v>480.59375</v>
      </c>
      <c r="DI49" s="144">
        <v>-116.46875</v>
      </c>
      <c r="DJ49" s="144">
        <v>32</v>
      </c>
      <c r="DK49" s="144"/>
      <c r="DL49" s="145" t="s">
        <v>66</v>
      </c>
      <c r="DM49" s="144">
        <v>24</v>
      </c>
      <c r="DN49" s="144">
        <v>8</v>
      </c>
      <c r="DO49" s="144">
        <v>18</v>
      </c>
      <c r="DP49" s="144">
        <v>48</v>
      </c>
      <c r="DQ49" s="144"/>
      <c r="DR49" s="144">
        <v>180</v>
      </c>
      <c r="DS49" s="144">
        <v>105</v>
      </c>
      <c r="DT49" s="144"/>
      <c r="DU49" s="144"/>
      <c r="DV49" s="144">
        <v>8</v>
      </c>
      <c r="DW49" s="144">
        <v>20</v>
      </c>
      <c r="DX49" s="144">
        <v>6</v>
      </c>
      <c r="DY49" s="144">
        <v>27</v>
      </c>
      <c r="DZ49" s="144">
        <v>9</v>
      </c>
    </row>
    <row r="50" spans="2:130" ht="15" hidden="1" customHeight="1" thickBot="1">
      <c r="B50" s="25" t="s">
        <v>115</v>
      </c>
      <c r="C50" s="30"/>
      <c r="D50" s="30"/>
      <c r="E50" s="30"/>
      <c r="F50" s="30"/>
      <c r="G50" s="31"/>
      <c r="H50" s="23"/>
      <c r="I50" s="23"/>
      <c r="K50" s="33"/>
      <c r="Q50" s="94" t="s">
        <v>30</v>
      </c>
      <c r="R50" s="97">
        <f t="shared" si="105"/>
        <v>779.52034883720933</v>
      </c>
      <c r="S50" s="97">
        <f t="shared" si="106"/>
        <v>0</v>
      </c>
      <c r="T50" s="97">
        <f t="shared" si="107"/>
        <v>787.95784883720933</v>
      </c>
      <c r="U50" s="97">
        <f t="shared" si="108"/>
        <v>771.08284883720933</v>
      </c>
      <c r="V50" s="97">
        <f t="shared" si="109"/>
        <v>787.95784883720933</v>
      </c>
      <c r="W50" s="97">
        <f t="shared" si="119"/>
        <v>787.95784883720933</v>
      </c>
      <c r="X50" s="95" t="str">
        <f>IF(X49="Stop","Stop",$B$16)</f>
        <v>Tour</v>
      </c>
      <c r="Y50" s="97">
        <f t="shared" si="102"/>
        <v>779.52034883720933</v>
      </c>
      <c r="Z50" s="97">
        <f t="shared" si="110"/>
        <v>787.95784883720933</v>
      </c>
      <c r="AA50" s="97">
        <f t="shared" si="111"/>
        <v>783.73909883720933</v>
      </c>
      <c r="AB50" s="97">
        <f>IF(AND(S47=0,S48=0,S49=0,S50=0),(R50+R47)/2,ROUND(IF(SUM(S47:S54)&gt;0,AK50-$CR$17,AL50+$CR$17),0))</f>
        <v>720.45784883720933</v>
      </c>
      <c r="AC50" s="97">
        <f t="shared" si="112"/>
        <v>720.45784883720933</v>
      </c>
      <c r="AD50" s="97">
        <f t="shared" si="120"/>
        <v>762.64534883720933</v>
      </c>
      <c r="AE50" s="97">
        <f t="shared" si="121"/>
        <v>779.52034883720933</v>
      </c>
      <c r="AF50" s="100">
        <f t="shared" si="122"/>
        <v>8.4375</v>
      </c>
      <c r="AG50" s="98">
        <f t="shared" si="113"/>
        <v>661.39534883720933</v>
      </c>
      <c r="AH50" s="98">
        <f t="shared" si="114"/>
        <v>779.52034883720933</v>
      </c>
      <c r="AI50" s="98">
        <f t="shared" si="115"/>
        <v>999</v>
      </c>
      <c r="AJ50" s="98">
        <f t="shared" si="116"/>
        <v>0</v>
      </c>
      <c r="AK50" s="98">
        <f t="shared" si="103"/>
        <v>889.26017441860472</v>
      </c>
      <c r="AL50" s="98">
        <f t="shared" si="117"/>
        <v>330.69767441860466</v>
      </c>
      <c r="AM50" s="98">
        <f t="shared" si="123"/>
        <v>0</v>
      </c>
      <c r="AN50" s="98">
        <f t="shared" si="118"/>
        <v>0</v>
      </c>
      <c r="AO50" s="98">
        <f t="shared" si="124"/>
        <v>0</v>
      </c>
      <c r="AP50" s="98">
        <f t="shared" si="125"/>
        <v>567.63808139534888</v>
      </c>
      <c r="AQ50" s="98">
        <f t="shared" si="126"/>
        <v>0</v>
      </c>
      <c r="AR50" s="98">
        <f t="shared" si="127"/>
        <v>661.39534883720933</v>
      </c>
      <c r="AS50" s="98">
        <f t="shared" si="104"/>
        <v>0</v>
      </c>
      <c r="AT50" s="98">
        <f>IF(AND((AR49=$AR47),AQ49=1),1,IF(AND((AR49=$AR47),AQ49=-1),-1,0))</f>
        <v>0</v>
      </c>
      <c r="AU50" s="145" t="s">
        <v>56</v>
      </c>
      <c r="AV50" s="124">
        <f t="shared" si="2"/>
        <v>863.6</v>
      </c>
      <c r="AW50" s="124">
        <f t="shared" si="3"/>
        <v>534.64705882352939</v>
      </c>
      <c r="AX50" s="124">
        <f t="shared" si="4"/>
        <v>467.87058823529412</v>
      </c>
      <c r="AY50" s="124">
        <f t="shared" si="5"/>
        <v>349.38823529411764</v>
      </c>
      <c r="AZ50" s="124">
        <f t="shared" si="6"/>
        <v>675.30588235294113</v>
      </c>
      <c r="BA50" s="124">
        <f t="shared" si="101"/>
        <v>0.52352941176470591</v>
      </c>
      <c r="BB50" s="124">
        <f t="shared" si="74"/>
        <v>-0.52352941176470591</v>
      </c>
      <c r="BC50" s="145">
        <v>80</v>
      </c>
      <c r="BD50" s="145">
        <v>3.1859999999999999</v>
      </c>
      <c r="BE50" s="145" t="s">
        <v>179</v>
      </c>
      <c r="BF50" s="145" t="s">
        <v>179</v>
      </c>
      <c r="BG50" s="145">
        <v>120</v>
      </c>
      <c r="BH50" s="145">
        <v>161</v>
      </c>
      <c r="BI50" s="145">
        <v>202</v>
      </c>
      <c r="BJ50" s="145">
        <v>243</v>
      </c>
      <c r="BK50" s="145">
        <v>279</v>
      </c>
      <c r="BL50" s="145">
        <v>41</v>
      </c>
      <c r="BM50" s="88"/>
      <c r="BN50" s="88"/>
      <c r="BO50" s="88"/>
      <c r="BP50" s="88"/>
      <c r="BQ50" s="88">
        <v>0.59550000000000003</v>
      </c>
      <c r="BR50" s="88">
        <v>0.58160000000000001</v>
      </c>
      <c r="BS50" s="88">
        <v>0.53733333333333333</v>
      </c>
      <c r="BT50" s="88">
        <v>0.76681818181818184</v>
      </c>
      <c r="BU50" s="88">
        <v>0.79300000000000004</v>
      </c>
      <c r="BV50" s="88">
        <v>0.77982352941176469</v>
      </c>
      <c r="BW50" s="88">
        <v>0.73771428571428543</v>
      </c>
      <c r="BX50" s="88">
        <v>0.71815116279069779</v>
      </c>
      <c r="BY50" s="88">
        <v>0.69234090909090973</v>
      </c>
      <c r="BZ50" s="88">
        <v>0.67317460317460309</v>
      </c>
      <c r="CA50" s="145" t="s">
        <v>56</v>
      </c>
      <c r="CB50" s="88">
        <v>16.318181818181817</v>
      </c>
      <c r="CC50" s="88">
        <v>20.424242424242426</v>
      </c>
      <c r="CD50" s="88">
        <v>16.371212121212121</v>
      </c>
      <c r="CE50" s="88">
        <v>18.053030303030305</v>
      </c>
      <c r="CF50" s="88">
        <v>15.840909090909092</v>
      </c>
      <c r="CG50" s="88">
        <v>13.113636363636363</v>
      </c>
      <c r="CH50" s="88">
        <v>15.696969696969697</v>
      </c>
      <c r="CI50" s="88">
        <v>22.515151515151516</v>
      </c>
      <c r="CJ50" s="88">
        <v>19.189393939393938</v>
      </c>
      <c r="CK50" s="88">
        <v>19.727272727272727</v>
      </c>
      <c r="CL50" s="88">
        <v>13.674242424242424</v>
      </c>
      <c r="CM50" s="108">
        <v>1.18</v>
      </c>
      <c r="CN50" s="145" t="s">
        <v>179</v>
      </c>
      <c r="CO50" s="145">
        <v>132</v>
      </c>
      <c r="CP50" s="145"/>
      <c r="CQ50" s="145"/>
      <c r="CR50" s="145"/>
      <c r="CS50" s="145"/>
      <c r="CT50" s="144"/>
      <c r="CU50" s="145" t="s">
        <v>56</v>
      </c>
      <c r="CV50" s="144" t="s">
        <v>56</v>
      </c>
      <c r="CW50" s="144">
        <v>863.6</v>
      </c>
      <c r="CX50" s="144">
        <v>534.64705882352939</v>
      </c>
      <c r="CY50" s="144">
        <v>467.87058823529412</v>
      </c>
      <c r="CZ50" s="144">
        <v>349.38823529411764</v>
      </c>
      <c r="DA50" s="144">
        <v>675.30588235294113</v>
      </c>
      <c r="DB50" s="157">
        <v>1.0470588235294118</v>
      </c>
      <c r="DC50" s="144">
        <v>85</v>
      </c>
      <c r="DD50" s="144">
        <v>943.72</v>
      </c>
      <c r="DE50" s="144">
        <v>402.24</v>
      </c>
      <c r="DF50" s="144">
        <v>534.76</v>
      </c>
      <c r="DG50" s="144">
        <v>228.24</v>
      </c>
      <c r="DH50" s="144">
        <v>541.52</v>
      </c>
      <c r="DI50" s="144">
        <v>31.36</v>
      </c>
      <c r="DJ50" s="144">
        <v>25</v>
      </c>
      <c r="DK50" s="144"/>
      <c r="DL50" s="145" t="s">
        <v>56</v>
      </c>
      <c r="DM50" s="144">
        <v>11</v>
      </c>
      <c r="DN50" s="144">
        <v>2</v>
      </c>
      <c r="DO50" s="144">
        <v>17</v>
      </c>
      <c r="DP50" s="144">
        <v>35</v>
      </c>
      <c r="DQ50" s="144"/>
      <c r="DR50" s="144">
        <v>132</v>
      </c>
      <c r="DS50" s="144">
        <v>63</v>
      </c>
      <c r="DT50" s="144"/>
      <c r="DU50" s="144"/>
      <c r="DV50" s="144"/>
      <c r="DW50" s="144"/>
      <c r="DX50" s="144">
        <v>6</v>
      </c>
      <c r="DY50" s="144">
        <v>5</v>
      </c>
      <c r="DZ50" s="144">
        <v>3</v>
      </c>
    </row>
    <row r="51" spans="2:130" ht="15" hidden="1" customHeight="1">
      <c r="B51" s="23" t="s">
        <v>116</v>
      </c>
      <c r="C51" s="23"/>
      <c r="D51" s="23"/>
      <c r="E51" s="23"/>
      <c r="F51" s="23"/>
      <c r="G51" s="23"/>
      <c r="H51" s="23"/>
      <c r="I51" s="23"/>
      <c r="Q51" s="94" t="s">
        <v>31</v>
      </c>
      <c r="R51" s="97">
        <f t="shared" si="105"/>
        <v>787.95784883720933</v>
      </c>
      <c r="S51" s="97">
        <f t="shared" si="106"/>
        <v>0</v>
      </c>
      <c r="T51" s="97">
        <f t="shared" si="107"/>
        <v>792.17659883720933</v>
      </c>
      <c r="U51" s="97">
        <f t="shared" si="108"/>
        <v>783.73909883720933</v>
      </c>
      <c r="V51" s="97">
        <f t="shared" si="109"/>
        <v>792.17659883720933</v>
      </c>
      <c r="W51" s="97">
        <f t="shared" si="119"/>
        <v>792.17659883720933</v>
      </c>
      <c r="X51" s="95" t="str">
        <f>IF(X50="Stop","Stop",$B$17)</f>
        <v>Tour</v>
      </c>
      <c r="Y51" s="97">
        <f t="shared" si="102"/>
        <v>787.95784883720933</v>
      </c>
      <c r="Z51" s="97">
        <f t="shared" si="110"/>
        <v>792.17659883720933</v>
      </c>
      <c r="AA51" s="97">
        <f t="shared" si="111"/>
        <v>790.06722383720933</v>
      </c>
      <c r="AB51" s="97">
        <f>IF(AND(S47=0,S48=0,S49=0,S50=0,S51=0),(R51+R47)/2,ROUND(IF(SUM(S47:S54)&gt;0,AK51-$CR$17,AL51+$CR$17),0))</f>
        <v>724.67659883720933</v>
      </c>
      <c r="AC51" s="97">
        <f t="shared" si="112"/>
        <v>724.67659883720933</v>
      </c>
      <c r="AD51" s="97">
        <f t="shared" si="120"/>
        <v>779.52034883720933</v>
      </c>
      <c r="AE51" s="97">
        <f t="shared" si="121"/>
        <v>787.95784883720933</v>
      </c>
      <c r="AF51" s="100">
        <f t="shared" si="122"/>
        <v>4.21875</v>
      </c>
      <c r="AG51" s="98">
        <f t="shared" si="113"/>
        <v>661.39534883720933</v>
      </c>
      <c r="AH51" s="98">
        <f t="shared" si="114"/>
        <v>787.95784883720933</v>
      </c>
      <c r="AI51" s="98">
        <f t="shared" si="115"/>
        <v>999</v>
      </c>
      <c r="AJ51" s="98">
        <f t="shared" si="116"/>
        <v>0</v>
      </c>
      <c r="AK51" s="98">
        <f t="shared" si="103"/>
        <v>893.47892441860472</v>
      </c>
      <c r="AL51" s="98">
        <f t="shared" si="117"/>
        <v>330.69767441860466</v>
      </c>
      <c r="AM51" s="98">
        <f t="shared" si="123"/>
        <v>0</v>
      </c>
      <c r="AN51" s="98">
        <f t="shared" si="118"/>
        <v>0</v>
      </c>
      <c r="AO51" s="98">
        <f t="shared" si="124"/>
        <v>0</v>
      </c>
      <c r="AP51" s="98">
        <f t="shared" si="125"/>
        <v>571.85683139534888</v>
      </c>
      <c r="AQ51" s="98">
        <f t="shared" si="126"/>
        <v>0</v>
      </c>
      <c r="AR51" s="98">
        <f t="shared" si="127"/>
        <v>661.39534883720933</v>
      </c>
      <c r="AS51" s="98">
        <f t="shared" si="104"/>
        <v>0</v>
      </c>
      <c r="AT51" s="98">
        <f>IF(AND((AR50=$AR47),AQ50=1),1,IF(AND((AR50=$AR47),AQ50=-1),-1,0))</f>
        <v>0</v>
      </c>
      <c r="AU51" s="145" t="s">
        <v>49</v>
      </c>
      <c r="AV51" s="124">
        <f t="shared" si="2"/>
        <v>504.33613445378154</v>
      </c>
      <c r="AW51" s="124">
        <f t="shared" si="3"/>
        <v>665.56302521008399</v>
      </c>
      <c r="AX51" s="124">
        <f t="shared" si="4"/>
        <v>624.0840336134454</v>
      </c>
      <c r="AY51" s="124">
        <f t="shared" si="5"/>
        <v>220.87394957983193</v>
      </c>
      <c r="AZ51" s="124">
        <f t="shared" si="6"/>
        <v>264.26890756302521</v>
      </c>
      <c r="BA51" s="124">
        <f t="shared" si="101"/>
        <v>6.9033613445378155</v>
      </c>
      <c r="BB51" s="124">
        <f t="shared" si="74"/>
        <v>-6.9033613445378155</v>
      </c>
      <c r="BC51" s="145">
        <v>56</v>
      </c>
      <c r="BD51" s="145">
        <v>5.45</v>
      </c>
      <c r="BE51" s="145" t="s">
        <v>179</v>
      </c>
      <c r="BF51" s="145" t="s">
        <v>182</v>
      </c>
      <c r="BG51" s="145">
        <v>120</v>
      </c>
      <c r="BH51" s="145">
        <v>161</v>
      </c>
      <c r="BI51" s="145">
        <v>202</v>
      </c>
      <c r="BJ51" s="145">
        <v>243</v>
      </c>
      <c r="BK51" s="145">
        <v>279</v>
      </c>
      <c r="BL51" s="145">
        <v>41</v>
      </c>
      <c r="BM51" s="88">
        <v>0.61799999999999999</v>
      </c>
      <c r="BN51" s="88"/>
      <c r="BO51" s="88"/>
      <c r="BP51" s="88">
        <v>0.55154545454545445</v>
      </c>
      <c r="BQ51" s="88">
        <v>0.54075000000000006</v>
      </c>
      <c r="BR51" s="88">
        <v>0.51314285714285712</v>
      </c>
      <c r="BS51" s="88">
        <v>0.50714285714285712</v>
      </c>
      <c r="BT51" s="88">
        <v>0.85255555555555551</v>
      </c>
      <c r="BU51" s="88">
        <v>0.8590000000000001</v>
      </c>
      <c r="BV51" s="88">
        <v>0.82870588235294129</v>
      </c>
      <c r="BW51" s="88">
        <v>0.78786440677966108</v>
      </c>
      <c r="BX51" s="88">
        <v>0.76838461538461533</v>
      </c>
      <c r="BY51" s="88">
        <v>0.74383006535947671</v>
      </c>
      <c r="BZ51" s="88">
        <v>0.7247968749999999</v>
      </c>
      <c r="CA51" s="145" t="s">
        <v>49</v>
      </c>
      <c r="CB51" s="88">
        <v>13.50609756097561</v>
      </c>
      <c r="CC51" s="88">
        <v>38.292682926829265</v>
      </c>
      <c r="CD51" s="88">
        <v>22.402439024390244</v>
      </c>
      <c r="CE51" s="88">
        <v>25.652439024390244</v>
      </c>
      <c r="CF51" s="88">
        <v>22.792682926829269</v>
      </c>
      <c r="CG51" s="88">
        <v>18.341463414634145</v>
      </c>
      <c r="CH51" s="88">
        <v>17.5</v>
      </c>
      <c r="CI51" s="88">
        <v>25.164634146341463</v>
      </c>
      <c r="CJ51" s="88">
        <v>28.810975609756099</v>
      </c>
      <c r="CK51" s="88">
        <v>31.743902439024389</v>
      </c>
      <c r="CL51" s="88">
        <v>12.378048780487806</v>
      </c>
      <c r="CM51" s="108">
        <v>1.0149999999999999</v>
      </c>
      <c r="CN51" s="145" t="s">
        <v>182</v>
      </c>
      <c r="CO51" s="145">
        <v>164</v>
      </c>
      <c r="CP51" s="145"/>
      <c r="CQ51" s="145"/>
      <c r="CR51" s="145"/>
      <c r="CS51" s="145"/>
      <c r="CT51" s="144"/>
      <c r="CU51" s="145" t="s">
        <v>49</v>
      </c>
      <c r="CV51" s="144" t="s">
        <v>49</v>
      </c>
      <c r="CW51" s="144">
        <v>504.33613445378154</v>
      </c>
      <c r="CX51" s="144">
        <v>665.56302521008399</v>
      </c>
      <c r="CY51" s="144">
        <v>624.0840336134454</v>
      </c>
      <c r="CZ51" s="144">
        <v>220.87394957983193</v>
      </c>
      <c r="DA51" s="144">
        <v>264.26890756302521</v>
      </c>
      <c r="DB51" s="157">
        <v>13.806722689075631</v>
      </c>
      <c r="DC51" s="144">
        <v>119</v>
      </c>
      <c r="DD51" s="144">
        <v>600.71428571428567</v>
      </c>
      <c r="DE51" s="144">
        <v>548.35714285714289</v>
      </c>
      <c r="DF51" s="144">
        <v>632.57142857142856</v>
      </c>
      <c r="DG51" s="144">
        <v>164</v>
      </c>
      <c r="DH51" s="144">
        <v>149.28571428571428</v>
      </c>
      <c r="DI51" s="144">
        <v>65.928571428571431</v>
      </c>
      <c r="DJ51" s="144">
        <v>14</v>
      </c>
      <c r="DK51" s="144"/>
      <c r="DL51" s="145" t="s">
        <v>49</v>
      </c>
      <c r="DM51" s="144">
        <v>9</v>
      </c>
      <c r="DN51" s="144">
        <v>16</v>
      </c>
      <c r="DO51" s="144">
        <v>17</v>
      </c>
      <c r="DP51" s="144">
        <v>59</v>
      </c>
      <c r="DQ51" s="144"/>
      <c r="DR51" s="144">
        <v>153</v>
      </c>
      <c r="DS51" s="144">
        <v>64</v>
      </c>
      <c r="DT51" s="144">
        <v>2</v>
      </c>
      <c r="DU51" s="144"/>
      <c r="DV51" s="144"/>
      <c r="DW51" s="144">
        <v>11</v>
      </c>
      <c r="DX51" s="144">
        <v>4</v>
      </c>
      <c r="DY51" s="144">
        <v>14</v>
      </c>
      <c r="DZ51" s="144">
        <v>7</v>
      </c>
    </row>
    <row r="52" spans="2:130" ht="15" hidden="1" customHeight="1">
      <c r="B52" s="23" t="s">
        <v>117</v>
      </c>
      <c r="C52" s="23"/>
      <c r="D52" s="23"/>
      <c r="E52" s="23"/>
      <c r="F52" s="23"/>
      <c r="G52" s="23"/>
      <c r="H52" s="23"/>
      <c r="I52" s="23"/>
      <c r="Q52" s="94" t="s">
        <v>32</v>
      </c>
      <c r="R52" s="97">
        <f t="shared" si="105"/>
        <v>792.17659883720933</v>
      </c>
      <c r="S52" s="97">
        <f t="shared" si="106"/>
        <v>0</v>
      </c>
      <c r="T52" s="97">
        <f t="shared" si="107"/>
        <v>794.28597383720933</v>
      </c>
      <c r="U52" s="97">
        <f t="shared" si="108"/>
        <v>790.06722383720933</v>
      </c>
      <c r="V52" s="97">
        <f t="shared" si="109"/>
        <v>794.28597383720933</v>
      </c>
      <c r="W52" s="97">
        <f t="shared" si="119"/>
        <v>794.28597383720933</v>
      </c>
      <c r="X52" s="95" t="str">
        <f>IF(X51="Stop","Stop",$B$18)</f>
        <v>Tour</v>
      </c>
      <c r="Y52" s="97">
        <f t="shared" si="102"/>
        <v>792.17659883720933</v>
      </c>
      <c r="Z52" s="97">
        <f t="shared" si="110"/>
        <v>794.28597383720933</v>
      </c>
      <c r="AA52" s="97">
        <f t="shared" si="111"/>
        <v>793.23128633720933</v>
      </c>
      <c r="AB52" s="97">
        <f>IF(AND(S47=0,S48=0,S49=0,S50=0,S51=0,S52=0),(R52+R47)/2,ROUND(IF(SUM(S47:S54)&gt;0,AK52-$CR$17,AL52+$CR$17),0))</f>
        <v>726.78597383720933</v>
      </c>
      <c r="AC52" s="97">
        <f t="shared" si="112"/>
        <v>726.78597383720933</v>
      </c>
      <c r="AD52" s="97">
        <f t="shared" si="120"/>
        <v>787.95784883720933</v>
      </c>
      <c r="AE52" s="97">
        <f t="shared" si="121"/>
        <v>792.17659883720933</v>
      </c>
      <c r="AF52" s="100">
        <f t="shared" si="122"/>
        <v>2.109375</v>
      </c>
      <c r="AG52" s="98">
        <f t="shared" si="113"/>
        <v>661.39534883720933</v>
      </c>
      <c r="AH52" s="98">
        <f t="shared" si="114"/>
        <v>792.17659883720933</v>
      </c>
      <c r="AI52" s="98">
        <f t="shared" si="115"/>
        <v>999</v>
      </c>
      <c r="AJ52" s="98">
        <f t="shared" si="116"/>
        <v>0</v>
      </c>
      <c r="AK52" s="98">
        <f t="shared" si="103"/>
        <v>895.58829941860472</v>
      </c>
      <c r="AL52" s="98">
        <f t="shared" si="117"/>
        <v>330.69767441860466</v>
      </c>
      <c r="AM52" s="98">
        <f t="shared" si="123"/>
        <v>0</v>
      </c>
      <c r="AN52" s="98">
        <f t="shared" si="118"/>
        <v>0</v>
      </c>
      <c r="AO52" s="98">
        <f t="shared" si="124"/>
        <v>0</v>
      </c>
      <c r="AP52" s="98">
        <f t="shared" si="125"/>
        <v>573.96620639534888</v>
      </c>
      <c r="AQ52" s="98">
        <f t="shared" si="126"/>
        <v>0</v>
      </c>
      <c r="AR52" s="98">
        <f t="shared" si="127"/>
        <v>661.39534883720933</v>
      </c>
      <c r="AS52" s="98">
        <f t="shared" si="104"/>
        <v>0</v>
      </c>
      <c r="AT52" s="98">
        <f>IF(AND((AR51=$AR47),AQ51=1),1,IF(AND((AR51=$AR47),AQ51=-1),-1,0))</f>
        <v>0</v>
      </c>
      <c r="AU52" s="145" t="s">
        <v>85</v>
      </c>
      <c r="AV52" s="124">
        <f t="shared" si="2"/>
        <v>401.39175257731961</v>
      </c>
      <c r="AW52" s="124">
        <f t="shared" si="3"/>
        <v>840.90721649484533</v>
      </c>
      <c r="AX52" s="124">
        <f t="shared" si="4"/>
        <v>600.03092783505156</v>
      </c>
      <c r="AY52" s="124">
        <f t="shared" si="5"/>
        <v>680.26804123711338</v>
      </c>
      <c r="AZ52" s="124">
        <f t="shared" si="6"/>
        <v>517.1649484536083</v>
      </c>
      <c r="BA52" s="124">
        <f t="shared" si="101"/>
        <v>-52.190721649484537</v>
      </c>
      <c r="BB52" s="124">
        <f t="shared" si="74"/>
        <v>52.190721649484537</v>
      </c>
      <c r="BC52" s="145">
        <v>60</v>
      </c>
      <c r="BD52" s="145">
        <v>5.1379999999999999</v>
      </c>
      <c r="BE52" s="145" t="s">
        <v>181</v>
      </c>
      <c r="BF52" s="145" t="s">
        <v>180</v>
      </c>
      <c r="BG52" s="145">
        <v>134</v>
      </c>
      <c r="BH52" s="145">
        <v>180</v>
      </c>
      <c r="BI52" s="145">
        <v>226</v>
      </c>
      <c r="BJ52" s="145">
        <v>272</v>
      </c>
      <c r="BK52" s="145">
        <v>313</v>
      </c>
      <c r="BL52" s="145">
        <v>46</v>
      </c>
      <c r="BM52" s="88"/>
      <c r="BN52" s="88">
        <v>0.60299999999999998</v>
      </c>
      <c r="BO52" s="88">
        <v>0.57199999999999995</v>
      </c>
      <c r="BP52" s="88">
        <v>0.58150000000000002</v>
      </c>
      <c r="BQ52" s="88">
        <v>0.54966666666666664</v>
      </c>
      <c r="BR52" s="88">
        <v>0.5301111111111112</v>
      </c>
      <c r="BS52" s="88"/>
      <c r="BT52" s="88">
        <v>0.80600000000000005</v>
      </c>
      <c r="BU52" s="88">
        <v>0.80957894736842118</v>
      </c>
      <c r="BV52" s="88">
        <v>0.79017391304347828</v>
      </c>
      <c r="BW52" s="88">
        <v>0.76002380952380955</v>
      </c>
      <c r="BX52" s="88">
        <v>0.73130588235294125</v>
      </c>
      <c r="BY52" s="88">
        <v>0.70017499999999955</v>
      </c>
      <c r="BZ52" s="88">
        <v>0.68140384615384642</v>
      </c>
      <c r="CA52" s="145" t="s">
        <v>85</v>
      </c>
      <c r="CB52" s="88">
        <v>17.01418439716312</v>
      </c>
      <c r="CC52" s="88">
        <v>35.560283687943262</v>
      </c>
      <c r="CD52" s="88">
        <v>14.829787234042554</v>
      </c>
      <c r="CE52" s="88">
        <v>17.929078014184398</v>
      </c>
      <c r="CF52" s="88">
        <v>19.390070921985817</v>
      </c>
      <c r="CG52" s="88">
        <v>11.695035460992909</v>
      </c>
      <c r="CH52" s="88">
        <v>11.652482269503546</v>
      </c>
      <c r="CI52" s="88">
        <v>25.269503546099291</v>
      </c>
      <c r="CJ52" s="88">
        <v>18.26241134751773</v>
      </c>
      <c r="CK52" s="88">
        <v>15.070921985815604</v>
      </c>
      <c r="CL52" s="88">
        <v>8.8581560283687946</v>
      </c>
      <c r="CM52" s="108">
        <v>1.1200000000000001</v>
      </c>
      <c r="CN52" s="145" t="s">
        <v>180</v>
      </c>
      <c r="CO52" s="145">
        <v>141</v>
      </c>
      <c r="CP52" s="145"/>
      <c r="CQ52" s="145"/>
      <c r="CR52" s="145"/>
      <c r="CS52" s="145"/>
      <c r="CT52" s="144"/>
      <c r="CU52" s="145" t="s">
        <v>85</v>
      </c>
      <c r="CV52" s="144" t="s">
        <v>85</v>
      </c>
      <c r="CW52" s="144">
        <v>401.39175257731961</v>
      </c>
      <c r="CX52" s="144">
        <v>840.90721649484533</v>
      </c>
      <c r="CY52" s="144">
        <v>600.03092783505156</v>
      </c>
      <c r="CZ52" s="144">
        <v>680.26804123711338</v>
      </c>
      <c r="DA52" s="144">
        <v>517.1649484536083</v>
      </c>
      <c r="DB52" s="157">
        <v>-104.38144329896907</v>
      </c>
      <c r="DC52" s="144">
        <v>97</v>
      </c>
      <c r="DD52" s="144">
        <v>475.64285714285717</v>
      </c>
      <c r="DE52" s="144">
        <v>731.92857142857144</v>
      </c>
      <c r="DF52" s="144">
        <v>572.71428571428567</v>
      </c>
      <c r="DG52" s="144">
        <v>712.5</v>
      </c>
      <c r="DH52" s="144">
        <v>431.64285714285717</v>
      </c>
      <c r="DI52" s="144">
        <v>-38.571428571428569</v>
      </c>
      <c r="DJ52" s="144">
        <v>14</v>
      </c>
      <c r="DK52" s="144"/>
      <c r="DL52" s="145" t="s">
        <v>85</v>
      </c>
      <c r="DM52" s="144">
        <v>14</v>
      </c>
      <c r="DN52" s="144">
        <v>19</v>
      </c>
      <c r="DO52" s="144">
        <v>23</v>
      </c>
      <c r="DP52" s="144">
        <v>42</v>
      </c>
      <c r="DQ52" s="144"/>
      <c r="DR52" s="144">
        <v>120</v>
      </c>
      <c r="DS52" s="144">
        <v>52</v>
      </c>
      <c r="DT52" s="144"/>
      <c r="DU52" s="144">
        <v>1</v>
      </c>
      <c r="DV52" s="144">
        <v>2</v>
      </c>
      <c r="DW52" s="144">
        <v>2</v>
      </c>
      <c r="DX52" s="144">
        <v>6</v>
      </c>
      <c r="DY52" s="144">
        <v>9</v>
      </c>
      <c r="DZ52" s="144"/>
    </row>
    <row r="53" spans="2:130" ht="15" hidden="1" customHeight="1">
      <c r="B53" s="34" t="s">
        <v>130</v>
      </c>
      <c r="C53" s="23"/>
      <c r="D53" s="23"/>
      <c r="E53" s="23"/>
      <c r="F53" s="23"/>
      <c r="G53" s="23"/>
      <c r="H53" s="23"/>
      <c r="I53" s="23"/>
      <c r="Q53" s="94" t="s">
        <v>33</v>
      </c>
      <c r="R53" s="97">
        <f t="shared" si="105"/>
        <v>794.28597383720933</v>
      </c>
      <c r="S53" s="97">
        <f t="shared" si="106"/>
        <v>0</v>
      </c>
      <c r="T53" s="97">
        <f t="shared" si="107"/>
        <v>795.34066133720933</v>
      </c>
      <c r="U53" s="97">
        <f t="shared" si="108"/>
        <v>793.23128633720933</v>
      </c>
      <c r="V53" s="97">
        <f t="shared" si="109"/>
        <v>795.34066133720933</v>
      </c>
      <c r="W53" s="97">
        <f t="shared" si="119"/>
        <v>795.34066133720933</v>
      </c>
      <c r="X53" s="95" t="str">
        <f>IF(X52="Stop","Stop",$B$19)</f>
        <v>Tour</v>
      </c>
      <c r="Y53" s="97">
        <f t="shared" si="102"/>
        <v>794.28597383720933</v>
      </c>
      <c r="Z53" s="97">
        <f t="shared" si="110"/>
        <v>795.34066133720933</v>
      </c>
      <c r="AA53" s="97">
        <f t="shared" si="111"/>
        <v>794.81331758720933</v>
      </c>
      <c r="AB53" s="97">
        <f>IF(AND(S47=0,S48=0,S49=0,S50=0,S51=0,S52=0,S53=0),(R53+R47)/2,ROUND(IF(SUM(S47:S54)&gt;0,AK53-$CR$17,AL53+$CR$17),0))</f>
        <v>727.84066133720933</v>
      </c>
      <c r="AC53" s="97">
        <f t="shared" si="112"/>
        <v>727.84066133720933</v>
      </c>
      <c r="AD53" s="97">
        <f t="shared" si="120"/>
        <v>792.17659883720933</v>
      </c>
      <c r="AE53" s="97">
        <f t="shared" si="121"/>
        <v>794.28597383720933</v>
      </c>
      <c r="AF53" s="100">
        <f t="shared" si="122"/>
        <v>1.0546875</v>
      </c>
      <c r="AG53" s="98">
        <f t="shared" si="113"/>
        <v>661.39534883720933</v>
      </c>
      <c r="AH53" s="98">
        <f t="shared" si="114"/>
        <v>794.28597383720933</v>
      </c>
      <c r="AI53" s="98">
        <f t="shared" si="115"/>
        <v>999</v>
      </c>
      <c r="AJ53" s="98">
        <f t="shared" si="116"/>
        <v>0</v>
      </c>
      <c r="AK53" s="98">
        <f t="shared" si="103"/>
        <v>896.64298691860472</v>
      </c>
      <c r="AL53" s="98">
        <f t="shared" si="117"/>
        <v>330.69767441860466</v>
      </c>
      <c r="AM53" s="98">
        <f t="shared" si="123"/>
        <v>0</v>
      </c>
      <c r="AN53" s="98">
        <f t="shared" si="118"/>
        <v>0</v>
      </c>
      <c r="AO53" s="98">
        <f t="shared" si="124"/>
        <v>0</v>
      </c>
      <c r="AP53" s="98">
        <f t="shared" si="125"/>
        <v>575.02089389534888</v>
      </c>
      <c r="AQ53" s="98">
        <f t="shared" si="126"/>
        <v>0</v>
      </c>
      <c r="AR53" s="98">
        <f t="shared" si="127"/>
        <v>661.39534883720933</v>
      </c>
      <c r="AS53" s="98">
        <f t="shared" si="104"/>
        <v>0</v>
      </c>
      <c r="AT53" s="98">
        <f>IF(AND((AR52=$AR47),AQ52=1),1,IF(AND((AR52=$AR47),AQ52=-1),-1,0))</f>
        <v>0</v>
      </c>
      <c r="AU53" s="145" t="s">
        <v>75</v>
      </c>
      <c r="AV53" s="124">
        <f t="shared" si="2"/>
        <v>826.203125</v>
      </c>
      <c r="AW53" s="124">
        <f t="shared" si="3"/>
        <v>550.0078125</v>
      </c>
      <c r="AX53" s="124">
        <f t="shared" si="4"/>
        <v>568.84375</v>
      </c>
      <c r="AY53" s="124">
        <f t="shared" si="5"/>
        <v>451.8984375</v>
      </c>
      <c r="AZ53" s="124">
        <f t="shared" si="6"/>
        <v>912.8515625</v>
      </c>
      <c r="BA53" s="124">
        <f t="shared" si="101"/>
        <v>31.71484375</v>
      </c>
      <c r="BB53" s="124">
        <f t="shared" si="74"/>
        <v>-31.71484375</v>
      </c>
      <c r="BC53" s="145">
        <v>61</v>
      </c>
      <c r="BD53" s="145">
        <v>5.0670000000000002</v>
      </c>
      <c r="BE53" s="145" t="s">
        <v>180</v>
      </c>
      <c r="BF53" s="145" t="s">
        <v>179</v>
      </c>
      <c r="BG53" s="145">
        <v>109</v>
      </c>
      <c r="BH53" s="145">
        <v>146</v>
      </c>
      <c r="BI53" s="145">
        <v>183</v>
      </c>
      <c r="BJ53" s="145">
        <v>221</v>
      </c>
      <c r="BK53" s="145">
        <v>254</v>
      </c>
      <c r="BL53" s="145">
        <v>38</v>
      </c>
      <c r="BM53" s="88">
        <v>0.5053333333333333</v>
      </c>
      <c r="BN53" s="88">
        <v>0.45116666666666672</v>
      </c>
      <c r="BO53" s="88">
        <v>0.5</v>
      </c>
      <c r="BP53" s="88">
        <v>0.42019999999999991</v>
      </c>
      <c r="BQ53" s="88">
        <v>0.4157777777777778</v>
      </c>
      <c r="BR53" s="88">
        <v>0.41702857142857147</v>
      </c>
      <c r="BS53" s="88">
        <v>0.39900000000000002</v>
      </c>
      <c r="BT53" s="88">
        <v>0.81590000000000007</v>
      </c>
      <c r="BU53" s="88">
        <v>0.76990476190476187</v>
      </c>
      <c r="BV53" s="88">
        <v>0.74539473684210533</v>
      </c>
      <c r="BW53" s="88">
        <v>0.72944615384615386</v>
      </c>
      <c r="BX53" s="88">
        <v>0.69470434782608692</v>
      </c>
      <c r="BY53" s="88">
        <v>0.67733093525179877</v>
      </c>
      <c r="BZ53" s="88">
        <v>0.65577419354838662</v>
      </c>
      <c r="CA53" s="145" t="s">
        <v>75</v>
      </c>
      <c r="CB53" s="88">
        <v>19.08839779005525</v>
      </c>
      <c r="CC53" s="88">
        <v>14.502762430939226</v>
      </c>
      <c r="CD53" s="88">
        <v>22.740331491712706</v>
      </c>
      <c r="CE53" s="88">
        <v>19.939226519337016</v>
      </c>
      <c r="CF53" s="88">
        <v>22.425414364640883</v>
      </c>
      <c r="CG53" s="88">
        <v>15.6353591160221</v>
      </c>
      <c r="CH53" s="88">
        <v>19.055248618784532</v>
      </c>
      <c r="CI53" s="88">
        <v>18.745856353591162</v>
      </c>
      <c r="CJ53" s="88">
        <v>28.928176795580111</v>
      </c>
      <c r="CK53" s="88">
        <v>17.546961325966851</v>
      </c>
      <c r="CL53" s="88">
        <v>17.077348066298342</v>
      </c>
      <c r="CM53" s="108">
        <v>1.17</v>
      </c>
      <c r="CN53" s="145" t="s">
        <v>179</v>
      </c>
      <c r="CO53" s="145">
        <v>181</v>
      </c>
      <c r="CP53" s="145"/>
      <c r="CQ53" s="145"/>
      <c r="CR53" s="145"/>
      <c r="CS53" s="145"/>
      <c r="CT53" s="144"/>
      <c r="CU53" s="145" t="s">
        <v>75</v>
      </c>
      <c r="CV53" s="144" t="s">
        <v>75</v>
      </c>
      <c r="CW53" s="144">
        <v>826.203125</v>
      </c>
      <c r="CX53" s="144">
        <v>550.0078125</v>
      </c>
      <c r="CY53" s="144">
        <v>568.84375</v>
      </c>
      <c r="CZ53" s="144">
        <v>451.8984375</v>
      </c>
      <c r="DA53" s="144">
        <v>912.8515625</v>
      </c>
      <c r="DB53" s="157">
        <v>63.4296875</v>
      </c>
      <c r="DC53" s="144">
        <v>128</v>
      </c>
      <c r="DD53" s="144">
        <v>911.47368421052636</v>
      </c>
      <c r="DE53" s="144">
        <v>427.73684210526318</v>
      </c>
      <c r="DF53" s="144">
        <v>629.36842105263156</v>
      </c>
      <c r="DG53" s="144">
        <v>365.15789473684208</v>
      </c>
      <c r="DH53" s="144">
        <v>802.9473684210526</v>
      </c>
      <c r="DI53" s="144">
        <v>79</v>
      </c>
      <c r="DJ53" s="144">
        <v>19</v>
      </c>
      <c r="DK53" s="144"/>
      <c r="DL53" s="145" t="s">
        <v>75</v>
      </c>
      <c r="DM53" s="144">
        <v>10</v>
      </c>
      <c r="DN53" s="144">
        <v>21</v>
      </c>
      <c r="DO53" s="144">
        <v>38</v>
      </c>
      <c r="DP53" s="144">
        <v>65</v>
      </c>
      <c r="DQ53" s="144"/>
      <c r="DR53" s="144">
        <v>139</v>
      </c>
      <c r="DS53" s="144">
        <v>93</v>
      </c>
      <c r="DT53" s="144">
        <v>3</v>
      </c>
      <c r="DU53" s="144">
        <v>6</v>
      </c>
      <c r="DV53" s="144">
        <v>2</v>
      </c>
      <c r="DW53" s="144">
        <v>10</v>
      </c>
      <c r="DX53" s="144">
        <v>18</v>
      </c>
      <c r="DY53" s="144">
        <v>35</v>
      </c>
      <c r="DZ53" s="144">
        <v>13</v>
      </c>
    </row>
    <row r="54" spans="2:130" ht="15" hidden="1" customHeight="1">
      <c r="B54" s="23" t="s">
        <v>118</v>
      </c>
      <c r="C54" s="23"/>
      <c r="D54" s="23"/>
      <c r="E54" s="23"/>
      <c r="F54" s="23"/>
      <c r="G54" s="23"/>
      <c r="H54" s="23"/>
      <c r="I54" s="23"/>
      <c r="Q54" s="101" t="s">
        <v>34</v>
      </c>
      <c r="R54" s="102">
        <f t="shared" si="105"/>
        <v>795.34066133720933</v>
      </c>
      <c r="S54" s="102">
        <f t="shared" si="106"/>
        <v>0</v>
      </c>
      <c r="T54" s="97">
        <f t="shared" si="107"/>
        <v>795.86800508720933</v>
      </c>
      <c r="U54" s="102">
        <f t="shared" si="108"/>
        <v>794.81331758720933</v>
      </c>
      <c r="V54" s="102">
        <f t="shared" si="109"/>
        <v>795.86800508720933</v>
      </c>
      <c r="W54" s="97">
        <f t="shared" si="119"/>
        <v>795.86800508720933</v>
      </c>
      <c r="X54" s="103" t="str">
        <f>IF(X53="Stop","Stop",$B$20)</f>
        <v>Tour</v>
      </c>
      <c r="Y54" s="102">
        <f t="shared" si="102"/>
        <v>795.34066133720933</v>
      </c>
      <c r="Z54" s="102">
        <f t="shared" si="110"/>
        <v>795.86800508720933</v>
      </c>
      <c r="AA54" s="102">
        <f t="shared" si="111"/>
        <v>795.60433321220933</v>
      </c>
      <c r="AB54" s="102">
        <f>IF(AND(S47=0,S48=0,S49=0,S50=0,S51=0,S52=0,S53=0,S54=0),(R54+R47)/2,ROUND(IF(SUM(S47:S54)&gt;0,AK54-$CR$17,AL54+$CR$17),0))</f>
        <v>728.36800508720933</v>
      </c>
      <c r="AC54" s="102">
        <f t="shared" si="112"/>
        <v>728.36800508720933</v>
      </c>
      <c r="AD54" s="102">
        <f t="shared" si="120"/>
        <v>794.28597383720933</v>
      </c>
      <c r="AE54" s="102">
        <f t="shared" si="121"/>
        <v>795.34066133720933</v>
      </c>
      <c r="AF54" s="104">
        <f t="shared" si="122"/>
        <v>0.52734375</v>
      </c>
      <c r="AG54" s="98">
        <f t="shared" si="113"/>
        <v>661.39534883720933</v>
      </c>
      <c r="AH54" s="98">
        <f t="shared" si="114"/>
        <v>795.34066133720933</v>
      </c>
      <c r="AI54" s="98">
        <f t="shared" si="115"/>
        <v>999</v>
      </c>
      <c r="AJ54" s="98">
        <f t="shared" si="116"/>
        <v>0</v>
      </c>
      <c r="AK54" s="98">
        <f t="shared" si="103"/>
        <v>897.17033066860472</v>
      </c>
      <c r="AL54" s="98">
        <f t="shared" si="117"/>
        <v>330.69767441860466</v>
      </c>
      <c r="AM54" s="98">
        <f t="shared" si="123"/>
        <v>0</v>
      </c>
      <c r="AN54" s="98">
        <f t="shared" si="118"/>
        <v>0</v>
      </c>
      <c r="AO54" s="98">
        <f t="shared" si="124"/>
        <v>0</v>
      </c>
      <c r="AP54" s="98">
        <f t="shared" si="125"/>
        <v>575.54823764534888</v>
      </c>
      <c r="AQ54" s="98">
        <f t="shared" si="126"/>
        <v>0</v>
      </c>
      <c r="AR54" s="98">
        <f t="shared" si="127"/>
        <v>661.39534883720933</v>
      </c>
      <c r="AS54" s="98">
        <f t="shared" si="104"/>
        <v>0</v>
      </c>
      <c r="AT54" s="98">
        <f>IF(AND((AR53=$AR47),AQ53=1),1,IF(AND((AR53=$AR47),AQ53=-1),-1,0))</f>
        <v>0</v>
      </c>
      <c r="AU54" s="145" t="s">
        <v>76</v>
      </c>
      <c r="AV54" s="124">
        <f t="shared" si="2"/>
        <v>709.14705882352939</v>
      </c>
      <c r="AW54" s="124">
        <f t="shared" si="3"/>
        <v>573.26470588235293</v>
      </c>
      <c r="AX54" s="124">
        <f t="shared" si="4"/>
        <v>565.21568627450984</v>
      </c>
      <c r="AY54" s="124">
        <f t="shared" si="5"/>
        <v>373.24509803921569</v>
      </c>
      <c r="AZ54" s="124">
        <f t="shared" si="6"/>
        <v>598.85294117647061</v>
      </c>
      <c r="BA54" s="124">
        <f t="shared" si="101"/>
        <v>26.622549019607842</v>
      </c>
      <c r="BB54" s="124">
        <f t="shared" si="74"/>
        <v>-26.622549019607842</v>
      </c>
      <c r="BC54" s="145">
        <v>53</v>
      </c>
      <c r="BD54" s="145">
        <v>5.923</v>
      </c>
      <c r="BE54" s="145" t="s">
        <v>180</v>
      </c>
      <c r="BF54" s="145" t="s">
        <v>180</v>
      </c>
      <c r="BG54" s="145">
        <v>109</v>
      </c>
      <c r="BH54" s="145">
        <v>146</v>
      </c>
      <c r="BI54" s="145">
        <v>183</v>
      </c>
      <c r="BJ54" s="145">
        <v>221</v>
      </c>
      <c r="BK54" s="145">
        <v>254</v>
      </c>
      <c r="BL54" s="145">
        <v>38</v>
      </c>
      <c r="BM54" s="88">
        <v>0.67866666666666686</v>
      </c>
      <c r="BN54" s="88">
        <v>0.68799999999999994</v>
      </c>
      <c r="BO54" s="88">
        <v>0.67075000000000007</v>
      </c>
      <c r="BP54" s="88">
        <v>0.65456250000000005</v>
      </c>
      <c r="BQ54" s="88">
        <v>0.63058823529411756</v>
      </c>
      <c r="BR54" s="88">
        <v>0.60790000000000011</v>
      </c>
      <c r="BS54" s="88">
        <v>0.57942857142857129</v>
      </c>
      <c r="BT54" s="88">
        <v>0.80833333333333324</v>
      </c>
      <c r="BU54" s="88">
        <v>0.83433333333333337</v>
      </c>
      <c r="BV54" s="88">
        <v>0.79800000000000026</v>
      </c>
      <c r="BW54" s="88">
        <v>0.76956862745098054</v>
      </c>
      <c r="BX54" s="88">
        <v>0.74075000000000002</v>
      </c>
      <c r="BY54" s="88">
        <v>0.73198230088495508</v>
      </c>
      <c r="BZ54" s="88">
        <v>0.69837999999999989</v>
      </c>
      <c r="CA54" s="145" t="s">
        <v>76</v>
      </c>
      <c r="CB54" s="88">
        <v>13.291338582677165</v>
      </c>
      <c r="CC54" s="88">
        <v>30.275590551181104</v>
      </c>
      <c r="CD54" s="88">
        <v>15.803149606299213</v>
      </c>
      <c r="CE54" s="88">
        <v>18.023622047244096</v>
      </c>
      <c r="CF54" s="88">
        <v>23.944881889763778</v>
      </c>
      <c r="CG54" s="88">
        <v>11.5748031496063</v>
      </c>
      <c r="CH54" s="88">
        <v>10.102362204724409</v>
      </c>
      <c r="CI54" s="88">
        <v>28.724409448818896</v>
      </c>
      <c r="CJ54" s="88">
        <v>19.346456692913385</v>
      </c>
      <c r="CK54" s="88">
        <v>25.929133858267715</v>
      </c>
      <c r="CL54" s="88">
        <v>9.6929133858267722</v>
      </c>
      <c r="CM54" s="108">
        <v>1.1100000000000001</v>
      </c>
      <c r="CN54" s="145" t="s">
        <v>180</v>
      </c>
      <c r="CO54" s="145">
        <v>127</v>
      </c>
      <c r="CP54" s="145"/>
      <c r="CQ54" s="145"/>
      <c r="CR54" s="145"/>
      <c r="CS54" s="145"/>
      <c r="CT54" s="144"/>
      <c r="CU54" s="145" t="s">
        <v>76</v>
      </c>
      <c r="CV54" s="144" t="s">
        <v>76</v>
      </c>
      <c r="CW54" s="144">
        <v>709.14705882352939</v>
      </c>
      <c r="CX54" s="144">
        <v>573.26470588235293</v>
      </c>
      <c r="CY54" s="144">
        <v>565.21568627450984</v>
      </c>
      <c r="CZ54" s="144">
        <v>373.24509803921569</v>
      </c>
      <c r="DA54" s="144">
        <v>598.85294117647061</v>
      </c>
      <c r="DB54" s="157">
        <v>53.245098039215684</v>
      </c>
      <c r="DC54" s="144">
        <v>102</v>
      </c>
      <c r="DD54" s="144">
        <v>872.33333333333337</v>
      </c>
      <c r="DE54" s="144">
        <v>441</v>
      </c>
      <c r="DF54" s="144">
        <v>732</v>
      </c>
      <c r="DG54" s="144">
        <v>110.66666666666667</v>
      </c>
      <c r="DH54" s="144">
        <v>374</v>
      </c>
      <c r="DI54" s="144">
        <v>61.333333333333336</v>
      </c>
      <c r="DJ54" s="144">
        <v>3</v>
      </c>
      <c r="DK54" s="144"/>
      <c r="DL54" s="145" t="s">
        <v>76</v>
      </c>
      <c r="DM54" s="144">
        <v>3</v>
      </c>
      <c r="DN54" s="144">
        <v>6</v>
      </c>
      <c r="DO54" s="144">
        <v>32</v>
      </c>
      <c r="DP54" s="144">
        <v>51</v>
      </c>
      <c r="DQ54" s="144"/>
      <c r="DR54" s="144">
        <v>113</v>
      </c>
      <c r="DS54" s="144">
        <v>50</v>
      </c>
      <c r="DT54" s="144">
        <v>3</v>
      </c>
      <c r="DU54" s="144">
        <v>1</v>
      </c>
      <c r="DV54" s="144">
        <v>8</v>
      </c>
      <c r="DW54" s="144">
        <v>16</v>
      </c>
      <c r="DX54" s="144">
        <v>17</v>
      </c>
      <c r="DY54" s="144">
        <v>10</v>
      </c>
      <c r="DZ54" s="144">
        <v>7</v>
      </c>
    </row>
    <row r="55" spans="2:130" ht="15" hidden="1" customHeight="1" thickBot="1">
      <c r="B55" s="23"/>
      <c r="C55" s="23"/>
      <c r="D55" s="23"/>
      <c r="E55" s="23"/>
      <c r="F55" s="23"/>
      <c r="G55" s="23"/>
      <c r="H55" s="23"/>
      <c r="I55" s="23"/>
      <c r="AU55" s="145" t="s">
        <v>280</v>
      </c>
      <c r="AV55" s="124">
        <f t="shared" si="2"/>
        <v>687.54128440366969</v>
      </c>
      <c r="AW55" s="124">
        <f t="shared" si="3"/>
        <v>748.7706422018349</v>
      </c>
      <c r="AX55" s="124">
        <f t="shared" si="4"/>
        <v>560.00917431192659</v>
      </c>
      <c r="AY55" s="124">
        <f t="shared" si="5"/>
        <v>548.58715596330273</v>
      </c>
      <c r="AZ55" s="124">
        <f t="shared" si="6"/>
        <v>597.06422018348621</v>
      </c>
      <c r="BA55" s="124">
        <f t="shared" si="101"/>
        <v>-5.1330275229357802</v>
      </c>
      <c r="BB55" s="124">
        <f t="shared" si="74"/>
        <v>5.1330275229357802</v>
      </c>
      <c r="BC55" s="145">
        <v>53</v>
      </c>
      <c r="BD55" s="145">
        <v>5.851</v>
      </c>
      <c r="BE55" s="145" t="s">
        <v>180</v>
      </c>
      <c r="BF55" s="145" t="s">
        <v>181</v>
      </c>
      <c r="BG55" s="145">
        <v>109</v>
      </c>
      <c r="BH55" s="145">
        <v>146</v>
      </c>
      <c r="BI55" s="145">
        <v>183</v>
      </c>
      <c r="BJ55" s="145">
        <v>221</v>
      </c>
      <c r="BK55" s="145">
        <v>254</v>
      </c>
      <c r="BL55" s="145">
        <v>38</v>
      </c>
      <c r="BM55" s="88"/>
      <c r="BN55" s="88"/>
      <c r="BO55" s="88"/>
      <c r="BP55" s="88"/>
      <c r="BQ55" s="88">
        <v>0.55525000000000002</v>
      </c>
      <c r="BR55" s="88">
        <v>0.54684848484848492</v>
      </c>
      <c r="BS55" s="88">
        <v>0.53516666666666668</v>
      </c>
      <c r="BT55" s="88">
        <v>0.79371428571428582</v>
      </c>
      <c r="BU55" s="88"/>
      <c r="BV55" s="88">
        <v>0.77549999999999997</v>
      </c>
      <c r="BW55" s="88">
        <v>0.69874468085106389</v>
      </c>
      <c r="BX55" s="88">
        <v>0.68153153153153201</v>
      </c>
      <c r="BY55" s="88">
        <v>0.66408000000000011</v>
      </c>
      <c r="BZ55" s="88">
        <v>0.64515942028985518</v>
      </c>
      <c r="CA55" s="145" t="s">
        <v>280</v>
      </c>
      <c r="CB55" s="88">
        <v>13.408450704225352</v>
      </c>
      <c r="CC55" s="88">
        <v>29.901408450704224</v>
      </c>
      <c r="CD55" s="88">
        <v>17.323943661971832</v>
      </c>
      <c r="CE55" s="88">
        <v>16.746478873239436</v>
      </c>
      <c r="CF55" s="88">
        <v>16.295774647887324</v>
      </c>
      <c r="CG55" s="88">
        <v>10.091549295774648</v>
      </c>
      <c r="CH55" s="88">
        <v>12.429577464788732</v>
      </c>
      <c r="CI55" s="88">
        <v>19.612676056338028</v>
      </c>
      <c r="CJ55" s="88">
        <v>26.464788732394368</v>
      </c>
      <c r="CK55" s="88">
        <v>13.908450704225352</v>
      </c>
      <c r="CL55" s="88">
        <v>10.661971830985916</v>
      </c>
      <c r="CM55" s="108">
        <v>1.23</v>
      </c>
      <c r="CN55" s="145" t="s">
        <v>181</v>
      </c>
      <c r="CO55" s="145">
        <v>142</v>
      </c>
      <c r="CP55" s="145"/>
      <c r="CQ55" s="145"/>
      <c r="CR55" s="145"/>
      <c r="CS55" s="145"/>
      <c r="CT55" s="144"/>
      <c r="CU55" s="145" t="s">
        <v>280</v>
      </c>
      <c r="CV55" s="144" t="s">
        <v>280</v>
      </c>
      <c r="CW55" s="144">
        <v>687.54128440366969</v>
      </c>
      <c r="CX55" s="144">
        <v>748.7706422018349</v>
      </c>
      <c r="CY55" s="144">
        <v>560.00917431192659</v>
      </c>
      <c r="CZ55" s="144">
        <v>548.58715596330273</v>
      </c>
      <c r="DA55" s="144">
        <v>597.06422018348621</v>
      </c>
      <c r="DB55" s="157">
        <v>-10.26605504587156</v>
      </c>
      <c r="DC55" s="144">
        <v>109</v>
      </c>
      <c r="DD55" s="144">
        <v>788.36363636363637</v>
      </c>
      <c r="DE55" s="144">
        <v>636.09090909090912</v>
      </c>
      <c r="DF55" s="144">
        <v>576</v>
      </c>
      <c r="DG55" s="144">
        <v>468.90909090909093</v>
      </c>
      <c r="DH55" s="144">
        <v>502.45454545454544</v>
      </c>
      <c r="DI55" s="144">
        <v>48.81818181818182</v>
      </c>
      <c r="DJ55" s="144">
        <v>11</v>
      </c>
      <c r="DK55" s="144"/>
      <c r="DL55" s="145" t="s">
        <v>280</v>
      </c>
      <c r="DM55" s="144">
        <v>7</v>
      </c>
      <c r="DN55" s="144"/>
      <c r="DO55" s="144">
        <v>10</v>
      </c>
      <c r="DP55" s="144">
        <v>47</v>
      </c>
      <c r="DQ55" s="144"/>
      <c r="DR55" s="144">
        <v>150</v>
      </c>
      <c r="DS55" s="144">
        <v>69</v>
      </c>
      <c r="DT55" s="144"/>
      <c r="DU55" s="144"/>
      <c r="DV55" s="144"/>
      <c r="DW55" s="144"/>
      <c r="DX55" s="144">
        <v>8</v>
      </c>
      <c r="DY55" s="144">
        <v>33</v>
      </c>
      <c r="DZ55" s="144">
        <v>12</v>
      </c>
    </row>
    <row r="56" spans="2:130" ht="15" hidden="1" customHeight="1" thickBot="1">
      <c r="B56" s="25" t="s">
        <v>119</v>
      </c>
      <c r="C56" s="30"/>
      <c r="D56" s="30"/>
      <c r="E56" s="30"/>
      <c r="F56" s="30"/>
      <c r="G56" s="31"/>
      <c r="H56" s="23"/>
      <c r="I56" s="23"/>
      <c r="Q56" s="89" t="s">
        <v>8</v>
      </c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1"/>
      <c r="AE56" s="91"/>
      <c r="AF56" s="92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145" t="s">
        <v>44</v>
      </c>
      <c r="AV56" s="124">
        <f t="shared" si="2"/>
        <v>613.57500000000005</v>
      </c>
      <c r="AW56" s="124">
        <f t="shared" si="3"/>
        <v>886.26250000000005</v>
      </c>
      <c r="AX56" s="124">
        <f t="shared" si="4"/>
        <v>409.23750000000001</v>
      </c>
      <c r="AY56" s="124">
        <f t="shared" si="5"/>
        <v>492.86250000000001</v>
      </c>
      <c r="AZ56" s="124">
        <f t="shared" si="6"/>
        <v>520.58749999999998</v>
      </c>
      <c r="BA56" s="124">
        <f t="shared" si="101"/>
        <v>-69.756249999999994</v>
      </c>
      <c r="BB56" s="124">
        <f t="shared" si="74"/>
        <v>69.756249999999994</v>
      </c>
      <c r="BC56" s="145">
        <v>44</v>
      </c>
      <c r="BD56" s="145">
        <v>6.968</v>
      </c>
      <c r="BE56" s="145" t="s">
        <v>179</v>
      </c>
      <c r="BF56" s="145" t="s">
        <v>180</v>
      </c>
      <c r="BG56" s="145">
        <v>120</v>
      </c>
      <c r="BH56" s="145">
        <v>161</v>
      </c>
      <c r="BI56" s="145">
        <v>202</v>
      </c>
      <c r="BJ56" s="145">
        <v>243</v>
      </c>
      <c r="BK56" s="145">
        <v>279</v>
      </c>
      <c r="BL56" s="145">
        <v>41</v>
      </c>
      <c r="BM56" s="88"/>
      <c r="BN56" s="88"/>
      <c r="BO56" s="88"/>
      <c r="BP56" s="88"/>
      <c r="BQ56" s="88"/>
      <c r="BR56" s="88"/>
      <c r="BS56" s="88"/>
      <c r="BT56" s="88">
        <v>0.83557142857142874</v>
      </c>
      <c r="BU56" s="88">
        <v>0.78357142857142859</v>
      </c>
      <c r="BV56" s="88">
        <v>0.78980555555555565</v>
      </c>
      <c r="BW56" s="88">
        <v>0.7735609756097559</v>
      </c>
      <c r="BX56" s="88">
        <v>0.73780281690140848</v>
      </c>
      <c r="BY56" s="88">
        <v>0.70533962264150951</v>
      </c>
      <c r="BZ56" s="88">
        <v>0.69569090909090892</v>
      </c>
      <c r="CA56" s="145" t="s">
        <v>44</v>
      </c>
      <c r="CB56" s="88">
        <v>18.686274509803923</v>
      </c>
      <c r="CC56" s="88">
        <v>34.401960784313722</v>
      </c>
      <c r="CD56" s="88">
        <v>18.205882352941178</v>
      </c>
      <c r="CE56" s="88">
        <v>21.009803921568629</v>
      </c>
      <c r="CF56" s="88">
        <v>21.470588235294116</v>
      </c>
      <c r="CG56" s="88">
        <v>13.284313725490197</v>
      </c>
      <c r="CH56" s="88">
        <v>11.303921568627452</v>
      </c>
      <c r="CI56" s="88">
        <v>25.637254901960784</v>
      </c>
      <c r="CJ56" s="88">
        <v>28.588235294117649</v>
      </c>
      <c r="CK56" s="88">
        <v>32.235294117647058</v>
      </c>
      <c r="CL56" s="88">
        <v>10.666666666666666</v>
      </c>
      <c r="CM56" s="108">
        <v>1.1000000000000001</v>
      </c>
      <c r="CN56" s="145" t="s">
        <v>180</v>
      </c>
      <c r="CO56" s="145">
        <v>102</v>
      </c>
      <c r="CP56" s="145"/>
      <c r="CQ56" s="145"/>
      <c r="CR56" s="145"/>
      <c r="CS56" s="145"/>
      <c r="CT56" s="144"/>
      <c r="CU56" s="145" t="s">
        <v>44</v>
      </c>
      <c r="CV56" s="144" t="s">
        <v>44</v>
      </c>
      <c r="CW56" s="144">
        <v>613.57500000000005</v>
      </c>
      <c r="CX56" s="144">
        <v>886.26250000000005</v>
      </c>
      <c r="CY56" s="144">
        <v>409.23750000000001</v>
      </c>
      <c r="CZ56" s="144">
        <v>492.86250000000001</v>
      </c>
      <c r="DA56" s="144">
        <v>520.58749999999998</v>
      </c>
      <c r="DB56" s="157">
        <v>-139.51249999999999</v>
      </c>
      <c r="DC56" s="144">
        <v>80</v>
      </c>
      <c r="DD56" s="144"/>
      <c r="DE56" s="144"/>
      <c r="DF56" s="144"/>
      <c r="DG56" s="144"/>
      <c r="DH56" s="144"/>
      <c r="DI56" s="144"/>
      <c r="DJ56" s="144"/>
      <c r="DK56" s="144"/>
      <c r="DL56" s="145" t="s">
        <v>44</v>
      </c>
      <c r="DM56" s="144">
        <v>7</v>
      </c>
      <c r="DN56" s="144">
        <v>7</v>
      </c>
      <c r="DO56" s="144">
        <v>36</v>
      </c>
      <c r="DP56" s="144">
        <v>41</v>
      </c>
      <c r="DQ56" s="144"/>
      <c r="DR56" s="144">
        <v>106</v>
      </c>
      <c r="DS56" s="144">
        <v>55</v>
      </c>
      <c r="DT56" s="144"/>
      <c r="DU56" s="144"/>
      <c r="DV56" s="144"/>
      <c r="DW56" s="144"/>
      <c r="DX56" s="144"/>
      <c r="DY56" s="144"/>
      <c r="DZ56" s="144"/>
    </row>
    <row r="57" spans="2:130" ht="15" hidden="1" customHeight="1">
      <c r="B57" s="23" t="s">
        <v>120</v>
      </c>
      <c r="C57" s="23"/>
      <c r="D57" s="23"/>
      <c r="E57" s="23"/>
      <c r="F57" s="23"/>
      <c r="G57" s="23"/>
      <c r="H57" s="23"/>
      <c r="I57" s="23"/>
      <c r="Q57" s="94"/>
      <c r="R57" s="95"/>
      <c r="S57" s="95" t="s">
        <v>23</v>
      </c>
      <c r="T57" s="95"/>
      <c r="U57" s="95"/>
      <c r="V57" s="95"/>
      <c r="W57" s="95"/>
      <c r="X57" s="95"/>
      <c r="Y57" s="95" t="s">
        <v>24</v>
      </c>
      <c r="Z57" s="95" t="s">
        <v>25</v>
      </c>
      <c r="AA57" s="95" t="s">
        <v>26</v>
      </c>
      <c r="AB57" s="95"/>
      <c r="AC57" s="95"/>
      <c r="AD57" s="93" t="s">
        <v>24</v>
      </c>
      <c r="AE57" s="93" t="s">
        <v>25</v>
      </c>
      <c r="AF57" s="96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145" t="s">
        <v>64</v>
      </c>
      <c r="AV57" s="124">
        <f t="shared" si="2"/>
        <v>481</v>
      </c>
      <c r="AW57" s="124">
        <f t="shared" si="3"/>
        <v>799.43902439024396</v>
      </c>
      <c r="AX57" s="124">
        <f t="shared" si="4"/>
        <v>491.14634146341461</v>
      </c>
      <c r="AY57" s="124">
        <f t="shared" si="5"/>
        <v>425.9349593495935</v>
      </c>
      <c r="AZ57" s="124">
        <f t="shared" si="6"/>
        <v>680.95121951219517</v>
      </c>
      <c r="BA57" s="124">
        <f t="shared" si="101"/>
        <v>-26.569105691056912</v>
      </c>
      <c r="BB57" s="124">
        <f t="shared" si="74"/>
        <v>26.569105691056912</v>
      </c>
      <c r="BC57" s="145">
        <v>53</v>
      </c>
      <c r="BD57" s="145">
        <v>5.86</v>
      </c>
      <c r="BE57" s="145" t="s">
        <v>179</v>
      </c>
      <c r="BF57" s="145" t="s">
        <v>179</v>
      </c>
      <c r="BG57" s="145">
        <v>120</v>
      </c>
      <c r="BH57" s="145">
        <v>161</v>
      </c>
      <c r="BI57" s="145">
        <v>202</v>
      </c>
      <c r="BJ57" s="145">
        <v>243</v>
      </c>
      <c r="BK57" s="145">
        <v>279</v>
      </c>
      <c r="BL57" s="145">
        <v>41</v>
      </c>
      <c r="BM57" s="88"/>
      <c r="BN57" s="88"/>
      <c r="BO57" s="88"/>
      <c r="BP57" s="88">
        <v>0.42224999999999996</v>
      </c>
      <c r="BQ57" s="88">
        <v>0.40133333333333332</v>
      </c>
      <c r="BR57" s="88">
        <v>0.38175000000000003</v>
      </c>
      <c r="BS57" s="88">
        <v>0.36799999999999999</v>
      </c>
      <c r="BT57" s="88">
        <v>0.80846153846153868</v>
      </c>
      <c r="BU57" s="88">
        <v>0.79233333333333344</v>
      </c>
      <c r="BV57" s="88">
        <v>0.74869565217391298</v>
      </c>
      <c r="BW57" s="88">
        <v>0.72860638297872327</v>
      </c>
      <c r="BX57" s="88">
        <v>0.70123664122137386</v>
      </c>
      <c r="BY57" s="88">
        <v>0.68958083832335293</v>
      </c>
      <c r="BZ57" s="88">
        <v>0.66931666666666689</v>
      </c>
      <c r="CA57" s="145" t="s">
        <v>64</v>
      </c>
      <c r="CB57" s="88">
        <v>11.537142857142857</v>
      </c>
      <c r="CC57" s="88">
        <v>21.92</v>
      </c>
      <c r="CD57" s="88">
        <v>14.445714285714285</v>
      </c>
      <c r="CE57" s="88">
        <v>18.857142857142858</v>
      </c>
      <c r="CF57" s="88">
        <v>15.497142857142856</v>
      </c>
      <c r="CG57" s="88">
        <v>10.154285714285715</v>
      </c>
      <c r="CH57" s="88">
        <v>9.5428571428571427</v>
      </c>
      <c r="CI57" s="88">
        <v>24.194285714285716</v>
      </c>
      <c r="CJ57" s="88">
        <v>18.685714285714287</v>
      </c>
      <c r="CK57" s="88">
        <v>21.457142857142856</v>
      </c>
      <c r="CL57" s="88">
        <v>10.125714285714286</v>
      </c>
      <c r="CM57" s="108">
        <v>1.145</v>
      </c>
      <c r="CN57" s="145" t="s">
        <v>179</v>
      </c>
      <c r="CO57" s="145">
        <v>175</v>
      </c>
      <c r="CP57" s="145"/>
      <c r="CQ57" s="145"/>
      <c r="CR57" s="145"/>
      <c r="CS57" s="145"/>
      <c r="CT57" s="144"/>
      <c r="CU57" s="145" t="s">
        <v>64</v>
      </c>
      <c r="CV57" s="144" t="s">
        <v>64</v>
      </c>
      <c r="CW57" s="144">
        <v>481</v>
      </c>
      <c r="CX57" s="144">
        <v>799.43902439024396</v>
      </c>
      <c r="CY57" s="144">
        <v>491.14634146341461</v>
      </c>
      <c r="CZ57" s="144">
        <v>425.9349593495935</v>
      </c>
      <c r="DA57" s="144">
        <v>680.95121951219517</v>
      </c>
      <c r="DB57" s="157">
        <v>-53.138211382113823</v>
      </c>
      <c r="DC57" s="144">
        <v>123</v>
      </c>
      <c r="DD57" s="144">
        <v>615.21052631578948</v>
      </c>
      <c r="DE57" s="144">
        <v>662.63157894736844</v>
      </c>
      <c r="DF57" s="144">
        <v>564.15789473684208</v>
      </c>
      <c r="DG57" s="144">
        <v>303.10526315789474</v>
      </c>
      <c r="DH57" s="144">
        <v>530.52631578947364</v>
      </c>
      <c r="DI57" s="144">
        <v>-9.8947368421052637</v>
      </c>
      <c r="DJ57" s="144">
        <v>19</v>
      </c>
      <c r="DK57" s="144"/>
      <c r="DL57" s="145" t="s">
        <v>64</v>
      </c>
      <c r="DM57" s="144">
        <v>13</v>
      </c>
      <c r="DN57" s="144">
        <v>12</v>
      </c>
      <c r="DO57" s="144">
        <v>23</v>
      </c>
      <c r="DP57" s="144">
        <v>94</v>
      </c>
      <c r="DQ57" s="144"/>
      <c r="DR57" s="144">
        <v>167</v>
      </c>
      <c r="DS57" s="144">
        <v>60</v>
      </c>
      <c r="DT57" s="144"/>
      <c r="DU57" s="144"/>
      <c r="DV57" s="144"/>
      <c r="DW57" s="144">
        <v>4</v>
      </c>
      <c r="DX57" s="144">
        <v>6</v>
      </c>
      <c r="DY57" s="144">
        <v>12</v>
      </c>
      <c r="DZ57" s="144">
        <v>2</v>
      </c>
    </row>
    <row r="58" spans="2:130" ht="15" hidden="1" customHeight="1">
      <c r="B58" s="23" t="s">
        <v>121</v>
      </c>
      <c r="C58" s="23"/>
      <c r="D58" s="23"/>
      <c r="E58" s="23"/>
      <c r="F58" s="23"/>
      <c r="G58" s="23"/>
      <c r="H58" s="23"/>
      <c r="I58" s="23"/>
      <c r="Q58" s="94" t="s">
        <v>27</v>
      </c>
      <c r="R58" s="97">
        <f>L13</f>
        <v>648.47674418604652</v>
      </c>
      <c r="S58" s="97">
        <f>VLOOKUP(M13,$U$3:$V$9,2,FALSE)</f>
        <v>0</v>
      </c>
      <c r="T58" s="97">
        <f>IF(IF(S58=0,R58+$CR$18,IF(S58=-1,R58+$CR$18,IF(S58=-2,R58+(2*$CR$18),IF(S58=-3,R58+(3*$CR$18),IF(S58=1,R58-$CR$18,IF(S58=2,R58-(2*$CR$18),R58-(3*$CR$18)))))))&gt;999,999,IF(S58=0,R58+$CR$18,IF(S58=-1,R58+$CR$18,IF(S58=-2,R58+(2*$CR$18),IF(S58=-3,R58+(3*$CR$18),IF(S58=1,R58-$CR$18,IF(S58=2,R58-(2*$CR$18),R58-(3*$CR$18))))))))</f>
        <v>715.97674418604652</v>
      </c>
      <c r="U58" s="95"/>
      <c r="V58" s="95"/>
      <c r="W58" s="95"/>
      <c r="X58" s="95" t="str">
        <f>$B$13</f>
        <v>Tour</v>
      </c>
      <c r="Y58" s="97">
        <f t="shared" ref="Y58:Y65" si="128">IF(S58=0,R58,IF(S58&lt;0,R58,T58))</f>
        <v>648.47674418604652</v>
      </c>
      <c r="Z58" s="97">
        <f>IF(S58&gt;0,R58,T58)</f>
        <v>715.97674418604652</v>
      </c>
      <c r="AA58" s="97">
        <f>AVERAGE(Y58:Z58)</f>
        <v>682.22674418604652</v>
      </c>
      <c r="AB58" s="97">
        <f>ROUND(IF(SUM($S$58:$S$65)&gt;0,AA58-$CR$18,AA58+$CR$18),0)</f>
        <v>750</v>
      </c>
      <c r="AC58" s="97">
        <f>AB58</f>
        <v>750</v>
      </c>
      <c r="AD58" s="98"/>
      <c r="AE58" s="98"/>
      <c r="AF58" s="99"/>
      <c r="AG58" s="98">
        <f>IF(S58=0,R58,999)</f>
        <v>648.47674418604652</v>
      </c>
      <c r="AH58" s="98">
        <f>IF(S58=0,R58,0)</f>
        <v>648.47674418604652</v>
      </c>
      <c r="AI58" s="98">
        <f>IF(S58=0,999,R58)</f>
        <v>999</v>
      </c>
      <c r="AJ58" s="98">
        <f>IF(S58=0,0,R58)</f>
        <v>0</v>
      </c>
      <c r="AK58" s="98">
        <f t="shared" ref="AK58:AK65" si="129">IF(AG58-AH58=999,((AL58+AI58)/2),((AH58+AI58)/2))</f>
        <v>823.73837209302326</v>
      </c>
      <c r="AL58" s="98">
        <f>IF(R58=999,999,IF(AG58-AH58=999,(AJ58+AN58)/2,(AJ58+AG58)/2))</f>
        <v>324.23837209302326</v>
      </c>
      <c r="AM58" s="98"/>
      <c r="AN58" s="98"/>
      <c r="AO58" s="98"/>
      <c r="AP58" s="98"/>
      <c r="AQ58" s="98">
        <f>IF(S58=0,0,S58)</f>
        <v>0</v>
      </c>
      <c r="AR58" s="98">
        <f>R58</f>
        <v>648.47674418604652</v>
      </c>
      <c r="AS58" s="98">
        <f t="shared" ref="AS58:AS65" si="130">IF(X58="Stop",IF(AT58=1,R58-$CR$18,IF(AT58=(-1),R58+$CR$18,IF(AQ57=0,0,((AR57+AR58)/2)+(2*$CQ$18)))),0)</f>
        <v>0</v>
      </c>
      <c r="AT58" s="98">
        <f>IF(AND((AR57=$AR58),AQ57=1),1,IF(AND((AR57=$AR58),AQ57=-1),-1,0))</f>
        <v>0</v>
      </c>
      <c r="AU58" s="145" t="s">
        <v>81</v>
      </c>
      <c r="AV58" s="124">
        <f t="shared" si="2"/>
        <v>813.52564102564099</v>
      </c>
      <c r="AW58" s="124">
        <f t="shared" si="3"/>
        <v>570.26923076923072</v>
      </c>
      <c r="AX58" s="124">
        <f t="shared" si="4"/>
        <v>615.85897435897436</v>
      </c>
      <c r="AY58" s="124">
        <f t="shared" si="5"/>
        <v>530.0512820512821</v>
      </c>
      <c r="AZ58" s="124">
        <f t="shared" si="6"/>
        <v>496.19230769230768</v>
      </c>
      <c r="BA58" s="124">
        <f t="shared" si="101"/>
        <v>40.53846153846154</v>
      </c>
      <c r="BB58" s="124">
        <f t="shared" si="74"/>
        <v>-40.53846153846154</v>
      </c>
      <c r="BC58" s="145">
        <v>57</v>
      </c>
      <c r="BD58" s="145">
        <v>5.44</v>
      </c>
      <c r="BE58" s="145" t="s">
        <v>179</v>
      </c>
      <c r="BF58" s="145" t="s">
        <v>179</v>
      </c>
      <c r="BG58" s="145">
        <v>120</v>
      </c>
      <c r="BH58" s="145">
        <v>161</v>
      </c>
      <c r="BI58" s="145">
        <v>202</v>
      </c>
      <c r="BJ58" s="145">
        <v>243</v>
      </c>
      <c r="BK58" s="145">
        <v>279</v>
      </c>
      <c r="BL58" s="145">
        <v>41</v>
      </c>
      <c r="BM58" s="88">
        <v>0.41075000000000006</v>
      </c>
      <c r="BN58" s="88"/>
      <c r="BO58" s="88"/>
      <c r="BP58" s="88">
        <v>0.42516666666666669</v>
      </c>
      <c r="BQ58" s="88">
        <v>0.3761666666666667</v>
      </c>
      <c r="BR58" s="88">
        <v>0.37223076923076925</v>
      </c>
      <c r="BS58" s="88">
        <v>0.35249999999999998</v>
      </c>
      <c r="BT58" s="88">
        <v>0.79837500000000006</v>
      </c>
      <c r="BU58" s="88">
        <v>0.76475000000000004</v>
      </c>
      <c r="BV58" s="88">
        <v>0.74433333333333351</v>
      </c>
      <c r="BW58" s="88">
        <v>0.71376785714285718</v>
      </c>
      <c r="BX58" s="88">
        <v>0.68814705882352944</v>
      </c>
      <c r="BY58" s="88">
        <v>0.66951724137931068</v>
      </c>
      <c r="BZ58" s="88">
        <v>0.64964705882352969</v>
      </c>
      <c r="CA58" s="145" t="s">
        <v>81</v>
      </c>
      <c r="CB58" s="88">
        <v>17.645669291338582</v>
      </c>
      <c r="CC58" s="88">
        <v>17.960629921259841</v>
      </c>
      <c r="CD58" s="88">
        <v>30.440944881889763</v>
      </c>
      <c r="CE58" s="88">
        <v>30.464566929133859</v>
      </c>
      <c r="CF58" s="88">
        <v>14.716535433070867</v>
      </c>
      <c r="CG58" s="88">
        <v>21.228346456692915</v>
      </c>
      <c r="CH58" s="88">
        <v>11.094488188976378</v>
      </c>
      <c r="CI58" s="88">
        <v>17.464566929133859</v>
      </c>
      <c r="CJ58" s="88">
        <v>20.811023622047244</v>
      </c>
      <c r="CK58" s="88">
        <v>24.007874015748033</v>
      </c>
      <c r="CL58" s="88">
        <v>14.590551181102363</v>
      </c>
      <c r="CM58" s="108">
        <v>1.19</v>
      </c>
      <c r="CN58" s="145" t="s">
        <v>179</v>
      </c>
      <c r="CO58" s="145">
        <v>127</v>
      </c>
      <c r="CP58" s="145"/>
      <c r="CQ58" s="145"/>
      <c r="CR58" s="145"/>
      <c r="CS58" s="145"/>
      <c r="CT58" s="144"/>
      <c r="CU58" s="145" t="s">
        <v>81</v>
      </c>
      <c r="CV58" s="144" t="s">
        <v>81</v>
      </c>
      <c r="CW58" s="144">
        <v>813.52564102564099</v>
      </c>
      <c r="CX58" s="144">
        <v>570.26923076923072</v>
      </c>
      <c r="CY58" s="144">
        <v>615.85897435897436</v>
      </c>
      <c r="CZ58" s="144">
        <v>530.0512820512821</v>
      </c>
      <c r="DA58" s="144">
        <v>496.19230769230768</v>
      </c>
      <c r="DB58" s="157">
        <v>81.07692307692308</v>
      </c>
      <c r="DC58" s="144">
        <v>78</v>
      </c>
      <c r="DD58" s="144">
        <v>885.59090909090912</v>
      </c>
      <c r="DE58" s="144">
        <v>453.22727272727275</v>
      </c>
      <c r="DF58" s="144">
        <v>662.0454545454545</v>
      </c>
      <c r="DG58" s="144">
        <v>446.18181818181819</v>
      </c>
      <c r="DH58" s="144">
        <v>355.68181818181819</v>
      </c>
      <c r="DI58" s="144">
        <v>123.72727272727273</v>
      </c>
      <c r="DJ58" s="144">
        <v>22</v>
      </c>
      <c r="DK58" s="144"/>
      <c r="DL58" s="145" t="s">
        <v>81</v>
      </c>
      <c r="DM58" s="144">
        <v>8</v>
      </c>
      <c r="DN58" s="144">
        <v>4</v>
      </c>
      <c r="DO58" s="144">
        <v>21</v>
      </c>
      <c r="DP58" s="144">
        <v>56</v>
      </c>
      <c r="DQ58" s="144"/>
      <c r="DR58" s="144">
        <v>116</v>
      </c>
      <c r="DS58" s="144">
        <v>68</v>
      </c>
      <c r="DT58" s="144">
        <v>8</v>
      </c>
      <c r="DU58" s="144"/>
      <c r="DV58" s="144"/>
      <c r="DW58" s="144">
        <v>6</v>
      </c>
      <c r="DX58" s="144">
        <v>6</v>
      </c>
      <c r="DY58" s="144">
        <v>13</v>
      </c>
      <c r="DZ58" s="144">
        <v>2</v>
      </c>
    </row>
    <row r="59" spans="2:130" ht="15" hidden="1" customHeight="1" thickBot="1">
      <c r="B59" s="23"/>
      <c r="C59" s="23"/>
      <c r="D59" s="23"/>
      <c r="E59" s="23"/>
      <c r="F59" s="23"/>
      <c r="G59" s="23"/>
      <c r="H59" s="23"/>
      <c r="I59" s="23"/>
      <c r="Q59" s="94" t="s">
        <v>28</v>
      </c>
      <c r="R59" s="97">
        <f t="shared" ref="R59:R65" si="131">L14</f>
        <v>715.97674418604652</v>
      </c>
      <c r="S59" s="97">
        <f t="shared" ref="S59:S65" si="132">VLOOKUP(M14,$U$3:$V$9,2,FALSE)</f>
        <v>0</v>
      </c>
      <c r="T59" s="97">
        <f t="shared" ref="T59:T65" si="133">IF(W59&gt;999,999,IF(W59&lt;1,1,W59))</f>
        <v>749.72674418604652</v>
      </c>
      <c r="U59" s="97">
        <f t="shared" ref="U59:U65" si="134">IF(OR(S59=-2,S59=2),R59-($CQ$18*2),IF(OR(S59=-3,S59=3),R59-($CQ$18*3),R59-AF59))</f>
        <v>682.22674418604652</v>
      </c>
      <c r="V59" s="97">
        <f t="shared" ref="V59:V65" si="135">IF(OR(S59=-2,S59=2),R59+($CQ$18*2),IF(OR(S59=-3,S59=3),R59+($CQ$18*3),R59+AF59))</f>
        <v>749.72674418604652</v>
      </c>
      <c r="W59" s="97">
        <f>IF(AND(S58-S59=0,S58=0),IF(SUM($S$58:$S$65)&lt;0,U59,V59),IF(AND(S58-S59&gt;0,S59=0),V59,IF(S58-S59&lt;0,IF(S59&gt;=0,U59,V59),IF(AND(S58-S59=0,S59&lt;0),V59,IF(AND(S58-S59&gt;0,S58=0),V59,U59)))))</f>
        <v>749.72674418604652</v>
      </c>
      <c r="X59" s="95" t="str">
        <f>IF(X58="Stop","Stop",$B$14)</f>
        <v>Tour</v>
      </c>
      <c r="Y59" s="97">
        <f t="shared" si="128"/>
        <v>715.97674418604652</v>
      </c>
      <c r="Z59" s="97">
        <f t="shared" ref="Z59:Z65" si="136">IF(S59&gt;0,R59,T59)</f>
        <v>749.72674418604652</v>
      </c>
      <c r="AA59" s="97">
        <f t="shared" ref="AA59:AA65" si="137">AVERAGE(Y59:Z59)</f>
        <v>732.85174418604652</v>
      </c>
      <c r="AB59" s="97">
        <f>IF(AND(S58=0,S59=0),(R59+R58)/2,ROUND(IF(SUM(S58:S65)&gt;0,AK59-$CR$18,AL59+$CR$18),0))</f>
        <v>682.22674418604652</v>
      </c>
      <c r="AC59" s="97">
        <f t="shared" ref="AC59:AC65" si="138">IF(X59="stop",IF(AS59=0,AC58,AS59),AB59)</f>
        <v>682.22674418604652</v>
      </c>
      <c r="AD59" s="97">
        <f>IF(R59&lt;R58,R59,R58)</f>
        <v>648.47674418604652</v>
      </c>
      <c r="AE59" s="97">
        <f>IF(R59&gt;R58,R59,R58)</f>
        <v>715.97674418604652</v>
      </c>
      <c r="AF59" s="100">
        <f>IF(R58-R59&gt;0,(R58-R59)/2,(R59-R58)/2)</f>
        <v>33.75</v>
      </c>
      <c r="AG59" s="98">
        <f t="shared" ref="AG59:AG65" si="139">IF(S59=0,IF(R59&lt;AG58,R59,AG58),AG58)</f>
        <v>648.47674418604652</v>
      </c>
      <c r="AH59" s="98">
        <f t="shared" ref="AH59:AH65" si="140">IF(S59=0,IF(R59&gt;AH58,R59,AH58),AH58)</f>
        <v>715.97674418604652</v>
      </c>
      <c r="AI59" s="98">
        <f t="shared" ref="AI59:AI65" si="141">IF(S59=0,AI58,IF(R59&lt;AI58,R59,AG58))</f>
        <v>999</v>
      </c>
      <c r="AJ59" s="98">
        <f t="shared" ref="AJ59:AJ65" si="142">IF(S59=0,AJ58,IF(R59&gt;AJ58,R59,AJ58))</f>
        <v>0</v>
      </c>
      <c r="AK59" s="98">
        <f t="shared" si="129"/>
        <v>857.48837209302326</v>
      </c>
      <c r="AL59" s="98">
        <f t="shared" ref="AL59:AL65" si="143">IF(R59=999,999,IF(AG59-AH59=999,(AJ59+AN59)/2,(AJ59+AG59)/2))</f>
        <v>324.23837209302326</v>
      </c>
      <c r="AM59" s="98">
        <f>S59-S58</f>
        <v>0</v>
      </c>
      <c r="AN59" s="98">
        <f t="shared" ref="AN59:AN65" si="144">IF(AM59=0,AN58,R59)</f>
        <v>0</v>
      </c>
      <c r="AO59" s="98">
        <f>IF(S59=S58,0,1)</f>
        <v>0</v>
      </c>
      <c r="AP59" s="98">
        <f>IF(X59="Stop",AP58,IF(AO59=0,(R59+$R$14)/2,AC59))</f>
        <v>535.86627906976742</v>
      </c>
      <c r="AQ59" s="98">
        <f>IF(AQ58=0,0,IF(S59=0,0,S59))</f>
        <v>0</v>
      </c>
      <c r="AR59" s="98">
        <f>IF(AQ59=AQ58,AR58,R59)</f>
        <v>648.47674418604652</v>
      </c>
      <c r="AS59" s="98">
        <f t="shared" si="130"/>
        <v>0</v>
      </c>
      <c r="AT59" s="98">
        <f>IF(AND((AR58=$AR58),AQ58=1),1,IF(AND((AR58=$AR58),AQ58=-1),-1,0))</f>
        <v>0</v>
      </c>
      <c r="AU59" s="145" t="s">
        <v>83</v>
      </c>
      <c r="AV59" s="124">
        <f t="shared" si="2"/>
        <v>721.20134228187919</v>
      </c>
      <c r="AW59" s="124">
        <f t="shared" si="3"/>
        <v>583.14765100671138</v>
      </c>
      <c r="AX59" s="124">
        <f t="shared" si="4"/>
        <v>523.08053691275165</v>
      </c>
      <c r="AY59" s="124">
        <f t="shared" si="5"/>
        <v>342.83892617449663</v>
      </c>
      <c r="AZ59" s="124">
        <f t="shared" si="6"/>
        <v>570.42953020134223</v>
      </c>
      <c r="BA59" s="124">
        <f t="shared" si="101"/>
        <v>19.929530201342281</v>
      </c>
      <c r="BB59" s="124">
        <f t="shared" si="74"/>
        <v>-19.929530201342281</v>
      </c>
      <c r="BC59" s="145">
        <v>55</v>
      </c>
      <c r="BD59" s="145">
        <v>5.5549999999999997</v>
      </c>
      <c r="BE59" s="145" t="s">
        <v>179</v>
      </c>
      <c r="BF59" s="145" t="s">
        <v>181</v>
      </c>
      <c r="BG59" s="145">
        <v>120</v>
      </c>
      <c r="BH59" s="145">
        <v>161</v>
      </c>
      <c r="BI59" s="145">
        <v>202</v>
      </c>
      <c r="BJ59" s="145">
        <v>243</v>
      </c>
      <c r="BK59" s="145">
        <v>279</v>
      </c>
      <c r="BL59" s="145">
        <v>41</v>
      </c>
      <c r="BM59" s="88">
        <v>0.6303333333333333</v>
      </c>
      <c r="BN59" s="88">
        <v>0.61</v>
      </c>
      <c r="BO59" s="88">
        <v>0.60780000000000001</v>
      </c>
      <c r="BP59" s="88">
        <v>0.58672222222222237</v>
      </c>
      <c r="BQ59" s="88">
        <v>0.58638461538461528</v>
      </c>
      <c r="BR59" s="88">
        <v>0.5421111111111111</v>
      </c>
      <c r="BS59" s="88">
        <v>0.52489999999999992</v>
      </c>
      <c r="BT59" s="88">
        <v>0.74997560975609723</v>
      </c>
      <c r="BU59" s="88">
        <v>0.73033333333333306</v>
      </c>
      <c r="BV59" s="88">
        <v>0.71687499999999971</v>
      </c>
      <c r="BW59" s="88">
        <v>0.69760465116279058</v>
      </c>
      <c r="BX59" s="88">
        <v>0.66202631578947335</v>
      </c>
      <c r="BY59" s="88">
        <v>0.64482511210762372</v>
      </c>
      <c r="BZ59" s="88">
        <v>0.63177922077922066</v>
      </c>
      <c r="CA59" s="145" t="s">
        <v>83</v>
      </c>
      <c r="CB59" s="88">
        <v>15.085585585585585</v>
      </c>
      <c r="CC59" s="88">
        <v>10.27027027027027</v>
      </c>
      <c r="CD59" s="88">
        <v>23.225225225225227</v>
      </c>
      <c r="CE59" s="88">
        <v>26.536036036036037</v>
      </c>
      <c r="CF59" s="88">
        <v>18.86036036036036</v>
      </c>
      <c r="CG59" s="88">
        <v>14.225225225225225</v>
      </c>
      <c r="CH59" s="88">
        <v>19.594594594594593</v>
      </c>
      <c r="CI59" s="88">
        <v>23.256756756756758</v>
      </c>
      <c r="CJ59" s="88">
        <v>26.63963963963964</v>
      </c>
      <c r="CK59" s="88">
        <v>19.995495495495497</v>
      </c>
      <c r="CL59" s="88">
        <v>14.22072072072072</v>
      </c>
      <c r="CM59" s="108">
        <v>1.24</v>
      </c>
      <c r="CN59" s="145" t="s">
        <v>181</v>
      </c>
      <c r="CO59" s="145">
        <v>222</v>
      </c>
      <c r="CP59" s="145"/>
      <c r="CQ59" s="145"/>
      <c r="CR59" s="145"/>
      <c r="CS59" s="145"/>
      <c r="CT59" s="144"/>
      <c r="CU59" s="145" t="s">
        <v>83</v>
      </c>
      <c r="CV59" s="144" t="s">
        <v>83</v>
      </c>
      <c r="CW59" s="144">
        <v>721.20134228187919</v>
      </c>
      <c r="CX59" s="144">
        <v>583.14765100671138</v>
      </c>
      <c r="CY59" s="144">
        <v>523.08053691275165</v>
      </c>
      <c r="CZ59" s="144">
        <v>342.83892617449663</v>
      </c>
      <c r="DA59" s="144">
        <v>570.42953020134223</v>
      </c>
      <c r="DB59" s="157">
        <v>39.859060402684563</v>
      </c>
      <c r="DC59" s="144">
        <v>149</v>
      </c>
      <c r="DD59" s="144">
        <v>841.75862068965512</v>
      </c>
      <c r="DE59" s="144">
        <v>456.24137931034483</v>
      </c>
      <c r="DF59" s="144">
        <v>623.58620689655174</v>
      </c>
      <c r="DG59" s="144">
        <v>203.82758620689654</v>
      </c>
      <c r="DH59" s="144">
        <v>421.10344827586209</v>
      </c>
      <c r="DI59" s="144">
        <v>50.482758620689658</v>
      </c>
      <c r="DJ59" s="144">
        <v>29</v>
      </c>
      <c r="DK59" s="144"/>
      <c r="DL59" s="145" t="s">
        <v>83</v>
      </c>
      <c r="DM59" s="144">
        <v>41</v>
      </c>
      <c r="DN59" s="144">
        <v>30</v>
      </c>
      <c r="DO59" s="144">
        <v>40</v>
      </c>
      <c r="DP59" s="144">
        <v>43</v>
      </c>
      <c r="DQ59" s="144"/>
      <c r="DR59" s="144">
        <v>223</v>
      </c>
      <c r="DS59" s="144">
        <v>77</v>
      </c>
      <c r="DT59" s="144">
        <v>3</v>
      </c>
      <c r="DU59" s="144">
        <v>1</v>
      </c>
      <c r="DV59" s="144">
        <v>5</v>
      </c>
      <c r="DW59" s="144">
        <v>18</v>
      </c>
      <c r="DX59" s="144">
        <v>13</v>
      </c>
      <c r="DY59" s="144">
        <v>36</v>
      </c>
      <c r="DZ59" s="144">
        <v>10</v>
      </c>
    </row>
    <row r="60" spans="2:130" ht="15" hidden="1" customHeight="1" thickBot="1">
      <c r="B60" s="25" t="s">
        <v>122</v>
      </c>
      <c r="C60" s="30"/>
      <c r="D60" s="30"/>
      <c r="E60" s="30"/>
      <c r="F60" s="30"/>
      <c r="G60" s="31"/>
      <c r="H60" s="23"/>
      <c r="I60" s="23"/>
      <c r="Q60" s="94" t="s">
        <v>29</v>
      </c>
      <c r="R60" s="97">
        <f t="shared" si="131"/>
        <v>749.72674418604652</v>
      </c>
      <c r="S60" s="97">
        <f t="shared" si="132"/>
        <v>0</v>
      </c>
      <c r="T60" s="97">
        <f t="shared" si="133"/>
        <v>766.60174418604652</v>
      </c>
      <c r="U60" s="97">
        <f t="shared" si="134"/>
        <v>732.85174418604652</v>
      </c>
      <c r="V60" s="97">
        <f t="shared" si="135"/>
        <v>766.60174418604652</v>
      </c>
      <c r="W60" s="97">
        <f t="shared" ref="W60:W65" si="145">IF(AND(S59-S60=0,S59=0),IF(SUM($S$58:$S$65)&lt;0,U60,V60),IF(AND(S59-S60&gt;0,S60=0),V60,IF(S59-S60&lt;0,IF(S60&gt;=0,U60,V60),IF(AND(S59-S60=0,S60&lt;0),V60,IF(AND(S59-S60&gt;0,S59=0),V60,U60)))))</f>
        <v>766.60174418604652</v>
      </c>
      <c r="X60" s="95" t="str">
        <f>IF(X59="Stop","Stop",$B$15)</f>
        <v>Tour</v>
      </c>
      <c r="Y60" s="97">
        <f t="shared" si="128"/>
        <v>749.72674418604652</v>
      </c>
      <c r="Z60" s="97">
        <f t="shared" si="136"/>
        <v>766.60174418604652</v>
      </c>
      <c r="AA60" s="97">
        <f t="shared" si="137"/>
        <v>758.16424418604652</v>
      </c>
      <c r="AB60" s="97">
        <f>IF(AND(S58=0,S59=0,S60=0),(R60+R58)/2,ROUND(IF(SUM(S58:S65)&gt;0,AK60-$CR$18,AL60+$CR$18),0))</f>
        <v>699.10174418604652</v>
      </c>
      <c r="AC60" s="97">
        <f t="shared" si="138"/>
        <v>699.10174418604652</v>
      </c>
      <c r="AD60" s="97">
        <f t="shared" ref="AD60:AD65" si="146">IF(R60&lt;R59,R60,R59)</f>
        <v>715.97674418604652</v>
      </c>
      <c r="AE60" s="97">
        <f t="shared" ref="AE60:AE65" si="147">IF(R60&gt;R59,R60,R59)</f>
        <v>749.72674418604652</v>
      </c>
      <c r="AF60" s="100">
        <f t="shared" ref="AF60:AF65" si="148">IF(R59-R60&gt;0,(R59-R60)/2,(R60-R59)/2)</f>
        <v>16.875</v>
      </c>
      <c r="AG60" s="98">
        <f t="shared" si="139"/>
        <v>648.47674418604652</v>
      </c>
      <c r="AH60" s="98">
        <f t="shared" si="140"/>
        <v>749.72674418604652</v>
      </c>
      <c r="AI60" s="98">
        <f t="shared" si="141"/>
        <v>999</v>
      </c>
      <c r="AJ60" s="98">
        <f t="shared" si="142"/>
        <v>0</v>
      </c>
      <c r="AK60" s="98">
        <f t="shared" si="129"/>
        <v>874.36337209302326</v>
      </c>
      <c r="AL60" s="98">
        <f t="shared" si="143"/>
        <v>324.23837209302326</v>
      </c>
      <c r="AM60" s="98">
        <f t="shared" ref="AM60:AM65" si="149">S60-S59</f>
        <v>0</v>
      </c>
      <c r="AN60" s="98">
        <f t="shared" si="144"/>
        <v>0</v>
      </c>
      <c r="AO60" s="98">
        <f t="shared" ref="AO60:AO65" si="150">IF(S60=S59,0,1)</f>
        <v>0</v>
      </c>
      <c r="AP60" s="98">
        <f t="shared" ref="AP60:AP65" si="151">IF(X60="Stop",AP59,IF(AO60=0,(R60+$R$14)/2,AC60))</f>
        <v>552.74127906976742</v>
      </c>
      <c r="AQ60" s="98">
        <f t="shared" ref="AQ60:AQ65" si="152">IF(AQ59=0,0,IF(S60=0,0,S60))</f>
        <v>0</v>
      </c>
      <c r="AR60" s="98">
        <f t="shared" ref="AR60:AR65" si="153">IF(AQ60=AQ59,AR59,R60)</f>
        <v>648.47674418604652</v>
      </c>
      <c r="AS60" s="98">
        <f t="shared" si="130"/>
        <v>0</v>
      </c>
      <c r="AT60" s="98">
        <f>IF(AND((AR59=$AR58),AQ59=1),1,IF(AND((AR59=$AR58),AQ59=-1),-1,0))</f>
        <v>0</v>
      </c>
      <c r="AU60" s="145" t="s">
        <v>78</v>
      </c>
      <c r="AV60" s="124">
        <f t="shared" si="2"/>
        <v>777.23170731707319</v>
      </c>
      <c r="AW60" s="124">
        <f t="shared" si="3"/>
        <v>595.06707317073176</v>
      </c>
      <c r="AX60" s="124">
        <f t="shared" si="4"/>
        <v>708.54268292682923</v>
      </c>
      <c r="AY60" s="124">
        <f t="shared" si="5"/>
        <v>565.43292682926824</v>
      </c>
      <c r="AZ60" s="124">
        <f t="shared" si="6"/>
        <v>544.35365853658539</v>
      </c>
      <c r="BA60" s="124">
        <f t="shared" si="101"/>
        <v>12.216463414634147</v>
      </c>
      <c r="BB60" s="124">
        <f t="shared" si="74"/>
        <v>-12.216463414634147</v>
      </c>
      <c r="BC60" s="145">
        <v>55</v>
      </c>
      <c r="BD60" s="145">
        <v>5.6219999999999999</v>
      </c>
      <c r="BE60" s="145" t="s">
        <v>180</v>
      </c>
      <c r="BF60" s="145" t="s">
        <v>179</v>
      </c>
      <c r="BG60" s="145">
        <v>109</v>
      </c>
      <c r="BH60" s="145">
        <v>146</v>
      </c>
      <c r="BI60" s="145">
        <v>183</v>
      </c>
      <c r="BJ60" s="145">
        <v>221</v>
      </c>
      <c r="BK60" s="145">
        <v>254</v>
      </c>
      <c r="BL60" s="145">
        <v>38</v>
      </c>
      <c r="BM60" s="88"/>
      <c r="BN60" s="88"/>
      <c r="BO60" s="88">
        <v>0.65788888888888886</v>
      </c>
      <c r="BP60" s="88">
        <v>0.61799999999999988</v>
      </c>
      <c r="BQ60" s="88">
        <v>0.61792857142857138</v>
      </c>
      <c r="BR60" s="88">
        <v>0.58199999999999985</v>
      </c>
      <c r="BS60" s="88">
        <v>0.55685714285714294</v>
      </c>
      <c r="BT60" s="88">
        <v>0.77137500000000003</v>
      </c>
      <c r="BU60" s="88">
        <v>0.72666666666666657</v>
      </c>
      <c r="BV60" s="88">
        <v>0.74375000000000013</v>
      </c>
      <c r="BW60" s="88">
        <v>0.70924705882352945</v>
      </c>
      <c r="BX60" s="88">
        <v>0.69146774193548377</v>
      </c>
      <c r="BY60" s="88">
        <v>0.67081153846153818</v>
      </c>
      <c r="BZ60" s="88">
        <v>0.64625773195876313</v>
      </c>
      <c r="CA60" s="145" t="s">
        <v>78</v>
      </c>
      <c r="CB60" s="88">
        <v>18.70204081632653</v>
      </c>
      <c r="CC60" s="88">
        <v>28.759183673469387</v>
      </c>
      <c r="CD60" s="88">
        <v>19.693877551020407</v>
      </c>
      <c r="CE60" s="88">
        <v>21.844897959183672</v>
      </c>
      <c r="CF60" s="88">
        <v>13.685714285714285</v>
      </c>
      <c r="CG60" s="88">
        <v>14.771428571428572</v>
      </c>
      <c r="CH60" s="88">
        <v>15.326530612244898</v>
      </c>
      <c r="CI60" s="88">
        <v>16.367346938775512</v>
      </c>
      <c r="CJ60" s="88">
        <v>21.33061224489796</v>
      </c>
      <c r="CK60" s="88">
        <v>18.216326530612246</v>
      </c>
      <c r="CL60" s="88">
        <v>12.538775510204081</v>
      </c>
      <c r="CM60" s="108">
        <v>1.18</v>
      </c>
      <c r="CN60" s="145" t="s">
        <v>179</v>
      </c>
      <c r="CO60" s="145">
        <v>245</v>
      </c>
      <c r="CP60" s="145"/>
      <c r="CQ60" s="145"/>
      <c r="CR60" s="145"/>
      <c r="CS60" s="145"/>
      <c r="CT60" s="144"/>
      <c r="CU60" s="145" t="s">
        <v>78</v>
      </c>
      <c r="CV60" s="144" t="s">
        <v>78</v>
      </c>
      <c r="CW60" s="144">
        <v>777.23170731707319</v>
      </c>
      <c r="CX60" s="144">
        <v>595.06707317073176</v>
      </c>
      <c r="CY60" s="144">
        <v>708.54268292682923</v>
      </c>
      <c r="CZ60" s="144">
        <v>565.43292682926824</v>
      </c>
      <c r="DA60" s="144">
        <v>544.35365853658539</v>
      </c>
      <c r="DB60" s="157">
        <v>24.432926829268293</v>
      </c>
      <c r="DC60" s="144">
        <v>164</v>
      </c>
      <c r="DD60" s="144">
        <v>857</v>
      </c>
      <c r="DE60" s="144">
        <v>491.83333333333331</v>
      </c>
      <c r="DF60" s="144">
        <v>745.5</v>
      </c>
      <c r="DG60" s="144">
        <v>379.61111111111109</v>
      </c>
      <c r="DH60" s="144">
        <v>421.11111111111109</v>
      </c>
      <c r="DI60" s="144">
        <v>54.722222222222221</v>
      </c>
      <c r="DJ60" s="144">
        <v>36</v>
      </c>
      <c r="DK60" s="144"/>
      <c r="DL60" s="145" t="s">
        <v>78</v>
      </c>
      <c r="DM60" s="144">
        <v>8</v>
      </c>
      <c r="DN60" s="144">
        <v>9</v>
      </c>
      <c r="DO60" s="144">
        <v>36</v>
      </c>
      <c r="DP60" s="144">
        <v>85</v>
      </c>
      <c r="DQ60" s="144"/>
      <c r="DR60" s="144">
        <v>260</v>
      </c>
      <c r="DS60" s="144">
        <v>97</v>
      </c>
      <c r="DT60" s="144"/>
      <c r="DU60" s="144"/>
      <c r="DV60" s="144">
        <v>9</v>
      </c>
      <c r="DW60" s="144">
        <v>11</v>
      </c>
      <c r="DX60" s="144">
        <v>14</v>
      </c>
      <c r="DY60" s="144">
        <v>29</v>
      </c>
      <c r="DZ60" s="144">
        <v>14</v>
      </c>
    </row>
    <row r="61" spans="2:130" ht="15" hidden="1" customHeight="1">
      <c r="B61" s="23" t="s">
        <v>123</v>
      </c>
      <c r="C61" s="23"/>
      <c r="D61" s="23"/>
      <c r="E61" s="23"/>
      <c r="F61" s="23"/>
      <c r="G61" s="23"/>
      <c r="H61" s="23"/>
      <c r="I61" s="23"/>
      <c r="Q61" s="94" t="s">
        <v>30</v>
      </c>
      <c r="R61" s="97">
        <f t="shared" si="131"/>
        <v>766.60174418604652</v>
      </c>
      <c r="S61" s="97">
        <f t="shared" si="132"/>
        <v>0</v>
      </c>
      <c r="T61" s="97">
        <f t="shared" si="133"/>
        <v>775.03924418604652</v>
      </c>
      <c r="U61" s="97">
        <f t="shared" si="134"/>
        <v>758.16424418604652</v>
      </c>
      <c r="V61" s="97">
        <f t="shared" si="135"/>
        <v>775.03924418604652</v>
      </c>
      <c r="W61" s="97">
        <f t="shared" si="145"/>
        <v>775.03924418604652</v>
      </c>
      <c r="X61" s="95" t="str">
        <f>IF(X60="Stop","Stop",$B$16)</f>
        <v>Tour</v>
      </c>
      <c r="Y61" s="97">
        <f t="shared" si="128"/>
        <v>766.60174418604652</v>
      </c>
      <c r="Z61" s="97">
        <f t="shared" si="136"/>
        <v>775.03924418604652</v>
      </c>
      <c r="AA61" s="97">
        <f t="shared" si="137"/>
        <v>770.82049418604652</v>
      </c>
      <c r="AB61" s="97">
        <f>IF(AND(S58=0,S59=0,S60=0,S61=0),(R61+R58)/2,ROUND(IF(SUM(S58:S65)&gt;0,AK61-$CR$18,AL61+$CR$18),0))</f>
        <v>707.53924418604652</v>
      </c>
      <c r="AC61" s="97">
        <f t="shared" si="138"/>
        <v>707.53924418604652</v>
      </c>
      <c r="AD61" s="97">
        <f t="shared" si="146"/>
        <v>749.72674418604652</v>
      </c>
      <c r="AE61" s="97">
        <f t="shared" si="147"/>
        <v>766.60174418604652</v>
      </c>
      <c r="AF61" s="100">
        <f t="shared" si="148"/>
        <v>8.4375</v>
      </c>
      <c r="AG61" s="98">
        <f t="shared" si="139"/>
        <v>648.47674418604652</v>
      </c>
      <c r="AH61" s="98">
        <f t="shared" si="140"/>
        <v>766.60174418604652</v>
      </c>
      <c r="AI61" s="98">
        <f t="shared" si="141"/>
        <v>999</v>
      </c>
      <c r="AJ61" s="98">
        <f t="shared" si="142"/>
        <v>0</v>
      </c>
      <c r="AK61" s="98">
        <f t="shared" si="129"/>
        <v>882.80087209302326</v>
      </c>
      <c r="AL61" s="98">
        <f t="shared" si="143"/>
        <v>324.23837209302326</v>
      </c>
      <c r="AM61" s="98">
        <f t="shared" si="149"/>
        <v>0</v>
      </c>
      <c r="AN61" s="98">
        <f t="shared" si="144"/>
        <v>0</v>
      </c>
      <c r="AO61" s="98">
        <f t="shared" si="150"/>
        <v>0</v>
      </c>
      <c r="AP61" s="98">
        <f t="shared" si="151"/>
        <v>561.17877906976742</v>
      </c>
      <c r="AQ61" s="98">
        <f t="shared" si="152"/>
        <v>0</v>
      </c>
      <c r="AR61" s="98">
        <f t="shared" si="153"/>
        <v>648.47674418604652</v>
      </c>
      <c r="AS61" s="98">
        <f t="shared" si="130"/>
        <v>0</v>
      </c>
      <c r="AT61" s="98">
        <f>IF(AND((AR60=$AR58),AQ60=1),1,IF(AND((AR60=$AR58),AQ60=-1),-1,0))</f>
        <v>0</v>
      </c>
      <c r="AU61" s="145" t="s">
        <v>69</v>
      </c>
      <c r="AV61" s="124">
        <f t="shared" si="2"/>
        <v>601.56923076923078</v>
      </c>
      <c r="AW61" s="124">
        <f t="shared" si="3"/>
        <v>821.16923076923081</v>
      </c>
      <c r="AX61" s="124">
        <f t="shared" si="4"/>
        <v>391.32307692307694</v>
      </c>
      <c r="AY61" s="124">
        <f t="shared" si="5"/>
        <v>652.29230769230765</v>
      </c>
      <c r="AZ61" s="124">
        <f t="shared" si="6"/>
        <v>861.87692307692305</v>
      </c>
      <c r="BA61" s="124">
        <f t="shared" si="101"/>
        <v>-113.26923076923077</v>
      </c>
      <c r="BB61" s="124">
        <f t="shared" si="74"/>
        <v>113.26923076923077</v>
      </c>
      <c r="BC61" s="145">
        <v>71</v>
      </c>
      <c r="BD61" s="145">
        <v>4.2510000000000003</v>
      </c>
      <c r="BE61" s="145" t="s">
        <v>179</v>
      </c>
      <c r="BF61" s="145" t="s">
        <v>181</v>
      </c>
      <c r="BG61" s="145">
        <v>120</v>
      </c>
      <c r="BH61" s="145">
        <v>161</v>
      </c>
      <c r="BI61" s="145">
        <v>202</v>
      </c>
      <c r="BJ61" s="145">
        <v>243</v>
      </c>
      <c r="BK61" s="145">
        <v>279</v>
      </c>
      <c r="BL61" s="145">
        <v>41</v>
      </c>
      <c r="BM61" s="120"/>
      <c r="BN61" s="120"/>
      <c r="BO61" s="120"/>
      <c r="BP61" s="120">
        <v>0.47499999999999998</v>
      </c>
      <c r="BQ61" s="120">
        <v>0.45225000000000004</v>
      </c>
      <c r="BR61" s="120"/>
      <c r="BS61" s="120"/>
      <c r="BT61" s="120">
        <v>0.73676470588235288</v>
      </c>
      <c r="BU61" s="120">
        <v>0.7357499999999999</v>
      </c>
      <c r="BV61" s="120">
        <v>0.73066666666666669</v>
      </c>
      <c r="BW61" s="120">
        <v>0.69015384615384612</v>
      </c>
      <c r="BX61" s="120">
        <v>0.67303278688524604</v>
      </c>
      <c r="BY61" s="120">
        <v>0.65066153846153829</v>
      </c>
      <c r="BZ61" s="120">
        <v>0.62924000000000002</v>
      </c>
      <c r="CA61" s="145" t="s">
        <v>69</v>
      </c>
      <c r="CB61" s="120">
        <v>26.704545454545453</v>
      </c>
      <c r="CC61" s="120">
        <v>43.340909090909093</v>
      </c>
      <c r="CD61" s="120">
        <v>32.136363636363633</v>
      </c>
      <c r="CE61" s="120">
        <v>25.556818181818183</v>
      </c>
      <c r="CF61" s="120">
        <v>22.727272727272727</v>
      </c>
      <c r="CG61" s="120">
        <v>19.420454545454547</v>
      </c>
      <c r="CH61" s="120">
        <v>17.488636363636363</v>
      </c>
      <c r="CI61" s="120">
        <v>24.488636363636363</v>
      </c>
      <c r="CJ61" s="120">
        <v>46.238636363636367</v>
      </c>
      <c r="CK61" s="120">
        <v>36.43181818181818</v>
      </c>
      <c r="CL61" s="120">
        <v>15.431818181818182</v>
      </c>
      <c r="CM61" s="108">
        <v>1.22</v>
      </c>
      <c r="CN61" s="145" t="s">
        <v>181</v>
      </c>
      <c r="CO61" s="145">
        <v>88</v>
      </c>
      <c r="CP61" s="145"/>
      <c r="CQ61" s="145"/>
      <c r="CR61" s="145"/>
      <c r="CS61" s="145"/>
      <c r="CT61" s="144"/>
      <c r="CU61" s="144" t="s">
        <v>69</v>
      </c>
      <c r="CV61" s="144" t="s">
        <v>69</v>
      </c>
      <c r="CW61" s="144">
        <v>601.56923076923078</v>
      </c>
      <c r="CX61" s="144">
        <v>821.16923076923081</v>
      </c>
      <c r="CY61" s="144">
        <v>391.32307692307694</v>
      </c>
      <c r="CZ61" s="144">
        <v>652.29230769230765</v>
      </c>
      <c r="DA61" s="144">
        <v>861.87692307692305</v>
      </c>
      <c r="DB61" s="157">
        <v>-226.53846153846155</v>
      </c>
      <c r="DC61" s="144">
        <v>65</v>
      </c>
      <c r="DD61" s="144">
        <v>718.57142857142856</v>
      </c>
      <c r="DE61" s="144">
        <v>623.57142857142856</v>
      </c>
      <c r="DF61" s="144">
        <v>551.14285714285711</v>
      </c>
      <c r="DG61" s="144">
        <v>468.85714285714283</v>
      </c>
      <c r="DH61" s="144">
        <v>693.14285714285711</v>
      </c>
      <c r="DI61" s="144">
        <v>-178.57142857142858</v>
      </c>
      <c r="DJ61" s="144">
        <v>7</v>
      </c>
      <c r="DK61" s="144"/>
      <c r="DL61" s="144" t="s">
        <v>69</v>
      </c>
      <c r="DM61" s="144">
        <v>17</v>
      </c>
      <c r="DN61" s="144">
        <v>12</v>
      </c>
      <c r="DO61" s="144">
        <v>12</v>
      </c>
      <c r="DP61" s="144">
        <v>26</v>
      </c>
      <c r="DQ61" s="144"/>
      <c r="DR61" s="144">
        <v>65</v>
      </c>
      <c r="DS61" s="144">
        <v>50</v>
      </c>
      <c r="DT61" s="144"/>
      <c r="DU61" s="144"/>
      <c r="DV61" s="144"/>
      <c r="DW61" s="144">
        <v>1</v>
      </c>
      <c r="DX61" s="144">
        <v>4</v>
      </c>
      <c r="DY61" s="144"/>
      <c r="DZ61" s="144"/>
    </row>
    <row r="62" spans="2:130" ht="15" hidden="1" customHeight="1">
      <c r="B62" s="23" t="s">
        <v>124</v>
      </c>
      <c r="C62" s="23"/>
      <c r="D62" s="23"/>
      <c r="E62" s="23"/>
      <c r="F62" s="23"/>
      <c r="G62" s="23"/>
      <c r="H62" s="23"/>
      <c r="I62" s="23"/>
      <c r="Q62" s="94" t="s">
        <v>31</v>
      </c>
      <c r="R62" s="97">
        <f t="shared" si="131"/>
        <v>775.03924418604652</v>
      </c>
      <c r="S62" s="97">
        <f t="shared" si="132"/>
        <v>0</v>
      </c>
      <c r="T62" s="97">
        <f t="shared" si="133"/>
        <v>779.25799418604652</v>
      </c>
      <c r="U62" s="97">
        <f t="shared" si="134"/>
        <v>770.82049418604652</v>
      </c>
      <c r="V62" s="97">
        <f t="shared" si="135"/>
        <v>779.25799418604652</v>
      </c>
      <c r="W62" s="97">
        <f t="shared" si="145"/>
        <v>779.25799418604652</v>
      </c>
      <c r="X62" s="95" t="str">
        <f>IF(X61="Stop","Stop",$B$17)</f>
        <v>Tour</v>
      </c>
      <c r="Y62" s="97">
        <f t="shared" si="128"/>
        <v>775.03924418604652</v>
      </c>
      <c r="Z62" s="97">
        <f t="shared" si="136"/>
        <v>779.25799418604652</v>
      </c>
      <c r="AA62" s="97">
        <f t="shared" si="137"/>
        <v>777.14861918604652</v>
      </c>
      <c r="AB62" s="97">
        <f>IF(AND(S58=0,S59=0,S60=0,S61=0,S62=0),(R62+R58)/2,ROUND(IF(SUM(S58:S65)&gt;0,AK62-$CR$18,AL62+$CR$18),0))</f>
        <v>711.75799418604652</v>
      </c>
      <c r="AC62" s="97">
        <f t="shared" si="138"/>
        <v>711.75799418604652</v>
      </c>
      <c r="AD62" s="97">
        <f t="shared" si="146"/>
        <v>766.60174418604652</v>
      </c>
      <c r="AE62" s="97">
        <f t="shared" si="147"/>
        <v>775.03924418604652</v>
      </c>
      <c r="AF62" s="100">
        <f t="shared" si="148"/>
        <v>4.21875</v>
      </c>
      <c r="AG62" s="98">
        <f t="shared" si="139"/>
        <v>648.47674418604652</v>
      </c>
      <c r="AH62" s="98">
        <f t="shared" si="140"/>
        <v>775.03924418604652</v>
      </c>
      <c r="AI62" s="98">
        <f t="shared" si="141"/>
        <v>999</v>
      </c>
      <c r="AJ62" s="98">
        <f t="shared" si="142"/>
        <v>0</v>
      </c>
      <c r="AK62" s="98">
        <f t="shared" si="129"/>
        <v>887.01962209302326</v>
      </c>
      <c r="AL62" s="98">
        <f t="shared" si="143"/>
        <v>324.23837209302326</v>
      </c>
      <c r="AM62" s="98">
        <f t="shared" si="149"/>
        <v>0</v>
      </c>
      <c r="AN62" s="98">
        <f t="shared" si="144"/>
        <v>0</v>
      </c>
      <c r="AO62" s="98">
        <f t="shared" si="150"/>
        <v>0</v>
      </c>
      <c r="AP62" s="98">
        <f t="shared" si="151"/>
        <v>565.39752906976742</v>
      </c>
      <c r="AQ62" s="98">
        <f t="shared" si="152"/>
        <v>0</v>
      </c>
      <c r="AR62" s="98">
        <f t="shared" si="153"/>
        <v>648.47674418604652</v>
      </c>
      <c r="AS62" s="98">
        <f t="shared" si="130"/>
        <v>0</v>
      </c>
      <c r="AT62" s="98">
        <f>IF(AND((AR61=$AR58),AQ61=1),1,IF(AND((AR61=$AR58),AQ61=-1),-1,0))</f>
        <v>0</v>
      </c>
      <c r="AU62" s="145" t="s">
        <v>45</v>
      </c>
      <c r="AV62" s="124">
        <f t="shared" si="2"/>
        <v>689.23300970873788</v>
      </c>
      <c r="AW62" s="124">
        <f t="shared" si="3"/>
        <v>775.38834951456306</v>
      </c>
      <c r="AX62" s="124">
        <f t="shared" si="4"/>
        <v>453.47572815533982</v>
      </c>
      <c r="AY62" s="124">
        <f t="shared" si="5"/>
        <v>499.80582524271847</v>
      </c>
      <c r="AZ62" s="124">
        <f t="shared" si="6"/>
        <v>691.242718446602</v>
      </c>
      <c r="BA62" s="124">
        <f t="shared" si="101"/>
        <v>23.189320388349515</v>
      </c>
      <c r="BB62" s="124">
        <f t="shared" si="74"/>
        <v>-23.189320388349515</v>
      </c>
      <c r="BC62" s="145">
        <v>70</v>
      </c>
      <c r="BD62" s="145">
        <v>4.2610000000000001</v>
      </c>
      <c r="BE62" s="145" t="s">
        <v>179</v>
      </c>
      <c r="BF62" s="145" t="s">
        <v>181</v>
      </c>
      <c r="BG62" s="145">
        <v>120</v>
      </c>
      <c r="BH62" s="145">
        <v>161</v>
      </c>
      <c r="BI62" s="145">
        <v>202</v>
      </c>
      <c r="BJ62" s="145">
        <v>243</v>
      </c>
      <c r="BK62" s="145">
        <v>279</v>
      </c>
      <c r="BL62" s="145">
        <v>41</v>
      </c>
      <c r="BM62" s="120">
        <v>0.56559999999999999</v>
      </c>
      <c r="BN62" s="120">
        <v>0.61</v>
      </c>
      <c r="BO62" s="120">
        <v>0.53800000000000003</v>
      </c>
      <c r="BP62" s="120">
        <v>0.54471428571428571</v>
      </c>
      <c r="BQ62" s="120">
        <v>0.51400000000000001</v>
      </c>
      <c r="BR62" s="120">
        <v>0.48253846153846158</v>
      </c>
      <c r="BS62" s="120">
        <v>0.53</v>
      </c>
      <c r="BT62" s="120">
        <v>0.80080952380952386</v>
      </c>
      <c r="BU62" s="120">
        <v>0.72462500000000007</v>
      </c>
      <c r="BV62" s="120">
        <v>0.74956249999999991</v>
      </c>
      <c r="BW62" s="120">
        <v>0.71808571428571433</v>
      </c>
      <c r="BX62" s="120">
        <v>0.67915942028985488</v>
      </c>
      <c r="BY62" s="120">
        <v>0.65879166666666711</v>
      </c>
      <c r="BZ62" s="120">
        <v>0.63916417910447754</v>
      </c>
      <c r="CA62" s="145" t="s">
        <v>45</v>
      </c>
      <c r="CB62" s="120">
        <v>11.717948717948717</v>
      </c>
      <c r="CC62" s="120">
        <v>13.596153846153847</v>
      </c>
      <c r="CD62" s="120">
        <v>17.121794871794872</v>
      </c>
      <c r="CE62" s="120">
        <v>15.51923076923077</v>
      </c>
      <c r="CF62" s="120">
        <v>13.884615384615385</v>
      </c>
      <c r="CG62" s="120">
        <v>15.666666666666666</v>
      </c>
      <c r="CH62" s="120">
        <v>14.416666666666666</v>
      </c>
      <c r="CI62" s="120">
        <v>27.166666666666668</v>
      </c>
      <c r="CJ62" s="120">
        <v>19.115384615384617</v>
      </c>
      <c r="CK62" s="120">
        <v>21.5</v>
      </c>
      <c r="CL62" s="120">
        <v>12.807692307692308</v>
      </c>
      <c r="CM62" s="108">
        <v>1.21</v>
      </c>
      <c r="CN62" s="145" t="s">
        <v>181</v>
      </c>
      <c r="CO62" s="145">
        <v>156</v>
      </c>
      <c r="CP62" s="145"/>
      <c r="CQ62" s="145"/>
      <c r="CR62" s="145"/>
      <c r="CS62" s="145"/>
      <c r="CT62" s="144"/>
      <c r="CU62" s="144" t="s">
        <v>45</v>
      </c>
      <c r="CV62" s="144" t="s">
        <v>45</v>
      </c>
      <c r="CW62" s="144">
        <v>689.23300970873788</v>
      </c>
      <c r="CX62" s="144">
        <v>775.38834951456306</v>
      </c>
      <c r="CY62" s="144">
        <v>453.47572815533982</v>
      </c>
      <c r="CZ62" s="144">
        <v>499.80582524271847</v>
      </c>
      <c r="DA62" s="144">
        <v>691.242718446602</v>
      </c>
      <c r="DB62" s="157">
        <v>46.378640776699029</v>
      </c>
      <c r="DC62" s="144">
        <v>103</v>
      </c>
      <c r="DD62" s="144">
        <v>790</v>
      </c>
      <c r="DE62" s="144">
        <v>653.08695652173913</v>
      </c>
      <c r="DF62" s="144">
        <v>551.6521739130435</v>
      </c>
      <c r="DG62" s="144">
        <v>283.56521739130437</v>
      </c>
      <c r="DH62" s="144">
        <v>544.304347826087</v>
      </c>
      <c r="DI62" s="144">
        <v>70.956521739130437</v>
      </c>
      <c r="DJ62" s="144">
        <v>23</v>
      </c>
      <c r="DK62" s="144"/>
      <c r="DL62" s="144" t="s">
        <v>45</v>
      </c>
      <c r="DM62" s="144">
        <v>21</v>
      </c>
      <c r="DN62" s="144">
        <v>16</v>
      </c>
      <c r="DO62" s="144">
        <v>16</v>
      </c>
      <c r="DP62" s="144">
        <v>35</v>
      </c>
      <c r="DQ62" s="144"/>
      <c r="DR62" s="144">
        <v>192</v>
      </c>
      <c r="DS62" s="144">
        <v>67</v>
      </c>
      <c r="DT62" s="144">
        <v>5</v>
      </c>
      <c r="DU62" s="144">
        <v>1</v>
      </c>
      <c r="DV62" s="144">
        <v>2</v>
      </c>
      <c r="DW62" s="144">
        <v>7</v>
      </c>
      <c r="DX62" s="144">
        <v>5</v>
      </c>
      <c r="DY62" s="144">
        <v>13</v>
      </c>
      <c r="DZ62" s="144">
        <v>1</v>
      </c>
    </row>
    <row r="63" spans="2:130" ht="15" hidden="1" customHeight="1">
      <c r="B63" s="23" t="s">
        <v>125</v>
      </c>
      <c r="C63" s="23"/>
      <c r="D63" s="23"/>
      <c r="E63" s="23"/>
      <c r="F63" s="23"/>
      <c r="G63" s="23"/>
      <c r="H63" s="23"/>
      <c r="I63" s="23"/>
      <c r="Q63" s="94" t="s">
        <v>32</v>
      </c>
      <c r="R63" s="97">
        <f t="shared" si="131"/>
        <v>779.25799418604652</v>
      </c>
      <c r="S63" s="97">
        <f t="shared" si="132"/>
        <v>0</v>
      </c>
      <c r="T63" s="97">
        <f t="shared" si="133"/>
        <v>781.36736918604652</v>
      </c>
      <c r="U63" s="97">
        <f t="shared" si="134"/>
        <v>777.14861918604652</v>
      </c>
      <c r="V63" s="97">
        <f t="shared" si="135"/>
        <v>781.36736918604652</v>
      </c>
      <c r="W63" s="97">
        <f t="shared" si="145"/>
        <v>781.36736918604652</v>
      </c>
      <c r="X63" s="95" t="str">
        <f>IF(X62="Stop","Stop",$B$18)</f>
        <v>Tour</v>
      </c>
      <c r="Y63" s="97">
        <f t="shared" si="128"/>
        <v>779.25799418604652</v>
      </c>
      <c r="Z63" s="97">
        <f t="shared" si="136"/>
        <v>781.36736918604652</v>
      </c>
      <c r="AA63" s="97">
        <f t="shared" si="137"/>
        <v>780.31268168604652</v>
      </c>
      <c r="AB63" s="97">
        <f>IF(AND(S58=0,S59=0,S60=0,S61=0,S62=0,S63=0),(R63+R58)/2,ROUND(IF(SUM(S58:S65)&gt;0,AK63-$CR$18,AL63+$CR$18),0))</f>
        <v>713.86736918604652</v>
      </c>
      <c r="AC63" s="97">
        <f t="shared" si="138"/>
        <v>713.86736918604652</v>
      </c>
      <c r="AD63" s="97">
        <f t="shared" si="146"/>
        <v>775.03924418604652</v>
      </c>
      <c r="AE63" s="97">
        <f t="shared" si="147"/>
        <v>779.25799418604652</v>
      </c>
      <c r="AF63" s="100">
        <f t="shared" si="148"/>
        <v>2.109375</v>
      </c>
      <c r="AG63" s="98">
        <f t="shared" si="139"/>
        <v>648.47674418604652</v>
      </c>
      <c r="AH63" s="98">
        <f t="shared" si="140"/>
        <v>779.25799418604652</v>
      </c>
      <c r="AI63" s="98">
        <f t="shared" si="141"/>
        <v>999</v>
      </c>
      <c r="AJ63" s="98">
        <f t="shared" si="142"/>
        <v>0</v>
      </c>
      <c r="AK63" s="98">
        <f t="shared" si="129"/>
        <v>889.12899709302326</v>
      </c>
      <c r="AL63" s="98">
        <f t="shared" si="143"/>
        <v>324.23837209302326</v>
      </c>
      <c r="AM63" s="98">
        <f t="shared" si="149"/>
        <v>0</v>
      </c>
      <c r="AN63" s="98">
        <f t="shared" si="144"/>
        <v>0</v>
      </c>
      <c r="AO63" s="98">
        <f t="shared" si="150"/>
        <v>0</v>
      </c>
      <c r="AP63" s="98">
        <f t="shared" si="151"/>
        <v>567.50690406976742</v>
      </c>
      <c r="AQ63" s="98">
        <f t="shared" si="152"/>
        <v>0</v>
      </c>
      <c r="AR63" s="98">
        <f t="shared" si="153"/>
        <v>648.47674418604652</v>
      </c>
      <c r="AS63" s="98">
        <f t="shared" si="130"/>
        <v>0</v>
      </c>
      <c r="AT63" s="98">
        <f>IF(AND((AR62=$AR58),AQ62=1),1,IF(AND((AR62=$AR58),AQ62=-1),-1,0))</f>
        <v>0</v>
      </c>
    </row>
    <row r="64" spans="2:130" ht="15" hidden="1" customHeight="1">
      <c r="B64" s="34" t="s">
        <v>129</v>
      </c>
      <c r="C64" s="23"/>
      <c r="D64" s="23"/>
      <c r="E64" s="23"/>
      <c r="F64" s="23"/>
      <c r="G64" s="23"/>
      <c r="H64" s="23"/>
      <c r="I64" s="23"/>
      <c r="Q64" s="94" t="s">
        <v>33</v>
      </c>
      <c r="R64" s="97">
        <f t="shared" si="131"/>
        <v>781.36736918604652</v>
      </c>
      <c r="S64" s="97">
        <f t="shared" si="132"/>
        <v>0</v>
      </c>
      <c r="T64" s="97">
        <f t="shared" si="133"/>
        <v>782.42205668604652</v>
      </c>
      <c r="U64" s="97">
        <f t="shared" si="134"/>
        <v>780.31268168604652</v>
      </c>
      <c r="V64" s="97">
        <f t="shared" si="135"/>
        <v>782.42205668604652</v>
      </c>
      <c r="W64" s="97">
        <f t="shared" si="145"/>
        <v>782.42205668604652</v>
      </c>
      <c r="X64" s="95" t="str">
        <f>IF(X63="Stop","Stop",$B$19)</f>
        <v>Tour</v>
      </c>
      <c r="Y64" s="97">
        <f t="shared" si="128"/>
        <v>781.36736918604652</v>
      </c>
      <c r="Z64" s="97">
        <f t="shared" si="136"/>
        <v>782.42205668604652</v>
      </c>
      <c r="AA64" s="97">
        <f t="shared" si="137"/>
        <v>781.89471293604652</v>
      </c>
      <c r="AB64" s="97">
        <f>IF(AND(S58=0,S59=0,S60=0,S61=0,S62=0,S63=0,S64=0),(R64+R58)/2,ROUND(IF(SUM(S58:S65)&gt;0,AK64-$CR$18,AL64+$CR$18),0))</f>
        <v>714.92205668604652</v>
      </c>
      <c r="AC64" s="97">
        <f t="shared" si="138"/>
        <v>714.92205668604652</v>
      </c>
      <c r="AD64" s="97">
        <f t="shared" si="146"/>
        <v>779.25799418604652</v>
      </c>
      <c r="AE64" s="97">
        <f t="shared" si="147"/>
        <v>781.36736918604652</v>
      </c>
      <c r="AF64" s="100">
        <f t="shared" si="148"/>
        <v>1.0546875</v>
      </c>
      <c r="AG64" s="98">
        <f t="shared" si="139"/>
        <v>648.47674418604652</v>
      </c>
      <c r="AH64" s="98">
        <f t="shared" si="140"/>
        <v>781.36736918604652</v>
      </c>
      <c r="AI64" s="98">
        <f t="shared" si="141"/>
        <v>999</v>
      </c>
      <c r="AJ64" s="98">
        <f t="shared" si="142"/>
        <v>0</v>
      </c>
      <c r="AK64" s="98">
        <f t="shared" si="129"/>
        <v>890.18368459302326</v>
      </c>
      <c r="AL64" s="98">
        <f t="shared" si="143"/>
        <v>324.23837209302326</v>
      </c>
      <c r="AM64" s="98">
        <f t="shared" si="149"/>
        <v>0</v>
      </c>
      <c r="AN64" s="98">
        <f t="shared" si="144"/>
        <v>0</v>
      </c>
      <c r="AO64" s="98">
        <f t="shared" si="150"/>
        <v>0</v>
      </c>
      <c r="AP64" s="98">
        <f t="shared" si="151"/>
        <v>568.56159156976742</v>
      </c>
      <c r="AQ64" s="98">
        <f t="shared" si="152"/>
        <v>0</v>
      </c>
      <c r="AR64" s="98">
        <f t="shared" si="153"/>
        <v>648.47674418604652</v>
      </c>
      <c r="AS64" s="98">
        <f t="shared" si="130"/>
        <v>0</v>
      </c>
      <c r="AT64" s="98">
        <f>IF(AND((AR63=$AR58),AQ63=1),1,IF(AND((AR63=$AR58),AQ63=-1),-1,0))</f>
        <v>0</v>
      </c>
    </row>
    <row r="65" spans="2:134" ht="15" hidden="1" customHeight="1" thickBot="1">
      <c r="B65" s="23"/>
      <c r="C65" s="23"/>
      <c r="D65" s="23"/>
      <c r="E65" s="23"/>
      <c r="F65" s="23"/>
      <c r="G65" s="23"/>
      <c r="H65" s="23"/>
      <c r="I65" s="23"/>
      <c r="Q65" s="101" t="s">
        <v>34</v>
      </c>
      <c r="R65" s="102">
        <f t="shared" si="131"/>
        <v>782.42205668604652</v>
      </c>
      <c r="S65" s="102">
        <f t="shared" si="132"/>
        <v>0</v>
      </c>
      <c r="T65" s="97">
        <f t="shared" si="133"/>
        <v>782.94940043604652</v>
      </c>
      <c r="U65" s="102">
        <f t="shared" si="134"/>
        <v>781.89471293604652</v>
      </c>
      <c r="V65" s="102">
        <f t="shared" si="135"/>
        <v>782.94940043604652</v>
      </c>
      <c r="W65" s="97">
        <f t="shared" si="145"/>
        <v>782.94940043604652</v>
      </c>
      <c r="X65" s="103" t="str">
        <f>IF(X64="Stop","Stop",$B$20)</f>
        <v>Tour</v>
      </c>
      <c r="Y65" s="102">
        <f t="shared" si="128"/>
        <v>782.42205668604652</v>
      </c>
      <c r="Z65" s="102">
        <f t="shared" si="136"/>
        <v>782.94940043604652</v>
      </c>
      <c r="AA65" s="102">
        <f t="shared" si="137"/>
        <v>782.68572856104652</v>
      </c>
      <c r="AB65" s="102">
        <f>IF(AND(S58=0,S59=0,S60=0,S61=0,S62=0,S63=0,S64=0,S65=0),(R65+R58)/2,ROUND(IF(SUM(S58:S65)&gt;0,AK65-$CR$18,AL65+$CR$18),0))</f>
        <v>715.44940043604652</v>
      </c>
      <c r="AC65" s="102">
        <f t="shared" si="138"/>
        <v>715.44940043604652</v>
      </c>
      <c r="AD65" s="102">
        <f t="shared" si="146"/>
        <v>781.36736918604652</v>
      </c>
      <c r="AE65" s="102">
        <f t="shared" si="147"/>
        <v>782.42205668604652</v>
      </c>
      <c r="AF65" s="104">
        <f t="shared" si="148"/>
        <v>0.52734375</v>
      </c>
      <c r="AG65" s="98">
        <f t="shared" si="139"/>
        <v>648.47674418604652</v>
      </c>
      <c r="AH65" s="98">
        <f t="shared" si="140"/>
        <v>782.42205668604652</v>
      </c>
      <c r="AI65" s="98">
        <f t="shared" si="141"/>
        <v>999</v>
      </c>
      <c r="AJ65" s="98">
        <f t="shared" si="142"/>
        <v>0</v>
      </c>
      <c r="AK65" s="98">
        <f t="shared" si="129"/>
        <v>890.71102834302326</v>
      </c>
      <c r="AL65" s="98">
        <f t="shared" si="143"/>
        <v>324.23837209302326</v>
      </c>
      <c r="AM65" s="98">
        <f t="shared" si="149"/>
        <v>0</v>
      </c>
      <c r="AN65" s="98">
        <f t="shared" si="144"/>
        <v>0</v>
      </c>
      <c r="AO65" s="98">
        <f t="shared" si="150"/>
        <v>0</v>
      </c>
      <c r="AP65" s="98">
        <f t="shared" si="151"/>
        <v>569.08893531976742</v>
      </c>
      <c r="AQ65" s="98">
        <f t="shared" si="152"/>
        <v>0</v>
      </c>
      <c r="AR65" s="98">
        <f t="shared" si="153"/>
        <v>648.47674418604652</v>
      </c>
      <c r="AS65" s="98">
        <f t="shared" si="130"/>
        <v>0</v>
      </c>
      <c r="AT65" s="98">
        <f>IF(AND((AR64=$AR58),AQ64=1),1,IF(AND((AR64=$AR58),AQ64=-1),-1,0))</f>
        <v>0</v>
      </c>
      <c r="CW65" s="146">
        <f>VLOOKUP($G$5,$AU$3:$BK$65,13,FALSE)</f>
        <v>120</v>
      </c>
      <c r="CX65" s="147">
        <f>VLOOKUP($G$5,$AU$3:$BK$65,14,FALSE)</f>
        <v>161</v>
      </c>
      <c r="CY65" s="147">
        <f>VLOOKUP($G$5,$AU$3:$BK$65,15,FALSE)</f>
        <v>202</v>
      </c>
      <c r="CZ65" s="147">
        <f>VLOOKUP($G$5,$AU$3:$BK$65,16,FALSE)</f>
        <v>243</v>
      </c>
      <c r="DA65" s="147">
        <f>VLOOKUP($G$5,$AU$3:$BK$65,17,FALSE)</f>
        <v>279</v>
      </c>
      <c r="DB65" s="147"/>
      <c r="DC65" s="147">
        <f>VLOOKUP($G$5,$AU$3:$BK$65,9,FALSE)</f>
        <v>71</v>
      </c>
      <c r="DD65" s="148">
        <f>VLOOKUP($G$5,$AU$3:$BK$65,10,FALSE)</f>
        <v>4.3250000000000002</v>
      </c>
      <c r="DE65" s="147"/>
      <c r="DF65" s="147"/>
      <c r="DG65" s="149">
        <f>VLOOKUP($G$5,$AU$3:$BZ$65,19,FALSE)</f>
        <v>0</v>
      </c>
      <c r="DH65" s="149">
        <f>VLOOKUP($G$5,$AU$3:$BZ$65,20,FALSE)</f>
        <v>0.67466666666666664</v>
      </c>
      <c r="DI65" s="149">
        <f>VLOOKUP($G$5,$AU$3:$BZ$65,21,FALSE)</f>
        <v>0.69828571428571418</v>
      </c>
      <c r="DJ65" s="149">
        <f>VLOOKUP($G$5,$AU$3:$BZ$65,22,FALSE)</f>
        <v>0</v>
      </c>
      <c r="DK65" s="149">
        <f>VLOOKUP($G$5,$AU$3:$BZ$65,23,FALSE)</f>
        <v>0.64280000000000004</v>
      </c>
      <c r="DL65" s="149">
        <f>VLOOKUP($G$5,$AU$3:$BZ$65,24,FALSE)</f>
        <v>0.62158333333333338</v>
      </c>
      <c r="DM65" s="149">
        <f>VLOOKUP($G$5,$AU$3:$BZ$65,25,FALSE)</f>
        <v>0.60884615384615381</v>
      </c>
      <c r="DN65" s="149">
        <f>VLOOKUP($G$5,$AU$3:$BZ$65,26,FALSE)</f>
        <v>0.84833333333333327</v>
      </c>
      <c r="DO65" s="149">
        <f>VLOOKUP($G$5,$AU$3:$BZ$65,27,FALSE)</f>
        <v>0.81780000000000008</v>
      </c>
      <c r="DP65" s="149">
        <f>VLOOKUP($G$5,$AU$3:$BZ$65,28,FALSE)</f>
        <v>0.76176923076923075</v>
      </c>
      <c r="DQ65" s="149">
        <f>VLOOKUP($G$5,$AU$3:$BZ$65,29,FALSE)</f>
        <v>0.76460000000000006</v>
      </c>
      <c r="DR65" s="149">
        <f>VLOOKUP($G$5,$AU$3:$BZ$65,30,FALSE)</f>
        <v>0.7505545454545457</v>
      </c>
      <c r="DS65" s="149">
        <f>VLOOKUP($G$5,$AU$3:$BZ$65,31,FALSE)</f>
        <v>0.72037323943662002</v>
      </c>
      <c r="DT65" s="150">
        <f>VLOOKUP($G$5,$AU$3:$BZ$65,32,FALSE)</f>
        <v>0.69635000000000002</v>
      </c>
    </row>
    <row r="66" spans="2:134" ht="15" hidden="1" customHeight="1" thickBot="1">
      <c r="B66" s="35" t="s">
        <v>126</v>
      </c>
      <c r="C66" s="36"/>
      <c r="D66" s="36"/>
      <c r="E66" s="36"/>
      <c r="F66" s="36"/>
      <c r="G66" s="37"/>
      <c r="CW66" s="151">
        <f>VLOOKUP($G$5,$AU$3:$BL$65,18,FALSE)</f>
        <v>41</v>
      </c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152"/>
      <c r="DU66" s="73"/>
    </row>
    <row r="67" spans="2:134" ht="15" hidden="1" customHeight="1">
      <c r="B67" s="23" t="s">
        <v>127</v>
      </c>
      <c r="CW67" s="153" t="s">
        <v>184</v>
      </c>
      <c r="CX67" s="154" t="s">
        <v>185</v>
      </c>
      <c r="CY67" s="154" t="s">
        <v>186</v>
      </c>
      <c r="CZ67" s="154" t="s">
        <v>187</v>
      </c>
      <c r="DA67" s="154" t="s">
        <v>188</v>
      </c>
      <c r="DB67" s="154"/>
      <c r="DC67" s="154" t="s">
        <v>185</v>
      </c>
      <c r="DD67" s="154" t="s">
        <v>206</v>
      </c>
      <c r="DE67" s="154"/>
      <c r="DF67" s="154"/>
      <c r="DG67" s="154">
        <v>1</v>
      </c>
      <c r="DH67" s="154">
        <v>2</v>
      </c>
      <c r="DI67" s="154">
        <v>3</v>
      </c>
      <c r="DJ67" s="154">
        <v>4</v>
      </c>
      <c r="DK67" s="154">
        <v>5</v>
      </c>
      <c r="DL67" s="154">
        <v>6</v>
      </c>
      <c r="DM67" s="154">
        <v>7</v>
      </c>
      <c r="DN67" s="154">
        <v>1</v>
      </c>
      <c r="DO67" s="154">
        <v>2</v>
      </c>
      <c r="DP67" s="154">
        <v>3</v>
      </c>
      <c r="DQ67" s="154">
        <v>4</v>
      </c>
      <c r="DR67" s="154">
        <v>5</v>
      </c>
      <c r="DS67" s="154">
        <v>6</v>
      </c>
      <c r="DT67" s="155">
        <v>7</v>
      </c>
    </row>
    <row r="68" spans="2:134" ht="15" hidden="1" customHeight="1">
      <c r="B68" s="23" t="s">
        <v>128</v>
      </c>
      <c r="CW68" s="5">
        <f>VLOOKUP($G$5,$CA$3:$CL$64,2,FALSE)</f>
        <v>18.663716814159294</v>
      </c>
      <c r="CX68" s="5">
        <f>VLOOKUP($G$5,$CA$3:$CL$64,3,FALSE)</f>
        <v>34.690265486725664</v>
      </c>
      <c r="CY68" s="5">
        <f>VLOOKUP($G$5,$CA$3:$CL$64,4,FALSE)</f>
        <v>12.513274336283185</v>
      </c>
      <c r="CZ68" s="5">
        <f>VLOOKUP($G$5,$CA$3:$CL$64,5,FALSE)</f>
        <v>13.380530973451327</v>
      </c>
      <c r="DA68" s="5">
        <f>VLOOKUP($G$5,$CA$3:$CL$64,6,FALSE)</f>
        <v>13.63716814159292</v>
      </c>
      <c r="DB68" s="5">
        <f>VLOOKUP($G$5,$CA$3:$CL$64,7,FALSE)</f>
        <v>16.053097345132745</v>
      </c>
      <c r="DC68" s="5">
        <f>VLOOKUP($G$5,$CA$3:$CL$64,8,FALSE)</f>
        <v>12.212389380530974</v>
      </c>
      <c r="DD68" s="5">
        <f>VLOOKUP($G$5,$CA$3:$CL$64,9,FALSE)</f>
        <v>23.238938053097346</v>
      </c>
      <c r="DE68" s="5">
        <f>VLOOKUP($G$5,$CA$3:$CL$64,10,FALSE)</f>
        <v>27.973451327433629</v>
      </c>
      <c r="DF68" s="5">
        <f>VLOOKUP($G$5,$CA$3:$CL$64,11,FALSE)</f>
        <v>18.221238938053098</v>
      </c>
      <c r="DG68" s="5">
        <f>VLOOKUP($G$5,$CA$3:$CL$64,12,FALSE)</f>
        <v>13.902654867256636</v>
      </c>
    </row>
    <row r="69" spans="2:134" ht="15" hidden="1" customHeight="1">
      <c r="CV69" s="5">
        <f>($CW$65-(($DA$77-1)*(2.15+(0.001*($DA$77-1)))))*((0.0028*$DK$77)+1)-((0.0029*0)*$CW$65)</f>
        <v>122.149</v>
      </c>
    </row>
    <row r="70" spans="2:134" ht="15" customHeight="1"/>
    <row r="71" spans="2:134">
      <c r="B71" s="249" t="s">
        <v>12</v>
      </c>
      <c r="C71" s="249"/>
      <c r="D71" s="249"/>
      <c r="E71" s="249"/>
      <c r="F71" s="249"/>
      <c r="G71" s="249"/>
      <c r="H71" s="249"/>
      <c r="I71" s="249"/>
      <c r="J71" s="249"/>
      <c r="K71" s="249"/>
      <c r="L71" s="249"/>
      <c r="M71" s="249"/>
      <c r="AU71" s="4" t="s">
        <v>37</v>
      </c>
      <c r="AV71" s="4" t="s">
        <v>3</v>
      </c>
      <c r="AW71" s="4" t="s">
        <v>5</v>
      </c>
      <c r="AX71" s="4" t="s">
        <v>35</v>
      </c>
      <c r="AY71" s="4" t="s">
        <v>36</v>
      </c>
      <c r="AZ71" s="4" t="s">
        <v>8</v>
      </c>
      <c r="BA71" s="4" t="s">
        <v>90</v>
      </c>
      <c r="BB71" s="4" t="s">
        <v>91</v>
      </c>
    </row>
    <row r="72" spans="2:134" ht="13.5" thickBot="1">
      <c r="B72" s="249"/>
      <c r="C72" s="249"/>
      <c r="D72" s="249"/>
      <c r="E72" s="249"/>
      <c r="F72" s="249"/>
      <c r="G72" s="249"/>
      <c r="H72" s="249"/>
      <c r="I72" s="249"/>
      <c r="J72" s="249"/>
      <c r="K72" s="249"/>
      <c r="L72" s="249"/>
      <c r="M72" s="249"/>
      <c r="Q72" s="87"/>
      <c r="R72" s="87"/>
      <c r="S72" s="87"/>
      <c r="T72" s="87"/>
      <c r="U72" s="87"/>
      <c r="V72" s="87"/>
      <c r="AU72" s="4" t="s">
        <v>38</v>
      </c>
      <c r="AV72" s="4">
        <v>965</v>
      </c>
      <c r="AW72" s="4">
        <v>545</v>
      </c>
      <c r="AX72" s="4">
        <v>349</v>
      </c>
      <c r="AY72" s="4">
        <v>440</v>
      </c>
      <c r="AZ72" s="4">
        <v>760</v>
      </c>
      <c r="BA72" s="4">
        <v>20</v>
      </c>
      <c r="BB72" s="4">
        <v>-20</v>
      </c>
    </row>
    <row r="73" spans="2:134" ht="14.25" thickTop="1" thickBot="1">
      <c r="CT73" s="254" t="s">
        <v>228</v>
      </c>
      <c r="CU73" s="74"/>
      <c r="CV73" s="74"/>
      <c r="CW73" s="74"/>
      <c r="CX73" s="74"/>
      <c r="CY73" s="74"/>
      <c r="CZ73" s="74"/>
      <c r="DA73" s="74"/>
      <c r="DB73" s="74"/>
      <c r="DC73" s="74"/>
      <c r="DD73" s="74"/>
      <c r="DE73" s="74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5"/>
    </row>
    <row r="74" spans="2:134" ht="13.5" thickBot="1">
      <c r="B74" s="251" t="s">
        <v>9</v>
      </c>
      <c r="C74" s="251"/>
      <c r="D74" s="251"/>
      <c r="E74" s="1">
        <v>0</v>
      </c>
      <c r="G74" s="250" t="s">
        <v>41</v>
      </c>
      <c r="H74" s="250"/>
      <c r="I74" s="250"/>
      <c r="J74" s="250"/>
      <c r="K74" s="250"/>
      <c r="L74" s="250"/>
      <c r="M74" s="250"/>
      <c r="CT74" s="255"/>
      <c r="CU74" s="76"/>
      <c r="CV74" s="264" t="s">
        <v>201</v>
      </c>
      <c r="CW74" s="265"/>
      <c r="CX74" s="265"/>
      <c r="CY74" s="265" t="str">
        <f>G74</f>
        <v>A1-Ring</v>
      </c>
      <c r="CZ74" s="265"/>
      <c r="DA74" s="265"/>
      <c r="DB74" s="265"/>
      <c r="DC74" s="265"/>
      <c r="DD74" s="265"/>
      <c r="DE74" s="265"/>
      <c r="DF74" s="265"/>
      <c r="DG74" s="265"/>
      <c r="DH74" s="265"/>
      <c r="DI74" s="268"/>
      <c r="DJ74" s="76"/>
      <c r="DK74" s="223" t="s">
        <v>202</v>
      </c>
      <c r="DL74" s="224"/>
      <c r="DM74" s="224"/>
      <c r="DN74" s="225">
        <f>DC65</f>
        <v>71</v>
      </c>
      <c r="DO74" s="225"/>
      <c r="DP74" s="225"/>
      <c r="DQ74" s="225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7"/>
    </row>
    <row r="75" spans="2:134" ht="13.5" thickBot="1">
      <c r="G75" s="250"/>
      <c r="H75" s="250"/>
      <c r="I75" s="250"/>
      <c r="J75" s="250"/>
      <c r="K75" s="250"/>
      <c r="L75" s="250"/>
      <c r="M75" s="250"/>
      <c r="CT75" s="255"/>
      <c r="CU75" s="63"/>
      <c r="CV75" s="266"/>
      <c r="CW75" s="267"/>
      <c r="CX75" s="267"/>
      <c r="CY75" s="267"/>
      <c r="CZ75" s="267"/>
      <c r="DA75" s="267"/>
      <c r="DB75" s="267"/>
      <c r="DC75" s="267"/>
      <c r="DD75" s="267"/>
      <c r="DE75" s="267"/>
      <c r="DF75" s="267"/>
      <c r="DG75" s="267"/>
      <c r="DH75" s="267"/>
      <c r="DI75" s="269"/>
      <c r="DJ75" s="63"/>
      <c r="DK75" s="224"/>
      <c r="DL75" s="224"/>
      <c r="DM75" s="224"/>
      <c r="DN75" s="225"/>
      <c r="DO75" s="225"/>
      <c r="DP75" s="225"/>
      <c r="DQ75" s="225"/>
      <c r="DR75" s="63"/>
      <c r="DS75" s="63"/>
      <c r="DT75" s="63"/>
      <c r="DU75" s="63"/>
      <c r="DV75" s="63"/>
      <c r="DW75" s="63"/>
      <c r="DX75" s="63"/>
      <c r="DY75" s="63"/>
      <c r="DZ75" s="63"/>
      <c r="EA75" s="63"/>
      <c r="EB75" s="63"/>
      <c r="EC75" s="63"/>
      <c r="ED75" s="77"/>
    </row>
    <row r="76" spans="2:134" ht="13.5" thickBot="1">
      <c r="B76" s="251" t="s">
        <v>11</v>
      </c>
      <c r="C76" s="251"/>
      <c r="D76" s="251"/>
      <c r="E76" s="1">
        <v>0</v>
      </c>
      <c r="G76" s="122"/>
      <c r="I76" s="121"/>
      <c r="CT76" s="255"/>
      <c r="CU76" s="63"/>
      <c r="CV76" s="63"/>
      <c r="CW76" s="63"/>
      <c r="CX76" s="63"/>
      <c r="CY76" s="63"/>
      <c r="CZ76" s="63"/>
      <c r="DA76" s="63"/>
      <c r="DB76" s="63"/>
      <c r="DC76" s="63"/>
      <c r="DD76" s="63"/>
      <c r="DE76" s="63"/>
      <c r="DF76" s="63"/>
      <c r="DG76" s="63"/>
      <c r="DH76" s="63"/>
      <c r="DI76" s="63"/>
      <c r="DJ76" s="63"/>
      <c r="DK76" s="63"/>
      <c r="DL76" s="63"/>
      <c r="DM76" s="63"/>
      <c r="DN76" s="63"/>
      <c r="DO76" s="63"/>
      <c r="DP76" s="63"/>
      <c r="DQ76" s="63"/>
      <c r="DR76" s="63"/>
      <c r="DS76" s="63"/>
      <c r="DT76" s="63"/>
      <c r="DU76" s="63"/>
      <c r="DV76" s="63"/>
      <c r="DW76" s="63"/>
      <c r="DX76" s="63"/>
      <c r="DY76" s="63"/>
      <c r="DZ76" s="63"/>
      <c r="EA76" s="63"/>
      <c r="EB76" s="63"/>
      <c r="EC76" s="63"/>
      <c r="ED76" s="77"/>
    </row>
    <row r="77" spans="2:134" ht="13.5" customHeight="1" thickBot="1">
      <c r="G77" s="6"/>
      <c r="H77" s="6" t="s">
        <v>3</v>
      </c>
      <c r="I77" s="6" t="s">
        <v>5</v>
      </c>
      <c r="J77" s="6" t="s">
        <v>35</v>
      </c>
      <c r="K77" s="6" t="s">
        <v>36</v>
      </c>
      <c r="L77" s="6" t="s">
        <v>101</v>
      </c>
      <c r="M77" s="128" t="s">
        <v>286</v>
      </c>
      <c r="N77" s="7"/>
      <c r="CT77" s="255"/>
      <c r="CU77" s="63"/>
      <c r="CV77" s="205" t="s">
        <v>203</v>
      </c>
      <c r="CW77" s="206"/>
      <c r="CX77" s="206"/>
      <c r="CY77" s="206"/>
      <c r="CZ77" s="206"/>
      <c r="DA77" s="203">
        <v>0</v>
      </c>
      <c r="DB77" s="203"/>
      <c r="DC77" s="204"/>
      <c r="DD77" s="63"/>
      <c r="DE77" s="63"/>
      <c r="DF77" s="205" t="s">
        <v>204</v>
      </c>
      <c r="DG77" s="206"/>
      <c r="DH77" s="206"/>
      <c r="DI77" s="206"/>
      <c r="DJ77" s="206"/>
      <c r="DK77" s="203">
        <v>0</v>
      </c>
      <c r="DL77" s="203"/>
      <c r="DM77" s="204"/>
      <c r="DN77" s="63"/>
      <c r="DO77" s="63"/>
      <c r="DP77" s="205" t="s">
        <v>205</v>
      </c>
      <c r="DQ77" s="206"/>
      <c r="DR77" s="206"/>
      <c r="DS77" s="206"/>
      <c r="DT77" s="206"/>
      <c r="DU77" s="203">
        <v>0</v>
      </c>
      <c r="DV77" s="203"/>
      <c r="DW77" s="204"/>
      <c r="DX77" s="63"/>
      <c r="DY77" s="63"/>
      <c r="DZ77" s="63"/>
      <c r="EA77" s="63"/>
      <c r="EB77" s="63"/>
      <c r="EC77" s="63"/>
      <c r="ED77" s="77"/>
    </row>
    <row r="78" spans="2:134">
      <c r="B78" s="251" t="s">
        <v>10</v>
      </c>
      <c r="C78" s="251"/>
      <c r="D78" s="251"/>
      <c r="E78" s="8">
        <f>135-(0.1*E74)-(0.3*E76)</f>
        <v>135</v>
      </c>
      <c r="G78" s="6" t="s">
        <v>100</v>
      </c>
      <c r="H78" s="125">
        <f>F81</f>
        <v>355.75581395348837</v>
      </c>
      <c r="I78" s="126">
        <f>F82</f>
        <v>864</v>
      </c>
      <c r="J78" s="126">
        <f>F83</f>
        <v>642.22093023255809</v>
      </c>
      <c r="K78" s="126">
        <f>F84</f>
        <v>661.39534883720933</v>
      </c>
      <c r="L78" s="126">
        <f>F85</f>
        <v>648.47674418604652</v>
      </c>
      <c r="M78" s="128">
        <f>IF(N82="sec",VLOOKUP($G$74,$CU$3:$DJ$69,9,FALSE),VLOOKUP($G$74,$CU$3:$DJ$69,16,FALSE))</f>
        <v>86</v>
      </c>
      <c r="N78" s="7"/>
      <c r="CT78" s="255"/>
      <c r="CU78" s="63"/>
      <c r="CV78" s="63"/>
      <c r="CW78" s="63"/>
      <c r="CX78" s="63"/>
      <c r="CY78" s="63"/>
      <c r="CZ78" s="63"/>
      <c r="DA78" s="63"/>
      <c r="DB78" s="63"/>
      <c r="DC78" s="63"/>
      <c r="DD78" s="63"/>
      <c r="DE78" s="63"/>
      <c r="DF78" s="63"/>
      <c r="DG78" s="63"/>
      <c r="DH78" s="63"/>
      <c r="DI78" s="63"/>
      <c r="DJ78" s="63"/>
      <c r="DK78" s="63"/>
      <c r="DL78" s="63"/>
      <c r="DM78" s="63"/>
      <c r="DN78" s="63"/>
      <c r="DO78" s="63"/>
      <c r="DP78" s="63"/>
      <c r="DQ78" s="63"/>
      <c r="DR78" s="63"/>
      <c r="DS78" s="63"/>
      <c r="DT78" s="63"/>
      <c r="DU78" s="63"/>
      <c r="DV78" s="63"/>
      <c r="DW78" s="63"/>
      <c r="DX78" s="63"/>
      <c r="DY78" s="63"/>
      <c r="DZ78" s="63"/>
      <c r="EA78" s="63"/>
      <c r="EB78" s="63"/>
      <c r="EC78" s="63"/>
      <c r="ED78" s="77"/>
    </row>
    <row r="79" spans="2:134" ht="13.5" thickBot="1">
      <c r="E79" s="7">
        <f>E78/2</f>
        <v>67.5</v>
      </c>
      <c r="G79" s="5" t="s">
        <v>102</v>
      </c>
      <c r="H79" s="2"/>
      <c r="I79" s="3"/>
      <c r="J79" s="3"/>
      <c r="K79" s="3"/>
      <c r="L79" s="3"/>
      <c r="CT79" s="255"/>
      <c r="CU79" s="63"/>
      <c r="CV79" s="63"/>
      <c r="CW79" s="63"/>
      <c r="CX79" s="63"/>
      <c r="CY79" s="63"/>
      <c r="CZ79" s="63"/>
      <c r="DA79" s="63"/>
      <c r="DB79" s="63"/>
      <c r="DC79" s="63"/>
      <c r="DD79" s="63"/>
      <c r="DE79" s="63"/>
      <c r="DF79" s="63"/>
      <c r="DG79" s="63"/>
      <c r="DH79" s="63"/>
      <c r="DI79" s="63"/>
      <c r="DJ79" s="63"/>
      <c r="DK79" s="63"/>
      <c r="DL79" s="63"/>
      <c r="DM79" s="63"/>
      <c r="DN79" s="63"/>
      <c r="DO79" s="63"/>
      <c r="DP79" s="63"/>
      <c r="DQ79" s="63"/>
      <c r="DR79" s="63"/>
      <c r="DS79" s="63"/>
      <c r="DT79" s="63"/>
      <c r="DU79" s="63"/>
      <c r="DV79" s="63"/>
      <c r="DW79" s="63"/>
      <c r="DX79" s="63"/>
      <c r="DY79" s="63"/>
      <c r="DZ79" s="63"/>
      <c r="EA79" s="63"/>
      <c r="EB79" s="63"/>
      <c r="EC79" s="63"/>
      <c r="ED79" s="77"/>
    </row>
    <row r="80" spans="2:134" ht="13.5" thickBot="1">
      <c r="CT80" s="255"/>
      <c r="CU80" s="78"/>
      <c r="CV80" s="210" t="s">
        <v>194</v>
      </c>
      <c r="CW80" s="211"/>
      <c r="CX80" s="211"/>
      <c r="CY80" s="207"/>
      <c r="CZ80" s="60"/>
      <c r="DA80" s="210" t="s">
        <v>195</v>
      </c>
      <c r="DB80" s="211"/>
      <c r="DC80" s="211"/>
      <c r="DD80" s="207"/>
      <c r="DE80" s="60"/>
      <c r="DF80" s="210" t="s">
        <v>196</v>
      </c>
      <c r="DG80" s="211"/>
      <c r="DH80" s="211"/>
      <c r="DI80" s="207"/>
      <c r="DJ80" s="60"/>
      <c r="DK80" s="210" t="s">
        <v>197</v>
      </c>
      <c r="DL80" s="211"/>
      <c r="DM80" s="211"/>
      <c r="DN80" s="207"/>
      <c r="DO80" s="60"/>
      <c r="DP80" s="210" t="s">
        <v>198</v>
      </c>
      <c r="DQ80" s="211"/>
      <c r="DR80" s="211"/>
      <c r="DS80" s="207"/>
      <c r="DT80" s="60"/>
      <c r="DU80" s="210" t="s">
        <v>199</v>
      </c>
      <c r="DV80" s="211"/>
      <c r="DW80" s="211"/>
      <c r="DX80" s="207"/>
      <c r="DY80" s="60"/>
      <c r="DZ80" s="210" t="s">
        <v>200</v>
      </c>
      <c r="EA80" s="211"/>
      <c r="EB80" s="211"/>
      <c r="EC80" s="207"/>
      <c r="ED80" s="77"/>
    </row>
    <row r="81" spans="2:134" ht="13.5" thickBot="1">
      <c r="B81" s="245" t="s">
        <v>0</v>
      </c>
      <c r="C81" s="246"/>
      <c r="D81" s="30">
        <v>1</v>
      </c>
      <c r="E81" s="39" t="s">
        <v>3</v>
      </c>
      <c r="F81" s="40">
        <f>D13</f>
        <v>355.75581395348837</v>
      </c>
      <c r="G81" s="247" t="s">
        <v>146</v>
      </c>
      <c r="H81" s="247"/>
      <c r="I81" s="247"/>
      <c r="J81" s="247"/>
      <c r="K81" s="248"/>
      <c r="M81" s="166" t="s">
        <v>281</v>
      </c>
      <c r="N81" s="167"/>
      <c r="CT81" s="255"/>
      <c r="CU81" s="78"/>
      <c r="CV81" s="212"/>
      <c r="CW81" s="213"/>
      <c r="CX81" s="213"/>
      <c r="CY81" s="209"/>
      <c r="CZ81" s="61"/>
      <c r="DA81" s="212"/>
      <c r="DB81" s="213"/>
      <c r="DC81" s="213"/>
      <c r="DD81" s="209"/>
      <c r="DE81" s="61"/>
      <c r="DF81" s="212"/>
      <c r="DG81" s="213"/>
      <c r="DH81" s="213"/>
      <c r="DI81" s="209"/>
      <c r="DJ81" s="61"/>
      <c r="DK81" s="212"/>
      <c r="DL81" s="213"/>
      <c r="DM81" s="213"/>
      <c r="DN81" s="209"/>
      <c r="DO81" s="61"/>
      <c r="DP81" s="212"/>
      <c r="DQ81" s="213"/>
      <c r="DR81" s="213"/>
      <c r="DS81" s="209"/>
      <c r="DT81" s="61"/>
      <c r="DU81" s="212"/>
      <c r="DV81" s="213"/>
      <c r="DW81" s="213"/>
      <c r="DX81" s="209"/>
      <c r="DY81" s="61"/>
      <c r="DZ81" s="212"/>
      <c r="EA81" s="213"/>
      <c r="EB81" s="213"/>
      <c r="EC81" s="209"/>
      <c r="ED81" s="77"/>
    </row>
    <row r="82" spans="2:134" ht="13.5" thickBot="1">
      <c r="B82" s="38"/>
      <c r="C82" s="38"/>
      <c r="D82" s="38"/>
      <c r="E82" s="41" t="s">
        <v>5</v>
      </c>
      <c r="F82" s="42">
        <f>F13</f>
        <v>864</v>
      </c>
      <c r="G82" s="217" t="s">
        <v>146</v>
      </c>
      <c r="H82" s="217"/>
      <c r="I82" s="217"/>
      <c r="J82" s="217"/>
      <c r="K82" s="218"/>
      <c r="M82" s="55" t="s">
        <v>282</v>
      </c>
      <c r="N82" s="131" t="s">
        <v>262</v>
      </c>
      <c r="CT82" s="255"/>
      <c r="CU82" s="216" t="s">
        <v>190</v>
      </c>
      <c r="CV82" s="199">
        <f>($CW$65-(($DA$77-1)*(2.15+(0.001*($DA$77-1)))))*(1+((0.002085+((0.000043+(0.000001*($DA$77*((($DA$77-10)/10)*0.5))))*$DA$77))*$DK$77))-((0.0029*0)*$CW$65)</f>
        <v>122.149</v>
      </c>
      <c r="CW82" s="200"/>
      <c r="CX82" s="201">
        <f>CV82/$DD$65</f>
        <v>28.242543352601157</v>
      </c>
      <c r="CY82" s="202"/>
      <c r="CZ82" s="62"/>
      <c r="DA82" s="199">
        <f>($CW$65-(($DA$77-1)*(2.15+(0.001*($DA$77-1)))))*(1+((0.002085+((0.000043+(0.000001*($DA$77*((($DA$77-10)/10)*0.5))))*$DA$77))*$DK$77))-((0.0029*10)*$CW$65)</f>
        <v>118.669</v>
      </c>
      <c r="DB82" s="200"/>
      <c r="DC82" s="201">
        <f>DA82/$DD$65</f>
        <v>27.437919075144507</v>
      </c>
      <c r="DD82" s="202"/>
      <c r="DE82" s="62"/>
      <c r="DF82" s="199">
        <f>($CW$65-(($DA$77-1)*(2.15+(0.001*($DA$77-1)))))*(1+((0.002085+((0.000043+(0.000001*($DA$77*((($DA$77-10)/10)*0.5))))*$DA$77))*$DK$77))-((0.0029*20)*$CW$65)</f>
        <v>115.18900000000001</v>
      </c>
      <c r="DG82" s="200"/>
      <c r="DH82" s="201">
        <f>DF82/$DD$65</f>
        <v>26.633294797687864</v>
      </c>
      <c r="DI82" s="202"/>
      <c r="DJ82" s="62"/>
      <c r="DK82" s="199">
        <f>($CW$65-(($DA$77-1)*(2.15+(0.001*($DA$77-1)))))*(1+((0.002085+((0.000043+(0.000001*($DA$77*((($DA$77-10)/10)*0.5))))*$DA$77))*$DK$77))-((0.0029*30)*$CW$65)</f>
        <v>111.709</v>
      </c>
      <c r="DL82" s="200"/>
      <c r="DM82" s="201">
        <f>DK82/$DD$65</f>
        <v>25.828670520231213</v>
      </c>
      <c r="DN82" s="202"/>
      <c r="DO82" s="62"/>
      <c r="DP82" s="199">
        <f>($CW$65-(($DA$77-1)*(2.15+(0.001*($DA$77-1)))))*(1+((0.002085+((0.000043+(0.000001*($DA$77*((($DA$77-10)/10)*0.5))))*$DA$77))*$DK$77))-((0.0029*40)*$CW$65)</f>
        <v>108.229</v>
      </c>
      <c r="DQ82" s="200"/>
      <c r="DR82" s="201">
        <f>DP82/$DD$65</f>
        <v>25.024046242774567</v>
      </c>
      <c r="DS82" s="202"/>
      <c r="DT82" s="62"/>
      <c r="DU82" s="199">
        <f>($CW$65-(($DA$77-1)*(2.15+(0.001*($DA$77-1)))))*(1+((0.002085+((0.000043+(0.000001*($DA$77*((($DA$77-10)/10)*0.5))))*$DA$77))*$DK$77))-((0.0029*60)*$CW$65)</f>
        <v>101.26900000000001</v>
      </c>
      <c r="DV82" s="200"/>
      <c r="DW82" s="201">
        <f>DU82/$DD$65</f>
        <v>23.41479768786127</v>
      </c>
      <c r="DX82" s="202"/>
      <c r="DY82" s="62"/>
      <c r="DZ82" s="199">
        <f>($CW$65-(($DA$77-1)*(2.15+(0.001*($DA$77-1)))))*(1+((0.002085+((0.000043+(0.000001*($DA$77*((($DA$77-10)/10)*0.5))))*$DA$77))*$DK$77))-((0.0029*80)*$CW$65)</f>
        <v>94.308999999999997</v>
      </c>
      <c r="EA82" s="200"/>
      <c r="EB82" s="201">
        <f>DZ82/$DD$65</f>
        <v>21.805549132947977</v>
      </c>
      <c r="EC82" s="202"/>
      <c r="ED82" s="77"/>
    </row>
    <row r="83" spans="2:134" ht="13.5" thickBot="1">
      <c r="B83" s="38"/>
      <c r="C83" s="38"/>
      <c r="D83" s="38"/>
      <c r="E83" s="43" t="s">
        <v>35</v>
      </c>
      <c r="F83" s="44">
        <f>H13</f>
        <v>642.22093023255809</v>
      </c>
      <c r="G83" s="219" t="s">
        <v>146</v>
      </c>
      <c r="H83" s="219"/>
      <c r="I83" s="219"/>
      <c r="J83" s="219"/>
      <c r="K83" s="220"/>
      <c r="M83" s="57" t="s">
        <v>283</v>
      </c>
      <c r="N83" s="132">
        <v>0</v>
      </c>
      <c r="CT83" s="255"/>
      <c r="CU83" s="208"/>
      <c r="CV83" s="58">
        <f>CV82*1.35</f>
        <v>164.90115</v>
      </c>
      <c r="CW83" s="64">
        <f>CV83/$DD$65</f>
        <v>38.127433526011558</v>
      </c>
      <c r="CX83" s="65">
        <f>CV82*1.09</f>
        <v>133.14241000000001</v>
      </c>
      <c r="CY83" s="66">
        <f>CX83/$DD$65</f>
        <v>30.784372254335263</v>
      </c>
      <c r="CZ83" s="67"/>
      <c r="DA83" s="68">
        <f>DA82*1.35</f>
        <v>160.20314999999999</v>
      </c>
      <c r="DB83" s="64">
        <f>DA83/$DD$65</f>
        <v>37.041190751445086</v>
      </c>
      <c r="DC83" s="65">
        <f>DA82*1.09</f>
        <v>129.34921</v>
      </c>
      <c r="DD83" s="66">
        <f>DC83/$DD$65</f>
        <v>29.907331791907513</v>
      </c>
      <c r="DE83" s="67"/>
      <c r="DF83" s="68">
        <f>DF82*1.35</f>
        <v>155.50515000000001</v>
      </c>
      <c r="DG83" s="64">
        <f>DF83/$DD$65</f>
        <v>35.954947976878614</v>
      </c>
      <c r="DH83" s="65">
        <f>DF82*1.09</f>
        <v>125.55601000000001</v>
      </c>
      <c r="DI83" s="66">
        <f>DH83/$DD$65</f>
        <v>29.03029132947977</v>
      </c>
      <c r="DJ83" s="67"/>
      <c r="DK83" s="68">
        <f>DK82*1.35</f>
        <v>150.80715000000001</v>
      </c>
      <c r="DL83" s="64">
        <f>DK83/$DD$65</f>
        <v>34.868705202312142</v>
      </c>
      <c r="DM83" s="65">
        <f>DK82*1.09</f>
        <v>121.76281000000002</v>
      </c>
      <c r="DN83" s="66">
        <f>DM83/$DD$65</f>
        <v>28.153250867052027</v>
      </c>
      <c r="DO83" s="67"/>
      <c r="DP83" s="68">
        <f>DP82*1.35</f>
        <v>146.10915</v>
      </c>
      <c r="DQ83" s="64">
        <f>DP83/$DD$65</f>
        <v>33.782462427745664</v>
      </c>
      <c r="DR83" s="65">
        <f>DP82*1.09</f>
        <v>117.96961</v>
      </c>
      <c r="DS83" s="66">
        <f>DR83/$DD$65</f>
        <v>27.276210404624276</v>
      </c>
      <c r="DT83" s="67"/>
      <c r="DU83" s="68">
        <f>DU82*1.35</f>
        <v>136.71315000000001</v>
      </c>
      <c r="DV83" s="64">
        <f>DU83/$DD$65</f>
        <v>31.60997687861272</v>
      </c>
      <c r="DW83" s="65">
        <f>DU82*1.09</f>
        <v>110.38321000000002</v>
      </c>
      <c r="DX83" s="66">
        <f>DW83/$DD$65</f>
        <v>25.52212947976879</v>
      </c>
      <c r="DY83" s="67"/>
      <c r="DZ83" s="68">
        <f>DZ82*1.35</f>
        <v>127.31715</v>
      </c>
      <c r="EA83" s="64">
        <f>DZ83/$DD$65</f>
        <v>29.437491329479766</v>
      </c>
      <c r="EB83" s="65">
        <f>DZ82*1.09</f>
        <v>102.79681000000001</v>
      </c>
      <c r="EC83" s="66">
        <f>EB83/$DD$65</f>
        <v>23.768048554913296</v>
      </c>
      <c r="ED83" s="77"/>
    </row>
    <row r="84" spans="2:134" ht="13.5" thickBot="1">
      <c r="B84" s="38"/>
      <c r="C84" s="38"/>
      <c r="D84" s="38"/>
      <c r="E84" s="41" t="s">
        <v>36</v>
      </c>
      <c r="F84" s="42">
        <f>J13</f>
        <v>661.39534883720933</v>
      </c>
      <c r="G84" s="217" t="s">
        <v>146</v>
      </c>
      <c r="H84" s="217"/>
      <c r="I84" s="217"/>
      <c r="J84" s="217"/>
      <c r="K84" s="218"/>
      <c r="CT84" s="255"/>
      <c r="CU84" s="209"/>
      <c r="CV84" s="59">
        <f>CV82*1.05</f>
        <v>128.25645</v>
      </c>
      <c r="CW84" s="69">
        <f>CV84/$DD$65</f>
        <v>29.654670520231214</v>
      </c>
      <c r="CX84" s="70"/>
      <c r="CY84" s="71"/>
      <c r="CZ84" s="67"/>
      <c r="DA84" s="72">
        <f>DA82*1.05</f>
        <v>124.60245</v>
      </c>
      <c r="DB84" s="69">
        <f>DA84/$DD$65</f>
        <v>28.809815028901735</v>
      </c>
      <c r="DC84" s="70"/>
      <c r="DD84" s="71"/>
      <c r="DE84" s="67"/>
      <c r="DF84" s="72">
        <f>DF82*1.05</f>
        <v>120.94845000000001</v>
      </c>
      <c r="DG84" s="69">
        <f>DF84/$DD$65</f>
        <v>27.964959537572255</v>
      </c>
      <c r="DH84" s="70"/>
      <c r="DI84" s="71"/>
      <c r="DJ84" s="67"/>
      <c r="DK84" s="72">
        <f>DK82*1.05</f>
        <v>117.29445000000001</v>
      </c>
      <c r="DL84" s="69">
        <f>DK84/$DD$65</f>
        <v>27.120104046242776</v>
      </c>
      <c r="DM84" s="70"/>
      <c r="DN84" s="71"/>
      <c r="DO84" s="67"/>
      <c r="DP84" s="72">
        <f>DP82*1.05</f>
        <v>113.64045</v>
      </c>
      <c r="DQ84" s="69">
        <f>DP84/$DD$65</f>
        <v>26.275248554913293</v>
      </c>
      <c r="DR84" s="70"/>
      <c r="DS84" s="71"/>
      <c r="DT84" s="67"/>
      <c r="DU84" s="72">
        <f>DU82*1.05</f>
        <v>106.33245000000001</v>
      </c>
      <c r="DV84" s="69">
        <f>DU84/$DD$65</f>
        <v>24.585537572254335</v>
      </c>
      <c r="DW84" s="70"/>
      <c r="DX84" s="71"/>
      <c r="DY84" s="67"/>
      <c r="DZ84" s="72">
        <f>DZ82*1.05</f>
        <v>99.024450000000002</v>
      </c>
      <c r="EA84" s="69">
        <f>DZ84/$DD$65</f>
        <v>22.895826589595377</v>
      </c>
      <c r="EB84" s="70"/>
      <c r="EC84" s="71"/>
      <c r="ED84" s="77"/>
    </row>
    <row r="85" spans="2:134" ht="13.5" thickBot="1">
      <c r="B85" s="38"/>
      <c r="C85" s="38"/>
      <c r="D85" s="38"/>
      <c r="E85" s="45" t="s">
        <v>8</v>
      </c>
      <c r="F85" s="46">
        <f>L13</f>
        <v>648.47674418604652</v>
      </c>
      <c r="G85" s="221" t="s">
        <v>146</v>
      </c>
      <c r="H85" s="221"/>
      <c r="I85" s="221"/>
      <c r="J85" s="221"/>
      <c r="K85" s="222"/>
      <c r="M85" s="166" t="s">
        <v>291</v>
      </c>
      <c r="N85" s="167"/>
      <c r="CT85" s="255"/>
      <c r="CU85" s="207" t="s">
        <v>189</v>
      </c>
      <c r="CV85" s="199">
        <f>CV82+$CW$66</f>
        <v>163.149</v>
      </c>
      <c r="CW85" s="200"/>
      <c r="CX85" s="201">
        <f>CV85/$DD$65</f>
        <v>37.72231213872832</v>
      </c>
      <c r="CY85" s="202"/>
      <c r="CZ85" s="78"/>
      <c r="DA85" s="199">
        <f>DA82+$CW$66</f>
        <v>159.66899999999998</v>
      </c>
      <c r="DB85" s="200"/>
      <c r="DC85" s="201">
        <f>DA85/$DD$65</f>
        <v>36.917687861271673</v>
      </c>
      <c r="DD85" s="202"/>
      <c r="DE85" s="78"/>
      <c r="DF85" s="199">
        <f>DF82+$CW$66</f>
        <v>156.18900000000002</v>
      </c>
      <c r="DG85" s="200"/>
      <c r="DH85" s="201">
        <f>DF85/$DD$65</f>
        <v>36.113063583815034</v>
      </c>
      <c r="DI85" s="202"/>
      <c r="DJ85" s="78"/>
      <c r="DK85" s="199">
        <f>DK82+$CW$66</f>
        <v>152.709</v>
      </c>
      <c r="DL85" s="200"/>
      <c r="DM85" s="201">
        <f>DK85/$DD$65</f>
        <v>35.30843930635838</v>
      </c>
      <c r="DN85" s="202"/>
      <c r="DO85" s="78"/>
      <c r="DP85" s="199">
        <f>DP82+$CW$66</f>
        <v>149.22899999999998</v>
      </c>
      <c r="DQ85" s="200"/>
      <c r="DR85" s="201">
        <f>DP85/$DD$65</f>
        <v>34.503815028901727</v>
      </c>
      <c r="DS85" s="202"/>
      <c r="DT85" s="78"/>
      <c r="DU85" s="199">
        <f>DU82+$CW$66</f>
        <v>142.26900000000001</v>
      </c>
      <c r="DV85" s="200"/>
      <c r="DW85" s="201">
        <f>DU85/$DD$65</f>
        <v>32.894566473988441</v>
      </c>
      <c r="DX85" s="202"/>
      <c r="DY85" s="78"/>
      <c r="DZ85" s="199">
        <f>DZ82+$CW$66</f>
        <v>135.309</v>
      </c>
      <c r="EA85" s="200"/>
      <c r="EB85" s="201">
        <f>DZ85/$DD$65</f>
        <v>31.285317919075144</v>
      </c>
      <c r="EC85" s="202"/>
      <c r="ED85" s="77"/>
    </row>
    <row r="86" spans="2:134" ht="13.5" thickBot="1">
      <c r="B86" s="251"/>
      <c r="C86" s="251"/>
      <c r="D86" s="251"/>
      <c r="M86" s="55" t="s">
        <v>282</v>
      </c>
      <c r="N86" s="131" t="s">
        <v>262</v>
      </c>
      <c r="CT86" s="255"/>
      <c r="CU86" s="208"/>
      <c r="CV86" s="68">
        <f>CV85*1.35</f>
        <v>220.25115000000002</v>
      </c>
      <c r="CW86" s="64">
        <f>CV86/$DD$65</f>
        <v>50.925121387283241</v>
      </c>
      <c r="CX86" s="65">
        <f>CV85*1.09</f>
        <v>177.83241000000001</v>
      </c>
      <c r="CY86" s="66">
        <f>CX86/$DD$65</f>
        <v>41.117320231213874</v>
      </c>
      <c r="CZ86" s="79"/>
      <c r="DA86" s="68">
        <f>DA85*1.35</f>
        <v>215.55314999999999</v>
      </c>
      <c r="DB86" s="64">
        <f>DA86/$DD$65</f>
        <v>49.838878612716755</v>
      </c>
      <c r="DC86" s="65">
        <f>DA85*1.09</f>
        <v>174.03921</v>
      </c>
      <c r="DD86" s="66">
        <f>DC86/$DD$65</f>
        <v>40.240279768786124</v>
      </c>
      <c r="DE86" s="79"/>
      <c r="DF86" s="68">
        <f>DF85*1.35</f>
        <v>210.85515000000004</v>
      </c>
      <c r="DG86" s="64">
        <f>DF86/$DD$65</f>
        <v>48.752635838150297</v>
      </c>
      <c r="DH86" s="65">
        <f>DF85*1.09</f>
        <v>170.24601000000004</v>
      </c>
      <c r="DI86" s="66">
        <f>DH86/$DD$65</f>
        <v>39.363239306358388</v>
      </c>
      <c r="DJ86" s="79"/>
      <c r="DK86" s="68">
        <f>DK85*1.35</f>
        <v>206.15715000000003</v>
      </c>
      <c r="DL86" s="64">
        <f>DK86/$DD$65</f>
        <v>47.666393063583818</v>
      </c>
      <c r="DM86" s="65">
        <f>DK85*1.09</f>
        <v>166.45281000000003</v>
      </c>
      <c r="DN86" s="66">
        <f>DM86/$DD$65</f>
        <v>38.486198843930637</v>
      </c>
      <c r="DO86" s="79"/>
      <c r="DP86" s="68">
        <f>DP85*1.35</f>
        <v>201.45914999999999</v>
      </c>
      <c r="DQ86" s="64">
        <f>DP86/$DD$65</f>
        <v>46.58015028901734</v>
      </c>
      <c r="DR86" s="65">
        <f>DP85*1.09</f>
        <v>162.65960999999999</v>
      </c>
      <c r="DS86" s="66">
        <f>DR86/$DD$65</f>
        <v>37.609158381502887</v>
      </c>
      <c r="DT86" s="79"/>
      <c r="DU86" s="68">
        <f>DU85*1.35</f>
        <v>192.06315000000001</v>
      </c>
      <c r="DV86" s="64">
        <f>DU86/$DD$65</f>
        <v>44.407664739884396</v>
      </c>
      <c r="DW86" s="65">
        <f>DU85*1.09</f>
        <v>155.07321000000002</v>
      </c>
      <c r="DX86" s="66">
        <f>DW86/$DD$65</f>
        <v>35.8550774566474</v>
      </c>
      <c r="DY86" s="79"/>
      <c r="DZ86" s="68">
        <f>DZ85*1.35</f>
        <v>182.66715000000002</v>
      </c>
      <c r="EA86" s="64">
        <f>DZ86/$DD$65</f>
        <v>42.235179190751445</v>
      </c>
      <c r="EB86" s="65">
        <f>DZ85*1.09</f>
        <v>147.48681000000002</v>
      </c>
      <c r="EC86" s="66">
        <f>EB86/$DD$65</f>
        <v>34.100996531791914</v>
      </c>
      <c r="ED86" s="77"/>
    </row>
    <row r="87" spans="2:134" ht="13.5" thickBot="1">
      <c r="B87" s="245" t="s">
        <v>0</v>
      </c>
      <c r="C87" s="246"/>
      <c r="D87" s="30">
        <v>2</v>
      </c>
      <c r="E87" s="39" t="s">
        <v>3</v>
      </c>
      <c r="F87" s="40">
        <f>D14</f>
        <v>423.25581395348837</v>
      </c>
      <c r="G87" s="247" t="s">
        <v>146</v>
      </c>
      <c r="H87" s="247"/>
      <c r="I87" s="247"/>
      <c r="J87" s="247"/>
      <c r="K87" s="248"/>
      <c r="M87" s="57" t="s">
        <v>283</v>
      </c>
      <c r="N87" s="132">
        <v>0</v>
      </c>
      <c r="CT87" s="255"/>
      <c r="CU87" s="209"/>
      <c r="CV87" s="72">
        <f>CV85*1.05</f>
        <v>171.30645000000001</v>
      </c>
      <c r="CW87" s="69">
        <f>CV87/$DD$65</f>
        <v>39.608427745664741</v>
      </c>
      <c r="CX87" s="70"/>
      <c r="CY87" s="71"/>
      <c r="CZ87" s="79"/>
      <c r="DA87" s="72">
        <f>DA85*1.05</f>
        <v>167.65244999999999</v>
      </c>
      <c r="DB87" s="69">
        <f>DA87/$DD$65</f>
        <v>38.763572254335259</v>
      </c>
      <c r="DC87" s="70"/>
      <c r="DD87" s="71"/>
      <c r="DE87" s="79"/>
      <c r="DF87" s="72">
        <f>DF85*1.05</f>
        <v>163.99845000000002</v>
      </c>
      <c r="DG87" s="69">
        <f>DF87/$DD$65</f>
        <v>37.918716763005783</v>
      </c>
      <c r="DH87" s="70"/>
      <c r="DI87" s="71"/>
      <c r="DJ87" s="79"/>
      <c r="DK87" s="72">
        <f>DK85*1.05</f>
        <v>160.34445000000002</v>
      </c>
      <c r="DL87" s="69">
        <f>DK87/$DD$65</f>
        <v>37.073861271676307</v>
      </c>
      <c r="DM87" s="70"/>
      <c r="DN87" s="71"/>
      <c r="DO87" s="79"/>
      <c r="DP87" s="72">
        <f>DP85*1.05</f>
        <v>156.69045</v>
      </c>
      <c r="DQ87" s="69">
        <f>DP87/$DD$65</f>
        <v>36.229005780346817</v>
      </c>
      <c r="DR87" s="70"/>
      <c r="DS87" s="71"/>
      <c r="DT87" s="79"/>
      <c r="DU87" s="72">
        <f>DU85*1.05</f>
        <v>149.38245000000001</v>
      </c>
      <c r="DV87" s="69">
        <f>DU87/$DD$65</f>
        <v>34.539294797687859</v>
      </c>
      <c r="DW87" s="70"/>
      <c r="DX87" s="71"/>
      <c r="DY87" s="79"/>
      <c r="DZ87" s="72">
        <f>DZ85*1.05</f>
        <v>142.07445000000001</v>
      </c>
      <c r="EA87" s="69">
        <f>DZ87/$DD$65</f>
        <v>32.8495838150289</v>
      </c>
      <c r="EB87" s="70"/>
      <c r="EC87" s="71"/>
      <c r="ED87" s="77"/>
    </row>
    <row r="88" spans="2:134" ht="13.5" thickBot="1">
      <c r="B88" s="38"/>
      <c r="C88" s="38"/>
      <c r="D88" s="38"/>
      <c r="E88" s="41" t="s">
        <v>5</v>
      </c>
      <c r="F88" s="42">
        <f>F14</f>
        <v>931.5</v>
      </c>
      <c r="G88" s="217" t="s">
        <v>146</v>
      </c>
      <c r="H88" s="217"/>
      <c r="I88" s="217"/>
      <c r="J88" s="217"/>
      <c r="K88" s="218"/>
      <c r="N88" s="130">
        <f>N87-N83</f>
        <v>0</v>
      </c>
      <c r="CT88" s="255"/>
      <c r="CU88" s="207" t="s">
        <v>191</v>
      </c>
      <c r="CV88" s="199">
        <f>CV85+$CW$66</f>
        <v>204.149</v>
      </c>
      <c r="CW88" s="200"/>
      <c r="CX88" s="201">
        <f>CV88/$DD$65</f>
        <v>47.202080924855487</v>
      </c>
      <c r="CY88" s="202"/>
      <c r="CZ88" s="78"/>
      <c r="DA88" s="199">
        <f>DA85+$CW$66</f>
        <v>200.66899999999998</v>
      </c>
      <c r="DB88" s="200"/>
      <c r="DC88" s="201">
        <f>DA88/$DD$65</f>
        <v>46.39745664739884</v>
      </c>
      <c r="DD88" s="202"/>
      <c r="DE88" s="78"/>
      <c r="DF88" s="199">
        <f>DF85+$CW$66</f>
        <v>197.18900000000002</v>
      </c>
      <c r="DG88" s="200"/>
      <c r="DH88" s="201">
        <f>DF88/$DD$65</f>
        <v>45.592832369942201</v>
      </c>
      <c r="DI88" s="202"/>
      <c r="DJ88" s="78"/>
      <c r="DK88" s="199">
        <f>DK85+$CW$66</f>
        <v>193.709</v>
      </c>
      <c r="DL88" s="200"/>
      <c r="DM88" s="201">
        <f>DK88/$DD$65</f>
        <v>44.788208092485547</v>
      </c>
      <c r="DN88" s="202"/>
      <c r="DO88" s="78"/>
      <c r="DP88" s="199">
        <f>DP85+$CW$66</f>
        <v>190.22899999999998</v>
      </c>
      <c r="DQ88" s="200"/>
      <c r="DR88" s="201">
        <f>DP88/$DD$65</f>
        <v>43.983583815028894</v>
      </c>
      <c r="DS88" s="202"/>
      <c r="DT88" s="78"/>
      <c r="DU88" s="199">
        <f>DU85+$CW$66</f>
        <v>183.26900000000001</v>
      </c>
      <c r="DV88" s="200"/>
      <c r="DW88" s="201">
        <f>DU88/$DD$65</f>
        <v>42.374335260115608</v>
      </c>
      <c r="DX88" s="202"/>
      <c r="DY88" s="78"/>
      <c r="DZ88" s="199">
        <f>DZ85+$CW$66</f>
        <v>176.309</v>
      </c>
      <c r="EA88" s="200"/>
      <c r="EB88" s="201">
        <f>DZ88/$DD$65</f>
        <v>40.765086705202307</v>
      </c>
      <c r="EC88" s="202"/>
      <c r="ED88" s="77"/>
    </row>
    <row r="89" spans="2:134">
      <c r="B89" s="38"/>
      <c r="C89" s="38"/>
      <c r="D89" s="38"/>
      <c r="E89" s="43" t="s">
        <v>35</v>
      </c>
      <c r="F89" s="44">
        <f>H14</f>
        <v>709.72093023255809</v>
      </c>
      <c r="G89" s="219" t="s">
        <v>146</v>
      </c>
      <c r="H89" s="219"/>
      <c r="I89" s="219"/>
      <c r="J89" s="219"/>
      <c r="K89" s="220"/>
      <c r="M89" s="166" t="s">
        <v>284</v>
      </c>
      <c r="N89" s="167"/>
      <c r="CT89" s="255"/>
      <c r="CU89" s="208"/>
      <c r="CV89" s="68">
        <f>CV88*1.35</f>
        <v>275.60115000000002</v>
      </c>
      <c r="CW89" s="64">
        <f>CV89/$DD$65</f>
        <v>63.722809248554917</v>
      </c>
      <c r="CX89" s="65">
        <f>CV88*1.09</f>
        <v>222.52241000000001</v>
      </c>
      <c r="CY89" s="66">
        <f>CX89/$DD$65</f>
        <v>51.450268208092488</v>
      </c>
      <c r="CZ89" s="79"/>
      <c r="DA89" s="68">
        <f>DA88*1.35</f>
        <v>270.90314999999998</v>
      </c>
      <c r="DB89" s="64">
        <f>DA89/$DD$65</f>
        <v>62.636566473988431</v>
      </c>
      <c r="DC89" s="65">
        <f>DA88*1.09</f>
        <v>218.72920999999999</v>
      </c>
      <c r="DD89" s="66">
        <f>DC89/$DD$65</f>
        <v>50.573227745664738</v>
      </c>
      <c r="DE89" s="79"/>
      <c r="DF89" s="68">
        <f>DF88*1.35</f>
        <v>266.20515000000006</v>
      </c>
      <c r="DG89" s="64">
        <f>DF89/$DD$65</f>
        <v>61.550323699421973</v>
      </c>
      <c r="DH89" s="65">
        <f>DF88*1.09</f>
        <v>214.93601000000004</v>
      </c>
      <c r="DI89" s="66">
        <f>DH89/$DD$65</f>
        <v>49.696187283237002</v>
      </c>
      <c r="DJ89" s="79"/>
      <c r="DK89" s="68">
        <f>DK88*1.35</f>
        <v>261.50715000000002</v>
      </c>
      <c r="DL89" s="64">
        <f>DK89/$DD$65</f>
        <v>60.464080924855494</v>
      </c>
      <c r="DM89" s="65">
        <f>DK88*1.09</f>
        <v>211.14281000000003</v>
      </c>
      <c r="DN89" s="66">
        <f>DM89/$DD$65</f>
        <v>48.819146820809252</v>
      </c>
      <c r="DO89" s="79"/>
      <c r="DP89" s="68">
        <f>DP88*1.35</f>
        <v>256.80914999999999</v>
      </c>
      <c r="DQ89" s="64">
        <f>DP89/$DD$65</f>
        <v>59.377838150289016</v>
      </c>
      <c r="DR89" s="65">
        <f>DP88*1.09</f>
        <v>207.34961000000001</v>
      </c>
      <c r="DS89" s="66">
        <f>DR89/$DD$65</f>
        <v>47.942106358381501</v>
      </c>
      <c r="DT89" s="79"/>
      <c r="DU89" s="68">
        <f>DU88*1.35</f>
        <v>247.41315000000003</v>
      </c>
      <c r="DV89" s="64">
        <f>DU89/$DD$65</f>
        <v>57.205352601156072</v>
      </c>
      <c r="DW89" s="65">
        <f>DU88*1.09</f>
        <v>199.76321000000002</v>
      </c>
      <c r="DX89" s="66">
        <f>DW89/$DD$65</f>
        <v>46.188025433526015</v>
      </c>
      <c r="DY89" s="79"/>
      <c r="DZ89" s="68">
        <f>DZ88*1.35</f>
        <v>238.01715000000002</v>
      </c>
      <c r="EA89" s="64">
        <f>DZ89/$DD$65</f>
        <v>55.032867052023121</v>
      </c>
      <c r="EB89" s="65">
        <f>DZ88*1.09</f>
        <v>192.17681000000002</v>
      </c>
      <c r="EC89" s="66">
        <f>EB89/$DD$65</f>
        <v>44.433944508670521</v>
      </c>
      <c r="ED89" s="77"/>
    </row>
    <row r="90" spans="2:134" ht="13.5" thickBot="1">
      <c r="B90" s="38"/>
      <c r="C90" s="38"/>
      <c r="D90" s="38"/>
      <c r="E90" s="41" t="s">
        <v>36</v>
      </c>
      <c r="F90" s="42">
        <f>J14</f>
        <v>728.89534883720933</v>
      </c>
      <c r="G90" s="217" t="s">
        <v>146</v>
      </c>
      <c r="H90" s="217"/>
      <c r="I90" s="217"/>
      <c r="J90" s="217"/>
      <c r="K90" s="218"/>
      <c r="M90" s="55" t="s">
        <v>282</v>
      </c>
      <c r="N90" s="131" t="s">
        <v>262</v>
      </c>
      <c r="CT90" s="255"/>
      <c r="CU90" s="209"/>
      <c r="CV90" s="72">
        <f>CV88*1.05</f>
        <v>214.35645000000002</v>
      </c>
      <c r="CW90" s="69">
        <f>CV90/$DD$65</f>
        <v>49.562184971098269</v>
      </c>
      <c r="CX90" s="70"/>
      <c r="CY90" s="71"/>
      <c r="CZ90" s="79"/>
      <c r="DA90" s="72">
        <f>DA88*1.05</f>
        <v>210.70245</v>
      </c>
      <c r="DB90" s="69">
        <f>DA90/$DD$65</f>
        <v>48.717329479768786</v>
      </c>
      <c r="DC90" s="70"/>
      <c r="DD90" s="71"/>
      <c r="DE90" s="79"/>
      <c r="DF90" s="72">
        <f>DF88*1.05</f>
        <v>207.04845000000003</v>
      </c>
      <c r="DG90" s="69">
        <f>DF90/$DD$65</f>
        <v>47.87247398843931</v>
      </c>
      <c r="DH90" s="70"/>
      <c r="DI90" s="71"/>
      <c r="DJ90" s="79"/>
      <c r="DK90" s="72">
        <f>DK88*1.05</f>
        <v>203.39445000000001</v>
      </c>
      <c r="DL90" s="69">
        <f>DK90/$DD$65</f>
        <v>47.027618497109827</v>
      </c>
      <c r="DM90" s="70"/>
      <c r="DN90" s="71"/>
      <c r="DO90" s="79"/>
      <c r="DP90" s="72">
        <f>DP88*1.05</f>
        <v>199.74044999999998</v>
      </c>
      <c r="DQ90" s="69">
        <f>DP90/$DD$65</f>
        <v>46.182763005780338</v>
      </c>
      <c r="DR90" s="70"/>
      <c r="DS90" s="71"/>
      <c r="DT90" s="79"/>
      <c r="DU90" s="72">
        <f>DU88*1.05</f>
        <v>192.43245000000002</v>
      </c>
      <c r="DV90" s="69">
        <f>DU90/$DD$65</f>
        <v>44.493052023121386</v>
      </c>
      <c r="DW90" s="70"/>
      <c r="DX90" s="71"/>
      <c r="DY90" s="79"/>
      <c r="DZ90" s="72">
        <f>DZ88*1.05</f>
        <v>185.12445</v>
      </c>
      <c r="EA90" s="69">
        <f>DZ90/$DD$65</f>
        <v>42.803341040462428</v>
      </c>
      <c r="EB90" s="70"/>
      <c r="EC90" s="71"/>
      <c r="ED90" s="77"/>
    </row>
    <row r="91" spans="2:134" ht="13.5" thickBot="1">
      <c r="B91" s="38"/>
      <c r="C91" s="38"/>
      <c r="D91" s="38"/>
      <c r="E91" s="45" t="s">
        <v>8</v>
      </c>
      <c r="F91" s="46">
        <f>L14</f>
        <v>715.97674418604652</v>
      </c>
      <c r="G91" s="221" t="s">
        <v>146</v>
      </c>
      <c r="H91" s="221"/>
      <c r="I91" s="221"/>
      <c r="J91" s="221"/>
      <c r="K91" s="222"/>
      <c r="M91" s="57" t="s">
        <v>285</v>
      </c>
      <c r="N91" s="132">
        <v>0</v>
      </c>
      <c r="CT91" s="255"/>
      <c r="CU91" s="207" t="s">
        <v>192</v>
      </c>
      <c r="CV91" s="199">
        <f>CV88+$CW$66</f>
        <v>245.149</v>
      </c>
      <c r="CW91" s="200"/>
      <c r="CX91" s="201">
        <f>CV91/$DD$65</f>
        <v>56.681849710982654</v>
      </c>
      <c r="CY91" s="202"/>
      <c r="CZ91" s="78"/>
      <c r="DA91" s="199">
        <f>DA88+$CW$66</f>
        <v>241.66899999999998</v>
      </c>
      <c r="DB91" s="200"/>
      <c r="DC91" s="201">
        <f>DA91/$DD$65</f>
        <v>55.877225433526007</v>
      </c>
      <c r="DD91" s="202"/>
      <c r="DE91" s="78"/>
      <c r="DF91" s="199">
        <f>DF88+$CW$66</f>
        <v>238.18900000000002</v>
      </c>
      <c r="DG91" s="200"/>
      <c r="DH91" s="201">
        <f>DF91/$DD$65</f>
        <v>55.072601156069368</v>
      </c>
      <c r="DI91" s="202"/>
      <c r="DJ91" s="78"/>
      <c r="DK91" s="199">
        <f>DK88+$CW$66</f>
        <v>234.709</v>
      </c>
      <c r="DL91" s="200"/>
      <c r="DM91" s="201">
        <f>DK91/$DD$65</f>
        <v>54.267976878612714</v>
      </c>
      <c r="DN91" s="202"/>
      <c r="DO91" s="78"/>
      <c r="DP91" s="199">
        <f>DP88+$CW$66</f>
        <v>231.22899999999998</v>
      </c>
      <c r="DQ91" s="200"/>
      <c r="DR91" s="201">
        <f>DP91/$DD$65</f>
        <v>53.46335260115606</v>
      </c>
      <c r="DS91" s="202"/>
      <c r="DT91" s="78"/>
      <c r="DU91" s="199">
        <f>DU88+$CW$66</f>
        <v>224.26900000000001</v>
      </c>
      <c r="DV91" s="200"/>
      <c r="DW91" s="201">
        <f>DU91/$DD$65</f>
        <v>51.854104046242774</v>
      </c>
      <c r="DX91" s="202"/>
      <c r="DY91" s="78"/>
      <c r="DZ91" s="199">
        <f>DZ88+$CW$66</f>
        <v>217.309</v>
      </c>
      <c r="EA91" s="200"/>
      <c r="EB91" s="201">
        <f>DZ91/$DD$65</f>
        <v>50.244855491329474</v>
      </c>
      <c r="EC91" s="202"/>
      <c r="ED91" s="77"/>
    </row>
    <row r="92" spans="2:134" ht="13.5" thickBot="1">
      <c r="N92" s="130">
        <f>N91-N83</f>
        <v>0</v>
      </c>
      <c r="CT92" s="255"/>
      <c r="CU92" s="208"/>
      <c r="CV92" s="68">
        <f>CV91*1.35</f>
        <v>330.95115000000004</v>
      </c>
      <c r="CW92" s="64">
        <f>CV92/$DD$65</f>
        <v>76.520497109826593</v>
      </c>
      <c r="CX92" s="65">
        <f>CV91*1.09</f>
        <v>267.21241000000003</v>
      </c>
      <c r="CY92" s="66">
        <f>CX92/$DD$65</f>
        <v>61.783216184971103</v>
      </c>
      <c r="CZ92" s="79"/>
      <c r="DA92" s="68">
        <f>DA91*1.35</f>
        <v>326.25315000000001</v>
      </c>
      <c r="DB92" s="64">
        <f>DA92/$DD$65</f>
        <v>75.434254335260107</v>
      </c>
      <c r="DC92" s="65">
        <f>DA91*1.09</f>
        <v>263.41921000000002</v>
      </c>
      <c r="DD92" s="66">
        <f>DC92/$DD$65</f>
        <v>60.906175722543352</v>
      </c>
      <c r="DE92" s="79"/>
      <c r="DF92" s="68">
        <f>DF91*1.35</f>
        <v>321.55515000000003</v>
      </c>
      <c r="DG92" s="64">
        <f>DF92/$DD$65</f>
        <v>74.348011560693649</v>
      </c>
      <c r="DH92" s="65">
        <f>DF91*1.09</f>
        <v>259.62601000000006</v>
      </c>
      <c r="DI92" s="66">
        <f>DH92/$DD$65</f>
        <v>60.029135260115616</v>
      </c>
      <c r="DJ92" s="79"/>
      <c r="DK92" s="68">
        <f>DK91*1.35</f>
        <v>316.85715000000005</v>
      </c>
      <c r="DL92" s="64">
        <f>DK92/$DD$65</f>
        <v>73.261768786127178</v>
      </c>
      <c r="DM92" s="65">
        <f>DK91*1.09</f>
        <v>255.83281000000002</v>
      </c>
      <c r="DN92" s="66">
        <f>DM92/$DD$65</f>
        <v>59.152094797687866</v>
      </c>
      <c r="DO92" s="79"/>
      <c r="DP92" s="68">
        <f>DP91*1.35</f>
        <v>312.15915000000001</v>
      </c>
      <c r="DQ92" s="64">
        <f>DP92/$DD$65</f>
        <v>72.175526011560692</v>
      </c>
      <c r="DR92" s="65">
        <f>DP91*1.09</f>
        <v>252.03961000000001</v>
      </c>
      <c r="DS92" s="66">
        <f>DR92/$DD$65</f>
        <v>58.275054335260116</v>
      </c>
      <c r="DT92" s="79"/>
      <c r="DU92" s="68">
        <f>DU91*1.35</f>
        <v>302.76315000000005</v>
      </c>
      <c r="DV92" s="64">
        <f>DU92/$DD$65</f>
        <v>70.003040462427748</v>
      </c>
      <c r="DW92" s="65">
        <f>DU91*1.09</f>
        <v>244.45321000000001</v>
      </c>
      <c r="DX92" s="66">
        <f>DW92/$DD$65</f>
        <v>56.520973410404622</v>
      </c>
      <c r="DY92" s="79"/>
      <c r="DZ92" s="68">
        <f>DZ91*1.35</f>
        <v>293.36715000000004</v>
      </c>
      <c r="EA92" s="64">
        <f>DZ92/$DD$65</f>
        <v>67.830554913294804</v>
      </c>
      <c r="EB92" s="65">
        <f>DZ91*1.09</f>
        <v>236.86681000000002</v>
      </c>
      <c r="EC92" s="66">
        <f>EB92/$DD$65</f>
        <v>54.766892485549135</v>
      </c>
      <c r="ED92" s="77"/>
    </row>
    <row r="93" spans="2:134" ht="13.5" thickBot="1">
      <c r="B93" s="245" t="s">
        <v>0</v>
      </c>
      <c r="C93" s="246"/>
      <c r="D93" s="30">
        <v>3</v>
      </c>
      <c r="E93" s="39" t="s">
        <v>3</v>
      </c>
      <c r="F93" s="40">
        <f>D15</f>
        <v>457.00581395348837</v>
      </c>
      <c r="G93" s="247" t="s">
        <v>146</v>
      </c>
      <c r="H93" s="247"/>
      <c r="I93" s="247"/>
      <c r="J93" s="247"/>
      <c r="K93" s="248"/>
      <c r="CT93" s="255"/>
      <c r="CU93" s="209"/>
      <c r="CV93" s="72">
        <f>CV91*1.05</f>
        <v>257.40645000000001</v>
      </c>
      <c r="CW93" s="69">
        <f>CV93/$DD$65</f>
        <v>59.515942196531789</v>
      </c>
      <c r="CX93" s="70"/>
      <c r="CY93" s="71"/>
      <c r="CZ93" s="79"/>
      <c r="DA93" s="72">
        <f>DA91*1.05</f>
        <v>253.75244999999998</v>
      </c>
      <c r="DB93" s="69">
        <f>DA93/$DD$65</f>
        <v>58.671086705202306</v>
      </c>
      <c r="DC93" s="70"/>
      <c r="DD93" s="71"/>
      <c r="DE93" s="79"/>
      <c r="DF93" s="72">
        <f>DF91*1.05</f>
        <v>250.09845000000004</v>
      </c>
      <c r="DG93" s="69">
        <f>DF93/$DD$65</f>
        <v>57.826231213872838</v>
      </c>
      <c r="DH93" s="70"/>
      <c r="DI93" s="71"/>
      <c r="DJ93" s="79"/>
      <c r="DK93" s="72">
        <f>DK91*1.05</f>
        <v>246.44445000000002</v>
      </c>
      <c r="DL93" s="69">
        <f>DK93/$DD$65</f>
        <v>56.981375722543355</v>
      </c>
      <c r="DM93" s="70"/>
      <c r="DN93" s="71"/>
      <c r="DO93" s="79"/>
      <c r="DP93" s="72">
        <f>DP91*1.05</f>
        <v>242.79044999999999</v>
      </c>
      <c r="DQ93" s="69">
        <f>DP93/$DD$65</f>
        <v>56.136520231213872</v>
      </c>
      <c r="DR93" s="70"/>
      <c r="DS93" s="71"/>
      <c r="DT93" s="79"/>
      <c r="DU93" s="72">
        <f>DU91*1.05</f>
        <v>235.48245000000003</v>
      </c>
      <c r="DV93" s="69">
        <f>DU93/$DD$65</f>
        <v>54.446809248554921</v>
      </c>
      <c r="DW93" s="70"/>
      <c r="DX93" s="71"/>
      <c r="DY93" s="79"/>
      <c r="DZ93" s="72">
        <f>DZ91*1.05</f>
        <v>228.17445000000001</v>
      </c>
      <c r="EA93" s="69">
        <f>DZ93/$DD$65</f>
        <v>52.757098265895955</v>
      </c>
      <c r="EB93" s="70"/>
      <c r="EC93" s="71"/>
      <c r="ED93" s="77"/>
    </row>
    <row r="94" spans="2:134" ht="13.5" thickBot="1">
      <c r="B94" s="38"/>
      <c r="C94" s="38"/>
      <c r="D94" s="38"/>
      <c r="E94" s="41" t="s">
        <v>5</v>
      </c>
      <c r="F94" s="42">
        <f>F15</f>
        <v>965.25</v>
      </c>
      <c r="G94" s="217" t="s">
        <v>146</v>
      </c>
      <c r="H94" s="217"/>
      <c r="I94" s="217"/>
      <c r="J94" s="217"/>
      <c r="K94" s="218"/>
      <c r="CT94" s="255"/>
      <c r="CU94" s="207" t="s">
        <v>193</v>
      </c>
      <c r="CV94" s="199">
        <f>CV91+$CW$66-5</f>
        <v>281.149</v>
      </c>
      <c r="CW94" s="200"/>
      <c r="CX94" s="201">
        <f>CV94/$DD$65</f>
        <v>65.005549132947976</v>
      </c>
      <c r="CY94" s="202"/>
      <c r="CZ94" s="78"/>
      <c r="DA94" s="199">
        <f>DA91+$CW$66-5</f>
        <v>277.66899999999998</v>
      </c>
      <c r="DB94" s="200"/>
      <c r="DC94" s="201">
        <f>DA94/$DD$65</f>
        <v>64.200924855491323</v>
      </c>
      <c r="DD94" s="202"/>
      <c r="DE94" s="78"/>
      <c r="DF94" s="199">
        <f>DF91+$CW$66-5</f>
        <v>274.18900000000002</v>
      </c>
      <c r="DG94" s="200"/>
      <c r="DH94" s="201">
        <f>DF94/$DD$65</f>
        <v>63.396300578034683</v>
      </c>
      <c r="DI94" s="202"/>
      <c r="DJ94" s="78"/>
      <c r="DK94" s="199">
        <f>DK91+$CW$66-5</f>
        <v>270.709</v>
      </c>
      <c r="DL94" s="200"/>
      <c r="DM94" s="201">
        <f>DK94/$DD$65</f>
        <v>62.59167630057803</v>
      </c>
      <c r="DN94" s="202"/>
      <c r="DO94" s="78"/>
      <c r="DP94" s="199">
        <f>DP91+$CW$66-5</f>
        <v>267.22899999999998</v>
      </c>
      <c r="DQ94" s="200"/>
      <c r="DR94" s="201">
        <f>DP94/$DD$65</f>
        <v>61.787052023121383</v>
      </c>
      <c r="DS94" s="202"/>
      <c r="DT94" s="78"/>
      <c r="DU94" s="199">
        <f>DU91+$CW$66-5</f>
        <v>260.26900000000001</v>
      </c>
      <c r="DV94" s="200"/>
      <c r="DW94" s="201">
        <f>DU94/$DD$65</f>
        <v>60.17780346820809</v>
      </c>
      <c r="DX94" s="202"/>
      <c r="DY94" s="78"/>
      <c r="DZ94" s="199">
        <f>DZ91+$CW$66-5</f>
        <v>253.30899999999997</v>
      </c>
      <c r="EA94" s="200"/>
      <c r="EB94" s="201">
        <f>DZ94/$DD$65</f>
        <v>58.56855491329479</v>
      </c>
      <c r="EC94" s="202"/>
      <c r="ED94" s="77"/>
    </row>
    <row r="95" spans="2:134">
      <c r="B95" s="38"/>
      <c r="C95" s="38"/>
      <c r="D95" s="38"/>
      <c r="E95" s="43" t="s">
        <v>35</v>
      </c>
      <c r="F95" s="44">
        <f>H15</f>
        <v>743.47093023255809</v>
      </c>
      <c r="G95" s="219" t="s">
        <v>146</v>
      </c>
      <c r="H95" s="219"/>
      <c r="I95" s="219"/>
      <c r="J95" s="219"/>
      <c r="K95" s="220"/>
      <c r="CT95" s="255"/>
      <c r="CU95" s="208"/>
      <c r="CV95" s="68">
        <f>CV94*1.35</f>
        <v>379.55115000000001</v>
      </c>
      <c r="CW95" s="64">
        <f>CV95/$DD$65</f>
        <v>87.757491329479762</v>
      </c>
      <c r="CX95" s="65">
        <f>CV94*1.09</f>
        <v>306.45241000000004</v>
      </c>
      <c r="CY95" s="66">
        <f>CX95/$DD$65</f>
        <v>70.856048554913301</v>
      </c>
      <c r="CZ95" s="79"/>
      <c r="DA95" s="68">
        <f>DA94*1.35</f>
        <v>374.85315000000003</v>
      </c>
      <c r="DB95" s="64">
        <f>DA95/$DD$65</f>
        <v>86.671248554913291</v>
      </c>
      <c r="DC95" s="65">
        <f>DA94*1.09</f>
        <v>302.65921000000003</v>
      </c>
      <c r="DD95" s="66">
        <f>DC95/$DD$65</f>
        <v>69.979008092485557</v>
      </c>
      <c r="DE95" s="79"/>
      <c r="DF95" s="68">
        <f>DF94*1.35</f>
        <v>370.15515000000005</v>
      </c>
      <c r="DG95" s="64">
        <f>DF95/$DD$65</f>
        <v>85.585005780346833</v>
      </c>
      <c r="DH95" s="65">
        <f>DF94*1.09</f>
        <v>298.86601000000002</v>
      </c>
      <c r="DI95" s="66">
        <f>DH95/$DD$65</f>
        <v>69.1019676300578</v>
      </c>
      <c r="DJ95" s="79"/>
      <c r="DK95" s="68">
        <f>DK94*1.35</f>
        <v>365.45715000000001</v>
      </c>
      <c r="DL95" s="64">
        <f>DK95/$DD$65</f>
        <v>84.498763005780347</v>
      </c>
      <c r="DM95" s="65">
        <f>DK94*1.09</f>
        <v>295.07281</v>
      </c>
      <c r="DN95" s="66">
        <f>DM95/$DD$65</f>
        <v>68.224927167630057</v>
      </c>
      <c r="DO95" s="79"/>
      <c r="DP95" s="68">
        <f>DP94*1.35</f>
        <v>360.75914999999998</v>
      </c>
      <c r="DQ95" s="64">
        <f>DP95/$DD$65</f>
        <v>83.412520231213861</v>
      </c>
      <c r="DR95" s="65">
        <f>DP94*1.09</f>
        <v>291.27960999999999</v>
      </c>
      <c r="DS95" s="66">
        <f>DR95/$DD$65</f>
        <v>67.347886705202313</v>
      </c>
      <c r="DT95" s="79"/>
      <c r="DU95" s="68">
        <f>DU94*1.35</f>
        <v>351.36315000000002</v>
      </c>
      <c r="DV95" s="64">
        <f>DU95/$DD$65</f>
        <v>81.240034682080932</v>
      </c>
      <c r="DW95" s="65">
        <f>DU94*1.09</f>
        <v>283.69321000000002</v>
      </c>
      <c r="DX95" s="66">
        <f>DW95/$DD$65</f>
        <v>65.593805780346827</v>
      </c>
      <c r="DY95" s="79"/>
      <c r="DZ95" s="68">
        <f>DZ94*1.35</f>
        <v>341.96715</v>
      </c>
      <c r="EA95" s="64">
        <f>DZ95/$DD$65</f>
        <v>79.067549132947974</v>
      </c>
      <c r="EB95" s="65">
        <f>DZ94*1.09</f>
        <v>276.10681</v>
      </c>
      <c r="EC95" s="66">
        <f>EB95/$DD$65</f>
        <v>63.839724855491326</v>
      </c>
      <c r="ED95" s="77"/>
    </row>
    <row r="96" spans="2:134" ht="13.5" thickBot="1">
      <c r="B96" s="38"/>
      <c r="C96" s="38"/>
      <c r="D96" s="38"/>
      <c r="E96" s="41" t="s">
        <v>36</v>
      </c>
      <c r="F96" s="42">
        <f>J15</f>
        <v>762.64534883720933</v>
      </c>
      <c r="G96" s="217" t="s">
        <v>146</v>
      </c>
      <c r="H96" s="217"/>
      <c r="I96" s="217"/>
      <c r="J96" s="217"/>
      <c r="K96" s="218"/>
      <c r="CT96" s="255"/>
      <c r="CU96" s="209"/>
      <c r="CV96" s="72">
        <f>CV94*1.05</f>
        <v>295.20645000000002</v>
      </c>
      <c r="CW96" s="69">
        <f>CV96/$DD$65</f>
        <v>68.255826589595372</v>
      </c>
      <c r="CX96" s="70"/>
      <c r="CY96" s="71"/>
      <c r="CZ96" s="79"/>
      <c r="DA96" s="72">
        <f>DA94*1.05</f>
        <v>291.55245000000002</v>
      </c>
      <c r="DB96" s="69">
        <f>DA96/$DD$65</f>
        <v>67.410971098265904</v>
      </c>
      <c r="DC96" s="70"/>
      <c r="DD96" s="71"/>
      <c r="DE96" s="79"/>
      <c r="DF96" s="72">
        <f>DF94*1.05</f>
        <v>287.89845000000003</v>
      </c>
      <c r="DG96" s="69">
        <f>DF96/$DD$65</f>
        <v>66.566115606936421</v>
      </c>
      <c r="DH96" s="70"/>
      <c r="DI96" s="71"/>
      <c r="DJ96" s="79"/>
      <c r="DK96" s="72">
        <f>DK94*1.05</f>
        <v>284.24445000000003</v>
      </c>
      <c r="DL96" s="69">
        <f>DK96/$DD$65</f>
        <v>65.721260115606938</v>
      </c>
      <c r="DM96" s="70"/>
      <c r="DN96" s="71"/>
      <c r="DO96" s="79"/>
      <c r="DP96" s="72">
        <f>DP94*1.05</f>
        <v>280.59044999999998</v>
      </c>
      <c r="DQ96" s="69">
        <f>DP96/$DD$65</f>
        <v>64.876404624277455</v>
      </c>
      <c r="DR96" s="70"/>
      <c r="DS96" s="71"/>
      <c r="DT96" s="79"/>
      <c r="DU96" s="72">
        <f>DU94*1.05</f>
        <v>273.28245000000004</v>
      </c>
      <c r="DV96" s="69">
        <f>DU96/$DD$65</f>
        <v>63.186693641618504</v>
      </c>
      <c r="DW96" s="70"/>
      <c r="DX96" s="71"/>
      <c r="DY96" s="79"/>
      <c r="DZ96" s="72">
        <f>DZ94*1.05</f>
        <v>265.97444999999999</v>
      </c>
      <c r="EA96" s="69">
        <f>DZ96/$DD$65</f>
        <v>61.496982658959531</v>
      </c>
      <c r="EB96" s="70"/>
      <c r="EC96" s="71"/>
      <c r="ED96" s="77"/>
    </row>
    <row r="97" spans="2:134" ht="13.5" thickBot="1">
      <c r="B97" s="38"/>
      <c r="C97" s="38"/>
      <c r="D97" s="38"/>
      <c r="E97" s="45" t="s">
        <v>8</v>
      </c>
      <c r="F97" s="46">
        <f>L15</f>
        <v>749.72674418604652</v>
      </c>
      <c r="G97" s="221" t="s">
        <v>146</v>
      </c>
      <c r="H97" s="221"/>
      <c r="I97" s="221"/>
      <c r="J97" s="221"/>
      <c r="K97" s="222"/>
      <c r="CT97" s="255"/>
      <c r="CU97" s="76"/>
      <c r="CV97" s="76"/>
      <c r="CW97" s="76"/>
      <c r="CX97" s="76"/>
      <c r="CY97" s="76"/>
      <c r="CZ97" s="76"/>
      <c r="DA97" s="76"/>
      <c r="DB97" s="76"/>
      <c r="DC97" s="76"/>
      <c r="DD97" s="76"/>
      <c r="DE97" s="76"/>
      <c r="DF97" s="76"/>
      <c r="DG97" s="76"/>
      <c r="DH97" s="76"/>
      <c r="DI97" s="76"/>
      <c r="DJ97" s="76"/>
      <c r="DK97" s="76"/>
      <c r="DL97" s="76"/>
      <c r="DM97" s="76"/>
      <c r="DN97" s="76"/>
      <c r="DO97" s="76"/>
      <c r="DP97" s="76"/>
      <c r="DQ97" s="76"/>
      <c r="DR97" s="76"/>
      <c r="DS97" s="76"/>
      <c r="DT97" s="76"/>
      <c r="DU97" s="76"/>
      <c r="DV97" s="76"/>
      <c r="DW97" s="76"/>
      <c r="DX97" s="76"/>
      <c r="DY97" s="76"/>
      <c r="DZ97" s="76"/>
      <c r="EA97" s="76"/>
      <c r="EB97" s="76"/>
      <c r="EC97" s="76"/>
      <c r="ED97" s="77"/>
    </row>
    <row r="98" spans="2:134" ht="13.5" thickBot="1">
      <c r="CT98" s="255"/>
      <c r="CU98" s="207" t="s">
        <v>207</v>
      </c>
      <c r="CV98" s="199" t="s">
        <v>208</v>
      </c>
      <c r="CW98" s="200"/>
      <c r="CX98" s="200"/>
      <c r="CY98" s="226"/>
      <c r="CZ98" s="76"/>
      <c r="DA98" s="76"/>
      <c r="DB98" s="76"/>
      <c r="DC98" s="76"/>
      <c r="DD98" s="76"/>
      <c r="DE98" s="76"/>
      <c r="DF98" s="76"/>
      <c r="DG98" s="76"/>
      <c r="DH98" s="76"/>
      <c r="DI98" s="76"/>
      <c r="DJ98" s="76"/>
      <c r="DK98" s="76"/>
      <c r="DL98" s="76"/>
      <c r="DM98" s="76"/>
      <c r="DN98" s="76"/>
      <c r="DO98" s="76"/>
      <c r="DP98" s="76"/>
      <c r="DQ98" s="76"/>
      <c r="DR98" s="76"/>
      <c r="DS98" s="76"/>
      <c r="DT98" s="76"/>
      <c r="DU98" s="76"/>
      <c r="DV98" s="76"/>
      <c r="DW98" s="76"/>
      <c r="DX98" s="76"/>
      <c r="DY98" s="76"/>
      <c r="DZ98" s="76"/>
      <c r="EA98" s="76"/>
      <c r="EB98" s="76"/>
      <c r="EC98" s="76"/>
      <c r="ED98" s="77"/>
    </row>
    <row r="99" spans="2:134" ht="13.5" thickBot="1">
      <c r="B99" s="245" t="s">
        <v>0</v>
      </c>
      <c r="C99" s="246"/>
      <c r="D99" s="30">
        <v>4</v>
      </c>
      <c r="E99" s="39" t="s">
        <v>3</v>
      </c>
      <c r="F99" s="40">
        <f>D16</f>
        <v>473.88081395348837</v>
      </c>
      <c r="G99" s="247" t="s">
        <v>146</v>
      </c>
      <c r="H99" s="247"/>
      <c r="I99" s="247"/>
      <c r="J99" s="247"/>
      <c r="K99" s="248"/>
      <c r="CT99" s="255"/>
      <c r="CU99" s="208"/>
      <c r="CV99" s="227" t="s">
        <v>209</v>
      </c>
      <c r="CW99" s="228"/>
      <c r="CX99" s="229" t="s">
        <v>210</v>
      </c>
      <c r="CY99" s="230"/>
      <c r="CZ99" s="76"/>
      <c r="DA99" s="76"/>
      <c r="DB99" s="76"/>
      <c r="DC99" s="76"/>
      <c r="DD99" s="76"/>
      <c r="DE99" s="76"/>
      <c r="DF99" s="76"/>
      <c r="DG99" s="76"/>
      <c r="DH99" s="76"/>
      <c r="DI99" s="76"/>
      <c r="DJ99" s="76"/>
      <c r="DK99" s="76"/>
      <c r="DL99" s="76"/>
      <c r="DM99" s="76"/>
      <c r="DN99" s="76"/>
      <c r="DO99" s="76"/>
      <c r="DP99" s="76"/>
      <c r="DQ99" s="76"/>
      <c r="DR99" s="76"/>
      <c r="DS99" s="76"/>
      <c r="DT99" s="76"/>
      <c r="DU99" s="76"/>
      <c r="DV99" s="76"/>
      <c r="DW99" s="76"/>
      <c r="DX99" s="76"/>
      <c r="DY99" s="76"/>
      <c r="DZ99" s="76"/>
      <c r="EA99" s="76"/>
      <c r="EB99" s="76"/>
      <c r="EC99" s="76"/>
      <c r="ED99" s="77"/>
    </row>
    <row r="100" spans="2:134" ht="13.5" thickBot="1">
      <c r="B100" s="38"/>
      <c r="C100" s="38"/>
      <c r="D100" s="38"/>
      <c r="E100" s="41" t="s">
        <v>5</v>
      </c>
      <c r="F100" s="42">
        <f>F16</f>
        <v>982.125</v>
      </c>
      <c r="G100" s="217" t="s">
        <v>146</v>
      </c>
      <c r="H100" s="217"/>
      <c r="I100" s="217"/>
      <c r="J100" s="217"/>
      <c r="K100" s="218"/>
      <c r="CT100" s="255"/>
      <c r="CU100" s="209"/>
      <c r="CV100" s="231" t="s">
        <v>211</v>
      </c>
      <c r="CW100" s="232"/>
      <c r="CX100" s="233"/>
      <c r="CY100" s="234"/>
      <c r="CZ100" s="76"/>
      <c r="DA100" s="76"/>
      <c r="DB100" s="76"/>
      <c r="DC100" s="76"/>
      <c r="DD100" s="76"/>
      <c r="DE100" s="76"/>
      <c r="DF100" s="76"/>
      <c r="DG100" s="76"/>
      <c r="DH100" s="76"/>
      <c r="DI100" s="76"/>
      <c r="DJ100" s="76"/>
      <c r="DK100" s="76"/>
      <c r="DL100" s="76"/>
      <c r="DM100" s="76"/>
      <c r="DN100" s="76"/>
      <c r="DO100" s="76"/>
      <c r="DP100" s="76"/>
      <c r="DQ100" s="76"/>
      <c r="DR100" s="76"/>
      <c r="DS100" s="76"/>
      <c r="DT100" s="76"/>
      <c r="DU100" s="76"/>
      <c r="DV100" s="76"/>
      <c r="DW100" s="76"/>
      <c r="DX100" s="76"/>
      <c r="DY100" s="76"/>
      <c r="DZ100" s="76"/>
      <c r="EA100" s="76"/>
      <c r="EB100" s="76"/>
      <c r="EC100" s="76"/>
      <c r="ED100" s="77"/>
    </row>
    <row r="101" spans="2:134" ht="13.5" thickBot="1">
      <c r="B101" s="38"/>
      <c r="C101" s="38"/>
      <c r="D101" s="38"/>
      <c r="E101" s="43" t="s">
        <v>35</v>
      </c>
      <c r="F101" s="44">
        <f>H16</f>
        <v>760.34593023255809</v>
      </c>
      <c r="G101" s="219" t="s">
        <v>146</v>
      </c>
      <c r="H101" s="219"/>
      <c r="I101" s="219"/>
      <c r="J101" s="219"/>
      <c r="K101" s="220"/>
      <c r="CT101" s="256"/>
      <c r="CU101" s="80"/>
      <c r="CV101" s="214" t="s">
        <v>212</v>
      </c>
      <c r="CW101" s="214"/>
      <c r="CX101" s="215" t="s">
        <v>0</v>
      </c>
      <c r="CY101" s="215"/>
      <c r="CZ101" s="80"/>
      <c r="DA101" s="80"/>
      <c r="DB101" s="80"/>
      <c r="DC101" s="80"/>
      <c r="DD101" s="80"/>
      <c r="DE101" s="80"/>
      <c r="DF101" s="80"/>
      <c r="DG101" s="80"/>
      <c r="DH101" s="80"/>
      <c r="DI101" s="80"/>
      <c r="DJ101" s="80"/>
      <c r="DK101" s="80"/>
      <c r="DL101" s="80"/>
      <c r="DM101" s="80"/>
      <c r="DN101" s="80"/>
      <c r="DO101" s="80"/>
      <c r="DP101" s="80"/>
      <c r="DQ101" s="80"/>
      <c r="DR101" s="80"/>
      <c r="DS101" s="80"/>
      <c r="DT101" s="80"/>
      <c r="DU101" s="80"/>
      <c r="DV101" s="80"/>
      <c r="DW101" s="80"/>
      <c r="DX101" s="80"/>
      <c r="DY101" s="80"/>
      <c r="DZ101" s="80"/>
      <c r="EA101" s="80"/>
      <c r="EB101" s="80"/>
      <c r="EC101" s="80"/>
      <c r="ED101" s="81"/>
    </row>
    <row r="102" spans="2:134" ht="13.5" thickTop="1">
      <c r="B102" s="38"/>
      <c r="C102" s="38"/>
      <c r="D102" s="38"/>
      <c r="E102" s="41" t="s">
        <v>36</v>
      </c>
      <c r="F102" s="42">
        <f>J16</f>
        <v>779.52034883720933</v>
      </c>
      <c r="G102" s="217" t="s">
        <v>146</v>
      </c>
      <c r="H102" s="217"/>
      <c r="I102" s="217"/>
      <c r="J102" s="217"/>
      <c r="K102" s="218"/>
      <c r="CT102" s="254" t="s">
        <v>229</v>
      </c>
      <c r="CU102" s="74"/>
      <c r="CV102" s="74"/>
      <c r="CW102" s="74"/>
      <c r="CX102" s="74"/>
      <c r="CY102" s="74"/>
      <c r="CZ102" s="74"/>
      <c r="DA102" s="74"/>
      <c r="DB102" s="74"/>
      <c r="DC102" s="74"/>
      <c r="DD102" s="74"/>
      <c r="DE102" s="74"/>
      <c r="DF102" s="74"/>
      <c r="DG102" s="74"/>
      <c r="DH102" s="74"/>
      <c r="DI102" s="74"/>
      <c r="DJ102" s="74"/>
      <c r="DK102" s="74"/>
      <c r="DL102" s="74"/>
      <c r="DM102" s="74"/>
      <c r="DN102" s="74"/>
      <c r="DO102" s="74"/>
      <c r="DP102" s="74"/>
      <c r="DQ102" s="74"/>
      <c r="DR102" s="74"/>
      <c r="DS102" s="74"/>
      <c r="DT102" s="74"/>
      <c r="DU102" s="74"/>
      <c r="DV102" s="74"/>
      <c r="DW102" s="74"/>
      <c r="DX102" s="74"/>
      <c r="DY102" s="74"/>
      <c r="DZ102" s="74"/>
      <c r="EA102" s="74"/>
      <c r="EB102" s="74"/>
      <c r="EC102" s="74"/>
      <c r="ED102" s="75"/>
    </row>
    <row r="103" spans="2:134" ht="13.5" thickBot="1">
      <c r="B103" s="38"/>
      <c r="C103" s="38"/>
      <c r="D103" s="38"/>
      <c r="E103" s="45" t="s">
        <v>8</v>
      </c>
      <c r="F103" s="46">
        <f>L16</f>
        <v>766.60174418604652</v>
      </c>
      <c r="G103" s="221" t="s">
        <v>146</v>
      </c>
      <c r="H103" s="221"/>
      <c r="I103" s="221"/>
      <c r="J103" s="221"/>
      <c r="K103" s="222"/>
      <c r="CT103" s="255"/>
      <c r="CU103" s="76"/>
      <c r="CV103" s="170" t="s">
        <v>220</v>
      </c>
      <c r="CW103" s="171"/>
      <c r="CX103" s="171"/>
      <c r="CY103" s="171"/>
      <c r="CZ103" s="76"/>
      <c r="DA103" s="170" t="s">
        <v>222</v>
      </c>
      <c r="DB103" s="171"/>
      <c r="DC103" s="171"/>
      <c r="DD103" s="171"/>
      <c r="DE103" s="76"/>
      <c r="DF103" s="170" t="s">
        <v>223</v>
      </c>
      <c r="DG103" s="171"/>
      <c r="DH103" s="171"/>
      <c r="DI103" s="171"/>
      <c r="DJ103" s="76"/>
      <c r="DK103" s="170" t="s">
        <v>224</v>
      </c>
      <c r="DL103" s="171"/>
      <c r="DM103" s="171"/>
      <c r="DN103" s="171"/>
      <c r="DO103" s="76"/>
      <c r="DP103" s="170" t="s">
        <v>225</v>
      </c>
      <c r="DQ103" s="171"/>
      <c r="DR103" s="171"/>
      <c r="DS103" s="171"/>
      <c r="DT103" s="76"/>
      <c r="DU103" s="170" t="s">
        <v>226</v>
      </c>
      <c r="DV103" s="171"/>
      <c r="DW103" s="171"/>
      <c r="DX103" s="171"/>
      <c r="DY103" s="76"/>
      <c r="DZ103" s="170" t="s">
        <v>227</v>
      </c>
      <c r="EA103" s="171"/>
      <c r="EB103" s="171"/>
      <c r="EC103" s="171"/>
      <c r="ED103" s="77"/>
    </row>
    <row r="104" spans="2:134" ht="13.5" thickBot="1">
      <c r="CT104" s="255"/>
      <c r="CU104" s="76"/>
      <c r="CV104" s="172"/>
      <c r="CW104" s="172"/>
      <c r="CX104" s="172"/>
      <c r="CY104" s="172"/>
      <c r="CZ104" s="76"/>
      <c r="DA104" s="172"/>
      <c r="DB104" s="172"/>
      <c r="DC104" s="172"/>
      <c r="DD104" s="172"/>
      <c r="DE104" s="76"/>
      <c r="DF104" s="172"/>
      <c r="DG104" s="172"/>
      <c r="DH104" s="172"/>
      <c r="DI104" s="172"/>
      <c r="DJ104" s="76"/>
      <c r="DK104" s="172"/>
      <c r="DL104" s="172"/>
      <c r="DM104" s="172"/>
      <c r="DN104" s="172"/>
      <c r="DO104" s="76"/>
      <c r="DP104" s="172"/>
      <c r="DQ104" s="172"/>
      <c r="DR104" s="172"/>
      <c r="DS104" s="172"/>
      <c r="DT104" s="76"/>
      <c r="DU104" s="172"/>
      <c r="DV104" s="172"/>
      <c r="DW104" s="172"/>
      <c r="DX104" s="172"/>
      <c r="DY104" s="76"/>
      <c r="DZ104" s="172"/>
      <c r="EA104" s="172"/>
      <c r="EB104" s="172"/>
      <c r="EC104" s="172"/>
      <c r="ED104" s="77"/>
    </row>
    <row r="105" spans="2:134" ht="13.5" thickBot="1">
      <c r="B105" s="245" t="s">
        <v>0</v>
      </c>
      <c r="C105" s="246"/>
      <c r="D105" s="30">
        <v>5</v>
      </c>
      <c r="E105" s="39" t="s">
        <v>3</v>
      </c>
      <c r="F105" s="40">
        <f>D17</f>
        <v>482.31831395348837</v>
      </c>
      <c r="G105" s="247" t="s">
        <v>146</v>
      </c>
      <c r="H105" s="247"/>
      <c r="I105" s="247"/>
      <c r="J105" s="247"/>
      <c r="K105" s="248"/>
      <c r="CT105" s="255"/>
      <c r="CU105" s="176" t="s">
        <v>219</v>
      </c>
      <c r="CV105" s="173" t="s">
        <v>217</v>
      </c>
      <c r="CW105" s="174"/>
      <c r="CX105" s="174"/>
      <c r="CY105" s="175"/>
      <c r="CZ105" s="78"/>
      <c r="DA105" s="173" t="s">
        <v>217</v>
      </c>
      <c r="DB105" s="174"/>
      <c r="DC105" s="174"/>
      <c r="DD105" s="175"/>
      <c r="DE105" s="78"/>
      <c r="DF105" s="173" t="s">
        <v>217</v>
      </c>
      <c r="DG105" s="174"/>
      <c r="DH105" s="174"/>
      <c r="DI105" s="175"/>
      <c r="DJ105" s="78"/>
      <c r="DK105" s="173" t="s">
        <v>217</v>
      </c>
      <c r="DL105" s="174"/>
      <c r="DM105" s="174"/>
      <c r="DN105" s="175"/>
      <c r="DO105" s="78"/>
      <c r="DP105" s="173" t="s">
        <v>217</v>
      </c>
      <c r="DQ105" s="174"/>
      <c r="DR105" s="174"/>
      <c r="DS105" s="175"/>
      <c r="DT105" s="78"/>
      <c r="DU105" s="173" t="s">
        <v>217</v>
      </c>
      <c r="DV105" s="174"/>
      <c r="DW105" s="174"/>
      <c r="DX105" s="175"/>
      <c r="DY105" s="78"/>
      <c r="DZ105" s="173" t="s">
        <v>217</v>
      </c>
      <c r="EA105" s="174"/>
      <c r="EB105" s="174"/>
      <c r="EC105" s="175"/>
      <c r="ED105" s="77"/>
    </row>
    <row r="106" spans="2:134">
      <c r="B106" s="38"/>
      <c r="C106" s="38"/>
      <c r="D106" s="38"/>
      <c r="E106" s="41" t="s">
        <v>5</v>
      </c>
      <c r="F106" s="42">
        <f>F17</f>
        <v>990.5625</v>
      </c>
      <c r="G106" s="217" t="s">
        <v>146</v>
      </c>
      <c r="H106" s="217"/>
      <c r="I106" s="217"/>
      <c r="J106" s="217"/>
      <c r="K106" s="218"/>
      <c r="CT106" s="255"/>
      <c r="CU106" s="176"/>
      <c r="CV106" s="168">
        <f>DN$65*$DD$65*$DC$65</f>
        <v>260.50195833333333</v>
      </c>
      <c r="CW106" s="169"/>
      <c r="CX106" s="169"/>
      <c r="CY106" s="133">
        <f>VLOOKUP($G$5,$DL$3:$DZ$62,2,FALSE)</f>
        <v>9</v>
      </c>
      <c r="CZ106" s="78"/>
      <c r="DA106" s="168">
        <f>DO65*$DD$65*$DC$65</f>
        <v>251.12593500000003</v>
      </c>
      <c r="DB106" s="169"/>
      <c r="DC106" s="169"/>
      <c r="DD106" s="133">
        <f>VLOOKUP($G$5,$DL$3:$DZ$62,3,FALSE)</f>
        <v>20</v>
      </c>
      <c r="DE106" s="78"/>
      <c r="DF106" s="168">
        <f>DP65*$DD$65*$DC$65</f>
        <v>233.92028653846157</v>
      </c>
      <c r="DG106" s="169"/>
      <c r="DH106" s="169"/>
      <c r="DI106" s="133">
        <f>VLOOKUP($G$5,$DL$3:$DZ$62,4,FALSE)</f>
        <v>13</v>
      </c>
      <c r="DJ106" s="78"/>
      <c r="DK106" s="168">
        <f>DQ65*$DD$65*$DC$65</f>
        <v>234.78954500000003</v>
      </c>
      <c r="DL106" s="169"/>
      <c r="DM106" s="169"/>
      <c r="DN106" s="133">
        <f>VLOOKUP($G$5,$DL$3:$DZ$62,5,FALSE)</f>
        <v>15</v>
      </c>
      <c r="DO106" s="78"/>
      <c r="DP106" s="168">
        <f>DR65*$DD$65*$DC$65</f>
        <v>230.47653704545462</v>
      </c>
      <c r="DQ106" s="169"/>
      <c r="DR106" s="169"/>
      <c r="DS106" s="133">
        <f>VLOOKUP($G$5,$DL$3:$DZ$62,6,FALSE)</f>
        <v>0</v>
      </c>
      <c r="DT106" s="78"/>
      <c r="DU106" s="168">
        <f>DS65*$DD$65*$DC$65</f>
        <v>221.2086125000001</v>
      </c>
      <c r="DV106" s="169"/>
      <c r="DW106" s="169"/>
      <c r="DX106" s="133">
        <f>VLOOKUP($G$5,$DL$3:$DZ$62,7,FALSE)</f>
        <v>142</v>
      </c>
      <c r="DY106" s="78"/>
      <c r="DZ106" s="168">
        <f>DT65*$DD$65*$DC$65</f>
        <v>213.83167625000002</v>
      </c>
      <c r="EA106" s="169"/>
      <c r="EB106" s="169"/>
      <c r="EC106" s="133">
        <f>VLOOKUP($G$5,$DL$3:$DZ$62,8,FALSE)</f>
        <v>40</v>
      </c>
      <c r="ED106" s="77"/>
    </row>
    <row r="107" spans="2:134">
      <c r="B107" s="38"/>
      <c r="C107" s="38"/>
      <c r="D107" s="38"/>
      <c r="E107" s="43" t="s">
        <v>35</v>
      </c>
      <c r="F107" s="44">
        <f>H17</f>
        <v>768.78343023255809</v>
      </c>
      <c r="G107" s="219" t="s">
        <v>146</v>
      </c>
      <c r="H107" s="219"/>
      <c r="I107" s="219"/>
      <c r="J107" s="219"/>
      <c r="K107" s="220"/>
      <c r="CT107" s="255"/>
      <c r="CU107" s="176"/>
      <c r="CV107" s="194" t="s">
        <v>216</v>
      </c>
      <c r="CW107" s="195"/>
      <c r="CX107" s="196" t="s">
        <v>218</v>
      </c>
      <c r="CY107" s="197"/>
      <c r="CZ107" s="78"/>
      <c r="DA107" s="194" t="s">
        <v>216</v>
      </c>
      <c r="DB107" s="195"/>
      <c r="DC107" s="196" t="s">
        <v>218</v>
      </c>
      <c r="DD107" s="197"/>
      <c r="DE107" s="78"/>
      <c r="DF107" s="194" t="s">
        <v>216</v>
      </c>
      <c r="DG107" s="195"/>
      <c r="DH107" s="196" t="s">
        <v>218</v>
      </c>
      <c r="DI107" s="197"/>
      <c r="DJ107" s="78"/>
      <c r="DK107" s="194" t="s">
        <v>216</v>
      </c>
      <c r="DL107" s="195"/>
      <c r="DM107" s="196" t="s">
        <v>218</v>
      </c>
      <c r="DN107" s="197"/>
      <c r="DO107" s="78"/>
      <c r="DP107" s="194" t="s">
        <v>216</v>
      </c>
      <c r="DQ107" s="195"/>
      <c r="DR107" s="196" t="s">
        <v>218</v>
      </c>
      <c r="DS107" s="197"/>
      <c r="DT107" s="78"/>
      <c r="DU107" s="194" t="s">
        <v>216</v>
      </c>
      <c r="DV107" s="195"/>
      <c r="DW107" s="196" t="s">
        <v>218</v>
      </c>
      <c r="DX107" s="197"/>
      <c r="DY107" s="78"/>
      <c r="DZ107" s="194" t="s">
        <v>216</v>
      </c>
      <c r="EA107" s="195"/>
      <c r="EB107" s="196" t="s">
        <v>218</v>
      </c>
      <c r="EC107" s="197"/>
      <c r="ED107" s="77"/>
    </row>
    <row r="108" spans="2:134" ht="13.5" thickBot="1">
      <c r="B108" s="38"/>
      <c r="C108" s="38"/>
      <c r="D108" s="38"/>
      <c r="E108" s="41" t="s">
        <v>36</v>
      </c>
      <c r="F108" s="42">
        <f>J17</f>
        <v>787.95784883720933</v>
      </c>
      <c r="G108" s="217" t="s">
        <v>146</v>
      </c>
      <c r="H108" s="217"/>
      <c r="I108" s="217"/>
      <c r="J108" s="217"/>
      <c r="K108" s="218"/>
      <c r="CT108" s="255"/>
      <c r="CU108" s="176"/>
      <c r="CV108" s="177">
        <f>DN65</f>
        <v>0.84833333333333327</v>
      </c>
      <c r="CW108" s="178"/>
      <c r="CX108" s="190">
        <f>CV106/$DC$65</f>
        <v>3.6690416666666668</v>
      </c>
      <c r="CY108" s="191"/>
      <c r="CZ108" s="78"/>
      <c r="DA108" s="177">
        <f>DO65</f>
        <v>0.81780000000000008</v>
      </c>
      <c r="DB108" s="178"/>
      <c r="DC108" s="192">
        <f>DA106/$DC$65</f>
        <v>3.5369850000000005</v>
      </c>
      <c r="DD108" s="193"/>
      <c r="DE108" s="78"/>
      <c r="DF108" s="177">
        <f>DP65</f>
        <v>0.76176923076923075</v>
      </c>
      <c r="DG108" s="178"/>
      <c r="DH108" s="192">
        <f>DF106/$DC$65</f>
        <v>3.2946519230769233</v>
      </c>
      <c r="DI108" s="193"/>
      <c r="DJ108" s="78"/>
      <c r="DK108" s="177">
        <f>DQ65</f>
        <v>0.76460000000000006</v>
      </c>
      <c r="DL108" s="178"/>
      <c r="DM108" s="192">
        <f>DK106/$DC$65</f>
        <v>3.3068950000000004</v>
      </c>
      <c r="DN108" s="193"/>
      <c r="DO108" s="78"/>
      <c r="DP108" s="177">
        <f>DR65</f>
        <v>0.7505545454545457</v>
      </c>
      <c r="DQ108" s="178"/>
      <c r="DR108" s="192">
        <f>DP106/$DC$65</f>
        <v>3.2461484090909103</v>
      </c>
      <c r="DS108" s="193"/>
      <c r="DT108" s="78"/>
      <c r="DU108" s="177">
        <f>DS65</f>
        <v>0.72037323943662002</v>
      </c>
      <c r="DV108" s="178"/>
      <c r="DW108" s="192">
        <f>DU106/$DC$65</f>
        <v>3.1156142605633819</v>
      </c>
      <c r="DX108" s="193"/>
      <c r="DY108" s="78"/>
      <c r="DZ108" s="177">
        <f>DT65</f>
        <v>0.69635000000000002</v>
      </c>
      <c r="EA108" s="178"/>
      <c r="EB108" s="192">
        <f>DZ106/$DC$65</f>
        <v>3.0117137500000002</v>
      </c>
      <c r="EC108" s="193"/>
      <c r="ED108" s="77"/>
    </row>
    <row r="109" spans="2:134" ht="13.5" thickBot="1">
      <c r="B109" s="38"/>
      <c r="C109" s="38"/>
      <c r="D109" s="38"/>
      <c r="E109" s="45" t="s">
        <v>8</v>
      </c>
      <c r="F109" s="46">
        <f>L17</f>
        <v>775.03924418604652</v>
      </c>
      <c r="G109" s="221" t="s">
        <v>146</v>
      </c>
      <c r="H109" s="221"/>
      <c r="I109" s="221"/>
      <c r="J109" s="221"/>
      <c r="K109" s="222"/>
      <c r="CT109" s="255"/>
      <c r="CU109" s="76"/>
      <c r="CV109" s="82"/>
      <c r="CW109" s="82"/>
      <c r="CX109" s="82"/>
      <c r="CY109" s="82"/>
      <c r="CZ109" s="82"/>
      <c r="DA109" s="82"/>
      <c r="DB109" s="82"/>
      <c r="DC109" s="82"/>
      <c r="DD109" s="82"/>
      <c r="DE109" s="82"/>
      <c r="DF109" s="82"/>
      <c r="DG109" s="82"/>
      <c r="DH109" s="82"/>
      <c r="DI109" s="82"/>
      <c r="DJ109" s="82"/>
      <c r="DK109" s="82"/>
      <c r="DL109" s="82"/>
      <c r="DM109" s="82"/>
      <c r="DN109" s="82"/>
      <c r="DO109" s="82"/>
      <c r="DP109" s="82"/>
      <c r="DQ109" s="82"/>
      <c r="DR109" s="82"/>
      <c r="DS109" s="82"/>
      <c r="DT109" s="82"/>
      <c r="DU109" s="82"/>
      <c r="DV109" s="82"/>
      <c r="DW109" s="82"/>
      <c r="DX109" s="82"/>
      <c r="DY109" s="82"/>
      <c r="DZ109" s="82"/>
      <c r="EA109" s="82"/>
      <c r="EB109" s="82"/>
      <c r="EC109" s="82"/>
      <c r="ED109" s="77"/>
    </row>
    <row r="110" spans="2:134" ht="13.5" thickBot="1">
      <c r="CT110" s="255"/>
      <c r="CU110" s="176" t="s">
        <v>221</v>
      </c>
      <c r="CV110" s="173" t="s">
        <v>217</v>
      </c>
      <c r="CW110" s="174"/>
      <c r="CX110" s="174"/>
      <c r="CY110" s="175"/>
      <c r="CZ110" s="78"/>
      <c r="DA110" s="173" t="s">
        <v>217</v>
      </c>
      <c r="DB110" s="174"/>
      <c r="DC110" s="174"/>
      <c r="DD110" s="175"/>
      <c r="DE110" s="78"/>
      <c r="DF110" s="173" t="s">
        <v>217</v>
      </c>
      <c r="DG110" s="174"/>
      <c r="DH110" s="174"/>
      <c r="DI110" s="175"/>
      <c r="DJ110" s="78"/>
      <c r="DK110" s="173" t="s">
        <v>217</v>
      </c>
      <c r="DL110" s="174"/>
      <c r="DM110" s="174"/>
      <c r="DN110" s="175"/>
      <c r="DO110" s="78"/>
      <c r="DP110" s="173" t="s">
        <v>217</v>
      </c>
      <c r="DQ110" s="174"/>
      <c r="DR110" s="174"/>
      <c r="DS110" s="175"/>
      <c r="DT110" s="78"/>
      <c r="DU110" s="173" t="s">
        <v>217</v>
      </c>
      <c r="DV110" s="174"/>
      <c r="DW110" s="174"/>
      <c r="DX110" s="175"/>
      <c r="DY110" s="78"/>
      <c r="DZ110" s="173" t="s">
        <v>217</v>
      </c>
      <c r="EA110" s="174"/>
      <c r="EB110" s="174"/>
      <c r="EC110" s="175"/>
      <c r="ED110" s="77"/>
    </row>
    <row r="111" spans="2:134" ht="13.5" thickBot="1">
      <c r="B111" s="245" t="s">
        <v>0</v>
      </c>
      <c r="C111" s="246"/>
      <c r="D111" s="30">
        <v>6</v>
      </c>
      <c r="E111" s="39" t="s">
        <v>3</v>
      </c>
      <c r="F111" s="40">
        <f>D18</f>
        <v>486.53706395348837</v>
      </c>
      <c r="G111" s="247" t="s">
        <v>146</v>
      </c>
      <c r="H111" s="247"/>
      <c r="I111" s="247"/>
      <c r="J111" s="247"/>
      <c r="K111" s="248"/>
      <c r="CT111" s="255"/>
      <c r="CU111" s="176"/>
      <c r="CV111" s="168">
        <f>DG65*$DD$65*$DC$65</f>
        <v>0</v>
      </c>
      <c r="CW111" s="169"/>
      <c r="CX111" s="169"/>
      <c r="CY111" s="133">
        <f>VLOOKUP($G$5,$DL$3:$DZ$62,9,FALSE)</f>
        <v>0</v>
      </c>
      <c r="CZ111" s="78"/>
      <c r="DA111" s="168">
        <f>DH65*$DD$65*$DC$65</f>
        <v>207.17326666666668</v>
      </c>
      <c r="DB111" s="169"/>
      <c r="DC111" s="169"/>
      <c r="DD111" s="133">
        <f>VLOOKUP($G$5,$DL$3:$DZ$62,10,FALSE)</f>
        <v>3</v>
      </c>
      <c r="DE111" s="78"/>
      <c r="DF111" s="168">
        <f>DI65*$DD$65*$DC$65</f>
        <v>214.4260857142857</v>
      </c>
      <c r="DG111" s="169"/>
      <c r="DH111" s="169"/>
      <c r="DI111" s="133">
        <f>VLOOKUP($G$5,$DL$3:$DZ$62,11,FALSE)</f>
        <v>7</v>
      </c>
      <c r="DJ111" s="78"/>
      <c r="DK111" s="168">
        <f>DJ65*$DD$65*$DC$65</f>
        <v>0</v>
      </c>
      <c r="DL111" s="169"/>
      <c r="DM111" s="169"/>
      <c r="DN111" s="133">
        <f>VLOOKUP($G$5,$DL$3:$DZ$62,12,FALSE)</f>
        <v>0</v>
      </c>
      <c r="DO111" s="78"/>
      <c r="DP111" s="168">
        <f>DK65*$DD$65*$DC$65</f>
        <v>197.38781</v>
      </c>
      <c r="DQ111" s="169"/>
      <c r="DR111" s="169"/>
      <c r="DS111" s="133">
        <f>VLOOKUP($G$5,$DL$3:$DZ$62,13,FALSE)</f>
        <v>5</v>
      </c>
      <c r="DT111" s="78"/>
      <c r="DU111" s="168">
        <f>DL65*$DD$65*$DC$65</f>
        <v>190.87270208333334</v>
      </c>
      <c r="DV111" s="169"/>
      <c r="DW111" s="169"/>
      <c r="DX111" s="133">
        <f>VLOOKUP($G$5,$DL$3:$DZ$62,14,FALSE)</f>
        <v>12</v>
      </c>
      <c r="DY111" s="78"/>
      <c r="DZ111" s="168">
        <f>DM65*$DD$65*$DC$65</f>
        <v>186.96143269230771</v>
      </c>
      <c r="EA111" s="169"/>
      <c r="EB111" s="169"/>
      <c r="EC111" s="133">
        <f>VLOOKUP($G$5,$DL$3:$DZ$62,15,FALSE)</f>
        <v>13</v>
      </c>
      <c r="ED111" s="77"/>
    </row>
    <row r="112" spans="2:134">
      <c r="B112" s="38"/>
      <c r="C112" s="38"/>
      <c r="D112" s="38"/>
      <c r="E112" s="41" t="s">
        <v>5</v>
      </c>
      <c r="F112" s="42">
        <f>F18</f>
        <v>994.78125</v>
      </c>
      <c r="G112" s="217" t="s">
        <v>146</v>
      </c>
      <c r="H112" s="217"/>
      <c r="I112" s="217"/>
      <c r="J112" s="217"/>
      <c r="K112" s="218"/>
      <c r="CT112" s="255"/>
      <c r="CU112" s="176"/>
      <c r="CV112" s="194" t="s">
        <v>216</v>
      </c>
      <c r="CW112" s="195"/>
      <c r="CX112" s="196" t="s">
        <v>218</v>
      </c>
      <c r="CY112" s="197"/>
      <c r="CZ112" s="78"/>
      <c r="DA112" s="194" t="s">
        <v>216</v>
      </c>
      <c r="DB112" s="195"/>
      <c r="DC112" s="196" t="s">
        <v>218</v>
      </c>
      <c r="DD112" s="197"/>
      <c r="DE112" s="78"/>
      <c r="DF112" s="194" t="s">
        <v>216</v>
      </c>
      <c r="DG112" s="195"/>
      <c r="DH112" s="196" t="s">
        <v>218</v>
      </c>
      <c r="DI112" s="197"/>
      <c r="DJ112" s="78"/>
      <c r="DK112" s="194" t="s">
        <v>216</v>
      </c>
      <c r="DL112" s="195"/>
      <c r="DM112" s="196" t="s">
        <v>218</v>
      </c>
      <c r="DN112" s="197"/>
      <c r="DO112" s="78"/>
      <c r="DP112" s="194" t="s">
        <v>216</v>
      </c>
      <c r="DQ112" s="195"/>
      <c r="DR112" s="196" t="s">
        <v>218</v>
      </c>
      <c r="DS112" s="197"/>
      <c r="DT112" s="78"/>
      <c r="DU112" s="194" t="s">
        <v>216</v>
      </c>
      <c r="DV112" s="195"/>
      <c r="DW112" s="196" t="s">
        <v>218</v>
      </c>
      <c r="DX112" s="197"/>
      <c r="DY112" s="78"/>
      <c r="DZ112" s="194" t="s">
        <v>216</v>
      </c>
      <c r="EA112" s="195"/>
      <c r="EB112" s="196" t="s">
        <v>218</v>
      </c>
      <c r="EC112" s="197"/>
      <c r="ED112" s="77"/>
    </row>
    <row r="113" spans="2:134" ht="13.5" thickBot="1">
      <c r="B113" s="38"/>
      <c r="C113" s="38"/>
      <c r="D113" s="38"/>
      <c r="E113" s="43" t="s">
        <v>35</v>
      </c>
      <c r="F113" s="44">
        <f>H18</f>
        <v>773.00218023255809</v>
      </c>
      <c r="G113" s="219" t="s">
        <v>146</v>
      </c>
      <c r="H113" s="219"/>
      <c r="I113" s="219"/>
      <c r="J113" s="219"/>
      <c r="K113" s="220"/>
      <c r="CT113" s="255"/>
      <c r="CU113" s="176"/>
      <c r="CV113" s="177">
        <f>DG65</f>
        <v>0</v>
      </c>
      <c r="CW113" s="178"/>
      <c r="CX113" s="190">
        <f>CV111/$DC$65</f>
        <v>0</v>
      </c>
      <c r="CY113" s="191"/>
      <c r="CZ113" s="78"/>
      <c r="DA113" s="177">
        <f>DH65</f>
        <v>0.67466666666666664</v>
      </c>
      <c r="DB113" s="178"/>
      <c r="DC113" s="190">
        <f>DA111/$DC$65</f>
        <v>2.9179333333333335</v>
      </c>
      <c r="DD113" s="191"/>
      <c r="DE113" s="78"/>
      <c r="DF113" s="177">
        <f>DI65</f>
        <v>0.69828571428571418</v>
      </c>
      <c r="DG113" s="178"/>
      <c r="DH113" s="190">
        <f>DF111/$DC$65</f>
        <v>3.020085714285714</v>
      </c>
      <c r="DI113" s="191"/>
      <c r="DJ113" s="78"/>
      <c r="DK113" s="177">
        <f>DJ65</f>
        <v>0</v>
      </c>
      <c r="DL113" s="178"/>
      <c r="DM113" s="190">
        <f>DK111/$DC$65</f>
        <v>0</v>
      </c>
      <c r="DN113" s="191"/>
      <c r="DO113" s="78"/>
      <c r="DP113" s="177">
        <f>DK65</f>
        <v>0.64280000000000004</v>
      </c>
      <c r="DQ113" s="178"/>
      <c r="DR113" s="190">
        <f>DP111/$DC$65</f>
        <v>2.7801100000000001</v>
      </c>
      <c r="DS113" s="191"/>
      <c r="DT113" s="78"/>
      <c r="DU113" s="177">
        <f>DL65</f>
        <v>0.62158333333333338</v>
      </c>
      <c r="DV113" s="178"/>
      <c r="DW113" s="190">
        <f>DU111/$DC$65</f>
        <v>2.6883479166666668</v>
      </c>
      <c r="DX113" s="191"/>
      <c r="DY113" s="78"/>
      <c r="DZ113" s="177">
        <f>DM65</f>
        <v>0.60884615384615381</v>
      </c>
      <c r="EA113" s="178"/>
      <c r="EB113" s="190">
        <f>DZ111/$DC$65</f>
        <v>2.6332596153846155</v>
      </c>
      <c r="EC113" s="191"/>
      <c r="ED113" s="77"/>
    </row>
    <row r="114" spans="2:134" ht="13.5" thickBot="1">
      <c r="B114" s="38"/>
      <c r="C114" s="38"/>
      <c r="D114" s="38"/>
      <c r="E114" s="41" t="s">
        <v>36</v>
      </c>
      <c r="F114" s="42">
        <f>J18</f>
        <v>792.17659883720933</v>
      </c>
      <c r="G114" s="217" t="s">
        <v>146</v>
      </c>
      <c r="H114" s="217"/>
      <c r="I114" s="217"/>
      <c r="J114" s="217"/>
      <c r="K114" s="218"/>
      <c r="CT114" s="256"/>
      <c r="CU114" s="80"/>
      <c r="CV114" s="80"/>
      <c r="CW114" s="80"/>
      <c r="CX114" s="80"/>
      <c r="CY114" s="80"/>
      <c r="CZ114" s="80"/>
      <c r="DA114" s="80"/>
      <c r="DB114" s="80"/>
      <c r="DC114" s="80"/>
      <c r="DD114" s="80"/>
      <c r="DE114" s="80"/>
      <c r="DF114" s="80"/>
      <c r="DG114" s="80"/>
      <c r="DH114" s="80"/>
      <c r="DI114" s="80"/>
      <c r="DJ114" s="80"/>
      <c r="DK114" s="80"/>
      <c r="DL114" s="80"/>
      <c r="DM114" s="80"/>
      <c r="DN114" s="80"/>
      <c r="DO114" s="80"/>
      <c r="DP114" s="80"/>
      <c r="DQ114" s="80"/>
      <c r="DR114" s="80"/>
      <c r="DS114" s="80"/>
      <c r="DT114" s="80"/>
      <c r="DU114" s="80"/>
      <c r="DV114" s="80"/>
      <c r="DW114" s="80"/>
      <c r="DX114" s="80"/>
      <c r="DY114" s="80"/>
      <c r="DZ114" s="80"/>
      <c r="EA114" s="80"/>
      <c r="EB114" s="80"/>
      <c r="EC114" s="80"/>
      <c r="ED114" s="81"/>
    </row>
    <row r="115" spans="2:134" ht="14.25" thickTop="1" thickBot="1">
      <c r="B115" s="38"/>
      <c r="C115" s="38"/>
      <c r="D115" s="38"/>
      <c r="E115" s="45" t="s">
        <v>8</v>
      </c>
      <c r="F115" s="46">
        <f>L18</f>
        <v>779.25799418604652</v>
      </c>
      <c r="G115" s="221" t="s">
        <v>146</v>
      </c>
      <c r="H115" s="221"/>
      <c r="I115" s="221"/>
      <c r="J115" s="221"/>
      <c r="K115" s="222"/>
      <c r="CT115" s="254" t="s">
        <v>238</v>
      </c>
      <c r="CU115" s="74"/>
      <c r="CV115" s="74"/>
      <c r="CW115" s="74"/>
      <c r="CX115" s="74"/>
      <c r="CY115" s="74"/>
      <c r="CZ115" s="74"/>
      <c r="DA115" s="74"/>
      <c r="DB115" s="74"/>
      <c r="DC115" s="74"/>
      <c r="DD115" s="74"/>
      <c r="DE115" s="74"/>
      <c r="DF115" s="74"/>
      <c r="DG115" s="74"/>
      <c r="DH115" s="74"/>
      <c r="DI115" s="74"/>
      <c r="DJ115" s="74"/>
      <c r="DK115" s="74"/>
      <c r="DL115" s="74"/>
      <c r="DM115" s="74"/>
      <c r="DN115" s="74"/>
      <c r="DO115" s="74"/>
      <c r="DP115" s="74"/>
      <c r="DQ115" s="74"/>
      <c r="DR115" s="74"/>
      <c r="DS115" s="74"/>
      <c r="DT115" s="74"/>
      <c r="DU115" s="74"/>
      <c r="DV115" s="74"/>
      <c r="DW115" s="74"/>
      <c r="DX115" s="74"/>
      <c r="DY115" s="74"/>
      <c r="DZ115" s="74"/>
      <c r="EA115" s="74"/>
      <c r="EB115" s="74"/>
      <c r="EC115" s="74"/>
      <c r="ED115" s="75"/>
    </row>
    <row r="116" spans="2:134" ht="13.5" thickBot="1">
      <c r="CT116" s="255"/>
      <c r="CU116" s="76"/>
      <c r="CV116" s="166" t="s">
        <v>230</v>
      </c>
      <c r="CW116" s="257"/>
      <c r="CX116" s="257"/>
      <c r="CY116" s="167"/>
      <c r="CZ116" s="76"/>
      <c r="DA116" s="166" t="s">
        <v>5</v>
      </c>
      <c r="DB116" s="257"/>
      <c r="DC116" s="257"/>
      <c r="DD116" s="167"/>
      <c r="DE116" s="76"/>
      <c r="DF116" s="166" t="s">
        <v>231</v>
      </c>
      <c r="DG116" s="257"/>
      <c r="DH116" s="257"/>
      <c r="DI116" s="167"/>
      <c r="DJ116" s="76"/>
      <c r="DK116" s="166" t="s">
        <v>232</v>
      </c>
      <c r="DL116" s="257"/>
      <c r="DM116" s="257"/>
      <c r="DN116" s="167"/>
      <c r="DO116" s="76"/>
      <c r="DP116" s="166" t="s">
        <v>233</v>
      </c>
      <c r="DQ116" s="257"/>
      <c r="DR116" s="257"/>
      <c r="DS116" s="167"/>
      <c r="DT116" s="76"/>
      <c r="DU116" s="166" t="s">
        <v>234</v>
      </c>
      <c r="DV116" s="257"/>
      <c r="DW116" s="257"/>
      <c r="DX116" s="167"/>
      <c r="DY116" s="76"/>
      <c r="DZ116" s="166" t="s">
        <v>235</v>
      </c>
      <c r="EA116" s="257"/>
      <c r="EB116" s="257"/>
      <c r="EC116" s="167"/>
      <c r="ED116" s="77"/>
    </row>
    <row r="117" spans="2:134" ht="13.5" thickBot="1">
      <c r="B117" s="245" t="s">
        <v>0</v>
      </c>
      <c r="C117" s="246"/>
      <c r="D117" s="30">
        <v>7</v>
      </c>
      <c r="E117" s="39" t="s">
        <v>3</v>
      </c>
      <c r="F117" s="40">
        <f>D19</f>
        <v>488.64643895348837</v>
      </c>
      <c r="G117" s="247" t="s">
        <v>146</v>
      </c>
      <c r="H117" s="247"/>
      <c r="I117" s="247"/>
      <c r="J117" s="247"/>
      <c r="K117" s="248"/>
      <c r="CT117" s="255"/>
      <c r="CU117" s="76"/>
      <c r="CV117" s="258">
        <f>(CW68)/100</f>
        <v>0.18663716814159292</v>
      </c>
      <c r="CW117" s="259"/>
      <c r="CX117" s="259"/>
      <c r="CY117" s="260"/>
      <c r="CZ117" s="76"/>
      <c r="DA117" s="258">
        <f>CX68/100</f>
        <v>0.34690265486725663</v>
      </c>
      <c r="DB117" s="259"/>
      <c r="DC117" s="259"/>
      <c r="DD117" s="260"/>
      <c r="DE117" s="76"/>
      <c r="DF117" s="258">
        <f>CY68/100</f>
        <v>0.12513274336283187</v>
      </c>
      <c r="DG117" s="259"/>
      <c r="DH117" s="259"/>
      <c r="DI117" s="260"/>
      <c r="DJ117" s="76"/>
      <c r="DK117" s="258">
        <f>CZ68/100</f>
        <v>0.13380530973451327</v>
      </c>
      <c r="DL117" s="259"/>
      <c r="DM117" s="259"/>
      <c r="DN117" s="260"/>
      <c r="DO117" s="76"/>
      <c r="DP117" s="258">
        <f>DA68/100</f>
        <v>0.1363716814159292</v>
      </c>
      <c r="DQ117" s="259"/>
      <c r="DR117" s="259"/>
      <c r="DS117" s="260"/>
      <c r="DT117" s="76"/>
      <c r="DU117" s="258">
        <f>DB68/100</f>
        <v>0.16053097345132744</v>
      </c>
      <c r="DV117" s="259"/>
      <c r="DW117" s="259"/>
      <c r="DX117" s="260"/>
      <c r="DY117" s="76"/>
      <c r="DZ117" s="258">
        <f>DC68/100</f>
        <v>0.12212389380530973</v>
      </c>
      <c r="EA117" s="259"/>
      <c r="EB117" s="259"/>
      <c r="EC117" s="260"/>
      <c r="ED117" s="77"/>
    </row>
    <row r="118" spans="2:134" ht="13.5" thickBot="1">
      <c r="B118" s="38"/>
      <c r="C118" s="38"/>
      <c r="D118" s="38"/>
      <c r="E118" s="41" t="s">
        <v>5</v>
      </c>
      <c r="F118" s="42">
        <f>F19</f>
        <v>996.890625</v>
      </c>
      <c r="G118" s="217" t="s">
        <v>146</v>
      </c>
      <c r="H118" s="217"/>
      <c r="I118" s="217"/>
      <c r="J118" s="217"/>
      <c r="K118" s="218"/>
      <c r="CT118" s="255"/>
      <c r="CU118" s="76"/>
      <c r="CV118" s="261"/>
      <c r="CW118" s="262"/>
      <c r="CX118" s="262"/>
      <c r="CY118" s="263"/>
      <c r="CZ118" s="76"/>
      <c r="DA118" s="261"/>
      <c r="DB118" s="262"/>
      <c r="DC118" s="262"/>
      <c r="DD118" s="263"/>
      <c r="DE118" s="76"/>
      <c r="DF118" s="261"/>
      <c r="DG118" s="262"/>
      <c r="DH118" s="262"/>
      <c r="DI118" s="263"/>
      <c r="DJ118" s="76"/>
      <c r="DK118" s="261"/>
      <c r="DL118" s="262"/>
      <c r="DM118" s="262"/>
      <c r="DN118" s="263"/>
      <c r="DO118" s="76"/>
      <c r="DP118" s="261"/>
      <c r="DQ118" s="262"/>
      <c r="DR118" s="262"/>
      <c r="DS118" s="263"/>
      <c r="DT118" s="76"/>
      <c r="DU118" s="261"/>
      <c r="DV118" s="262"/>
      <c r="DW118" s="262"/>
      <c r="DX118" s="263"/>
      <c r="DY118" s="76"/>
      <c r="DZ118" s="261"/>
      <c r="EA118" s="262"/>
      <c r="EB118" s="262"/>
      <c r="EC118" s="263"/>
      <c r="ED118" s="77"/>
    </row>
    <row r="119" spans="2:134" ht="13.5" thickBot="1">
      <c r="B119" s="38"/>
      <c r="C119" s="38"/>
      <c r="D119" s="38"/>
      <c r="E119" s="43" t="s">
        <v>35</v>
      </c>
      <c r="F119" s="44">
        <f>H19</f>
        <v>775.11155523255809</v>
      </c>
      <c r="G119" s="219" t="s">
        <v>146</v>
      </c>
      <c r="H119" s="219"/>
      <c r="I119" s="219"/>
      <c r="J119" s="219"/>
      <c r="K119" s="220"/>
      <c r="CT119" s="255"/>
      <c r="CU119" s="76"/>
      <c r="CV119" s="76"/>
      <c r="CW119" s="76"/>
      <c r="CX119" s="76"/>
      <c r="CY119" s="76"/>
      <c r="CZ119" s="76"/>
      <c r="DA119" s="76"/>
      <c r="DB119" s="76"/>
      <c r="DC119" s="76"/>
      <c r="DD119" s="76"/>
      <c r="DE119" s="76"/>
      <c r="DF119" s="76"/>
      <c r="DG119" s="76"/>
      <c r="DH119" s="76"/>
      <c r="DI119" s="76"/>
      <c r="DJ119" s="76"/>
      <c r="DK119" s="76"/>
      <c r="DL119" s="76"/>
      <c r="DM119" s="76"/>
      <c r="DN119" s="76"/>
      <c r="DO119" s="76"/>
      <c r="DP119" s="76"/>
      <c r="DQ119" s="76"/>
      <c r="DR119" s="76"/>
      <c r="DS119" s="76"/>
      <c r="DT119" s="76"/>
      <c r="DU119" s="76"/>
      <c r="DV119" s="76"/>
      <c r="DW119" s="76"/>
      <c r="DX119" s="76"/>
      <c r="DY119" s="76"/>
      <c r="DZ119" s="76"/>
      <c r="EA119" s="76"/>
      <c r="EB119" s="76"/>
      <c r="EC119" s="76"/>
      <c r="ED119" s="77"/>
    </row>
    <row r="120" spans="2:134">
      <c r="B120" s="38"/>
      <c r="C120" s="38"/>
      <c r="D120" s="38"/>
      <c r="E120" s="41" t="s">
        <v>36</v>
      </c>
      <c r="F120" s="42">
        <f>J19</f>
        <v>794.28597383720933</v>
      </c>
      <c r="G120" s="217" t="s">
        <v>146</v>
      </c>
      <c r="H120" s="217"/>
      <c r="I120" s="217"/>
      <c r="J120" s="217"/>
      <c r="K120" s="218"/>
      <c r="CT120" s="255"/>
      <c r="CU120" s="76"/>
      <c r="CV120" s="166" t="s">
        <v>236</v>
      </c>
      <c r="CW120" s="257"/>
      <c r="CX120" s="257"/>
      <c r="CY120" s="167"/>
      <c r="CZ120" s="76"/>
      <c r="DA120" s="166" t="s">
        <v>6</v>
      </c>
      <c r="DB120" s="257"/>
      <c r="DC120" s="257"/>
      <c r="DD120" s="167"/>
      <c r="DE120" s="76"/>
      <c r="DF120" s="166" t="s">
        <v>8</v>
      </c>
      <c r="DG120" s="257"/>
      <c r="DH120" s="257"/>
      <c r="DI120" s="167"/>
      <c r="DJ120" s="76"/>
      <c r="DK120" s="166" t="s">
        <v>237</v>
      </c>
      <c r="DL120" s="257"/>
      <c r="DM120" s="257"/>
      <c r="DN120" s="167"/>
      <c r="DO120" s="76"/>
      <c r="DP120" s="76"/>
      <c r="DQ120" s="76"/>
      <c r="DR120" s="76"/>
      <c r="DS120" s="76"/>
      <c r="DT120" s="76"/>
      <c r="DU120" s="76"/>
      <c r="DV120" s="76"/>
      <c r="DW120" s="76"/>
      <c r="DX120" s="76"/>
      <c r="DY120" s="76"/>
      <c r="DZ120" s="76"/>
      <c r="EA120" s="76"/>
      <c r="EB120" s="76"/>
      <c r="EC120" s="76"/>
      <c r="ED120" s="77"/>
    </row>
    <row r="121" spans="2:134" ht="13.5" thickBot="1">
      <c r="B121" s="38"/>
      <c r="C121" s="38"/>
      <c r="D121" s="38"/>
      <c r="E121" s="45" t="s">
        <v>8</v>
      </c>
      <c r="F121" s="46">
        <f>L19</f>
        <v>781.36736918604652</v>
      </c>
      <c r="G121" s="221" t="s">
        <v>146</v>
      </c>
      <c r="H121" s="221"/>
      <c r="I121" s="221"/>
      <c r="J121" s="221"/>
      <c r="K121" s="222"/>
      <c r="CT121" s="255"/>
      <c r="CU121" s="76"/>
      <c r="CV121" s="258">
        <f>DD68/100</f>
        <v>0.23238938053097347</v>
      </c>
      <c r="CW121" s="259"/>
      <c r="CX121" s="259"/>
      <c r="CY121" s="260"/>
      <c r="CZ121" s="76"/>
      <c r="DA121" s="258">
        <f>DE68/100</f>
        <v>0.27973451327433629</v>
      </c>
      <c r="DB121" s="259"/>
      <c r="DC121" s="259"/>
      <c r="DD121" s="260"/>
      <c r="DE121" s="76"/>
      <c r="DF121" s="258">
        <f>DF68/100</f>
        <v>0.18221238938053097</v>
      </c>
      <c r="DG121" s="259"/>
      <c r="DH121" s="259"/>
      <c r="DI121" s="260"/>
      <c r="DJ121" s="76"/>
      <c r="DK121" s="258">
        <f>DG68/100</f>
        <v>0.13902654867256636</v>
      </c>
      <c r="DL121" s="259"/>
      <c r="DM121" s="259"/>
      <c r="DN121" s="260"/>
      <c r="DO121" s="76"/>
      <c r="DP121" s="76"/>
      <c r="DQ121" s="76"/>
      <c r="DR121" s="76"/>
      <c r="DS121" s="76"/>
      <c r="DT121" s="76"/>
      <c r="DU121" s="76"/>
      <c r="DV121" s="76"/>
      <c r="DW121" s="76"/>
      <c r="DX121" s="76"/>
      <c r="DY121" s="76"/>
      <c r="DZ121" s="76"/>
      <c r="EA121" s="76"/>
      <c r="EB121" s="76"/>
      <c r="EC121" s="76"/>
      <c r="ED121" s="77"/>
    </row>
    <row r="122" spans="2:134" ht="13.5" thickBot="1">
      <c r="CT122" s="255"/>
      <c r="CU122" s="76"/>
      <c r="CV122" s="261"/>
      <c r="CW122" s="262"/>
      <c r="CX122" s="262"/>
      <c r="CY122" s="263"/>
      <c r="CZ122" s="76"/>
      <c r="DA122" s="261"/>
      <c r="DB122" s="262"/>
      <c r="DC122" s="262"/>
      <c r="DD122" s="263"/>
      <c r="DE122" s="76"/>
      <c r="DF122" s="261"/>
      <c r="DG122" s="262"/>
      <c r="DH122" s="262"/>
      <c r="DI122" s="263"/>
      <c r="DJ122" s="76"/>
      <c r="DK122" s="261"/>
      <c r="DL122" s="262"/>
      <c r="DM122" s="262"/>
      <c r="DN122" s="263"/>
      <c r="DO122" s="76"/>
      <c r="DP122" s="76"/>
      <c r="DQ122" s="76"/>
      <c r="DR122" s="76"/>
      <c r="DS122" s="76"/>
      <c r="DT122" s="76"/>
      <c r="DU122" s="76"/>
      <c r="DV122" s="76"/>
      <c r="DW122" s="76"/>
      <c r="DX122" s="76"/>
      <c r="DY122" s="76"/>
      <c r="DZ122" s="76"/>
      <c r="EA122" s="76"/>
      <c r="EB122" s="76"/>
      <c r="EC122" s="76"/>
      <c r="ED122" s="77"/>
    </row>
    <row r="123" spans="2:134" ht="13.5" thickBot="1">
      <c r="B123" s="245" t="s">
        <v>0</v>
      </c>
      <c r="C123" s="246"/>
      <c r="D123" s="30">
        <v>8</v>
      </c>
      <c r="E123" s="39" t="s">
        <v>3</v>
      </c>
      <c r="F123" s="40">
        <f>D20</f>
        <v>489.70112645348837</v>
      </c>
      <c r="G123" s="247" t="s">
        <v>146</v>
      </c>
      <c r="H123" s="247"/>
      <c r="I123" s="247"/>
      <c r="J123" s="247"/>
      <c r="K123" s="248"/>
      <c r="CT123" s="256"/>
      <c r="CU123" s="80"/>
      <c r="CV123" s="80"/>
      <c r="CW123" s="80"/>
      <c r="CX123" s="80"/>
      <c r="CY123" s="80"/>
      <c r="CZ123" s="80"/>
      <c r="DA123" s="80"/>
      <c r="DB123" s="80"/>
      <c r="DC123" s="80"/>
      <c r="DD123" s="80"/>
      <c r="DE123" s="80"/>
      <c r="DF123" s="80"/>
      <c r="DG123" s="80"/>
      <c r="DH123" s="80"/>
      <c r="DI123" s="80"/>
      <c r="DJ123" s="80"/>
      <c r="DK123" s="80"/>
      <c r="DL123" s="80"/>
      <c r="DM123" s="80"/>
      <c r="DN123" s="80"/>
      <c r="DO123" s="80"/>
      <c r="DP123" s="80"/>
      <c r="DQ123" s="80"/>
      <c r="DR123" s="80"/>
      <c r="DS123" s="80"/>
      <c r="DT123" s="80"/>
      <c r="DU123" s="80"/>
      <c r="DV123" s="80"/>
      <c r="DW123" s="80"/>
      <c r="DX123" s="80"/>
      <c r="DY123" s="80"/>
      <c r="DZ123" s="80"/>
      <c r="EA123" s="80"/>
      <c r="EB123" s="80"/>
      <c r="EC123" s="80"/>
      <c r="ED123" s="81"/>
    </row>
    <row r="124" spans="2:134">
      <c r="B124" s="38"/>
      <c r="C124" s="38"/>
      <c r="D124" s="38"/>
      <c r="E124" s="41" t="s">
        <v>5</v>
      </c>
      <c r="F124" s="42">
        <f>F20</f>
        <v>997.9453125</v>
      </c>
      <c r="G124" s="217" t="s">
        <v>146</v>
      </c>
      <c r="H124" s="217"/>
      <c r="I124" s="217"/>
      <c r="J124" s="217"/>
      <c r="K124" s="218"/>
    </row>
    <row r="125" spans="2:134" ht="13.5" thickBot="1">
      <c r="B125" s="38"/>
      <c r="C125" s="38"/>
      <c r="D125" s="38"/>
      <c r="E125" s="43" t="s">
        <v>35</v>
      </c>
      <c r="F125" s="44">
        <f>H20</f>
        <v>776.16624273255809</v>
      </c>
      <c r="G125" s="219" t="s">
        <v>146</v>
      </c>
      <c r="H125" s="219"/>
      <c r="I125" s="219"/>
      <c r="J125" s="219"/>
      <c r="K125" s="220"/>
      <c r="DQ125" s="4"/>
      <c r="DR125" s="4"/>
      <c r="DS125" s="4"/>
      <c r="DT125" s="4"/>
      <c r="DU125" s="4"/>
      <c r="DV125" s="4"/>
      <c r="DW125" s="4"/>
      <c r="DX125" s="4"/>
    </row>
    <row r="126" spans="2:134" ht="13.5" thickTop="1">
      <c r="B126" s="38"/>
      <c r="C126" s="38"/>
      <c r="D126" s="38"/>
      <c r="E126" s="41" t="s">
        <v>36</v>
      </c>
      <c r="F126" s="42">
        <f>J20</f>
        <v>795.34066133720933</v>
      </c>
      <c r="G126" s="217" t="s">
        <v>146</v>
      </c>
      <c r="H126" s="217"/>
      <c r="I126" s="217"/>
      <c r="J126" s="217"/>
      <c r="K126" s="218"/>
      <c r="CT126" s="117"/>
      <c r="CU126" s="164" t="s">
        <v>295</v>
      </c>
      <c r="CV126" s="164"/>
      <c r="CW126" s="164"/>
      <c r="CX126" s="164"/>
      <c r="CY126" s="164"/>
      <c r="CZ126" s="164"/>
      <c r="DA126" s="164"/>
      <c r="DB126" s="164"/>
      <c r="DC126" s="164"/>
      <c r="DD126" s="164"/>
      <c r="DE126" s="164"/>
      <c r="DF126" s="164"/>
      <c r="DG126" s="164"/>
      <c r="DH126" s="164"/>
      <c r="DI126" s="164"/>
      <c r="DJ126" s="164"/>
      <c r="DK126" s="164"/>
      <c r="DL126" s="164"/>
      <c r="DM126" s="164"/>
      <c r="DN126" s="164"/>
      <c r="DO126" s="75"/>
      <c r="DQ126" s="7"/>
      <c r="DR126" s="7"/>
      <c r="DS126" s="7"/>
      <c r="DT126" s="7"/>
      <c r="DU126" s="7"/>
      <c r="DV126" s="7"/>
      <c r="DW126" s="7"/>
      <c r="DX126" s="7"/>
    </row>
    <row r="127" spans="2:134" ht="13.5" thickBot="1">
      <c r="B127" s="38"/>
      <c r="C127" s="38"/>
      <c r="D127" s="38"/>
      <c r="E127" s="45" t="s">
        <v>8</v>
      </c>
      <c r="F127" s="46">
        <f>L20</f>
        <v>782.42205668604652</v>
      </c>
      <c r="G127" s="221" t="s">
        <v>146</v>
      </c>
      <c r="H127" s="221"/>
      <c r="I127" s="221"/>
      <c r="J127" s="221"/>
      <c r="K127" s="222"/>
      <c r="CT127" s="118"/>
      <c r="CU127" s="165"/>
      <c r="CV127" s="165"/>
      <c r="CW127" s="165"/>
      <c r="CX127" s="165"/>
      <c r="CY127" s="165"/>
      <c r="CZ127" s="165"/>
      <c r="DA127" s="165"/>
      <c r="DB127" s="165"/>
      <c r="DC127" s="165"/>
      <c r="DD127" s="165"/>
      <c r="DE127" s="165"/>
      <c r="DF127" s="165"/>
      <c r="DG127" s="165"/>
      <c r="DH127" s="165"/>
      <c r="DI127" s="165"/>
      <c r="DJ127" s="165"/>
      <c r="DK127" s="165"/>
      <c r="DL127" s="165"/>
      <c r="DM127" s="165"/>
      <c r="DN127" s="165"/>
      <c r="DO127" s="77"/>
      <c r="DQ127" s="189" t="s">
        <v>258</v>
      </c>
      <c r="DR127" s="189"/>
      <c r="DS127" s="189"/>
      <c r="DT127" s="7"/>
      <c r="DU127" s="189">
        <f>VLOOKUP($G$5,$CA$3:$CM$64,13,FALSE)+(CV131*0.028+DA131*0.01+E74*0.00025+E76*0.0005-CV132*0.00015)</f>
        <v>1.0900000000000001</v>
      </c>
      <c r="DV127" s="189"/>
      <c r="DW127" s="189"/>
      <c r="DX127" s="189"/>
    </row>
    <row r="128" spans="2:134" ht="13.5" thickBot="1">
      <c r="CT128" s="118"/>
      <c r="CU128" s="109"/>
      <c r="CV128" s="110"/>
      <c r="CW128" s="110"/>
      <c r="CX128" s="110"/>
      <c r="CY128" s="110"/>
      <c r="CZ128" s="110"/>
      <c r="DA128" s="110"/>
      <c r="DB128" s="110"/>
      <c r="DC128" s="110"/>
      <c r="DD128" s="111"/>
      <c r="DE128" s="76"/>
      <c r="DF128" s="158" t="s">
        <v>253</v>
      </c>
      <c r="DG128" s="159"/>
      <c r="DH128" s="159"/>
      <c r="DI128" s="159"/>
      <c r="DJ128" s="86"/>
      <c r="DK128" s="160">
        <f>(DC65*DD65)/DU127</f>
        <v>281.72018348623851</v>
      </c>
      <c r="DL128" s="160"/>
      <c r="DM128" s="160"/>
      <c r="DN128" s="161"/>
      <c r="DO128" s="77"/>
      <c r="DQ128" s="7"/>
      <c r="DR128" s="7"/>
      <c r="DS128" s="7"/>
      <c r="DT128" s="7"/>
      <c r="DU128" s="7"/>
      <c r="DV128" s="7"/>
      <c r="DW128" s="7"/>
      <c r="DX128" s="7"/>
    </row>
    <row r="129" spans="2:128" ht="13.5" thickBot="1">
      <c r="H129" s="138"/>
      <c r="CT129" s="118"/>
      <c r="CU129" s="41"/>
      <c r="CV129" s="179" t="s">
        <v>250</v>
      </c>
      <c r="CW129" s="180"/>
      <c r="CX129" s="180"/>
      <c r="CY129" s="181"/>
      <c r="CZ129" s="76"/>
      <c r="DA129" s="179" t="s">
        <v>259</v>
      </c>
      <c r="DB129" s="180"/>
      <c r="DC129" s="180"/>
      <c r="DD129" s="185"/>
      <c r="DE129" s="76"/>
      <c r="DF129" s="158" t="s">
        <v>254</v>
      </c>
      <c r="DG129" s="159"/>
      <c r="DH129" s="159"/>
      <c r="DI129" s="159"/>
      <c r="DJ129" s="86"/>
      <c r="DK129" s="160">
        <f>DK128/DC65</f>
        <v>3.9678899082568804</v>
      </c>
      <c r="DL129" s="160"/>
      <c r="DM129" s="160"/>
      <c r="DN129" s="161"/>
      <c r="DO129" s="77"/>
      <c r="DQ129" s="4"/>
      <c r="DR129" s="4"/>
      <c r="DS129" s="4"/>
      <c r="DT129" s="4"/>
      <c r="DU129" s="4"/>
      <c r="DV129" s="4"/>
      <c r="DW129" s="4"/>
      <c r="DX129" s="4"/>
    </row>
    <row r="130" spans="2:128" ht="14.25" thickBot="1">
      <c r="C130" s="241"/>
      <c r="E130" s="242" t="s">
        <v>287</v>
      </c>
      <c r="F130" s="243"/>
      <c r="G130" s="17" t="s">
        <v>96</v>
      </c>
      <c r="H130" s="130"/>
      <c r="I130" s="242" t="s">
        <v>288</v>
      </c>
      <c r="J130" s="243"/>
      <c r="K130" s="17" t="s">
        <v>96</v>
      </c>
      <c r="L130" s="130"/>
      <c r="M130" s="242" t="s">
        <v>293</v>
      </c>
      <c r="N130" s="243"/>
      <c r="O130" s="83" t="s">
        <v>96</v>
      </c>
      <c r="CT130" s="118"/>
      <c r="CU130" s="41"/>
      <c r="CV130" s="182"/>
      <c r="CW130" s="183"/>
      <c r="CX130" s="183"/>
      <c r="CY130" s="184"/>
      <c r="CZ130" s="76"/>
      <c r="DA130" s="182"/>
      <c r="DB130" s="183"/>
      <c r="DC130" s="183"/>
      <c r="DD130" s="186"/>
      <c r="DE130" s="76"/>
      <c r="DF130" s="158" t="s">
        <v>255</v>
      </c>
      <c r="DG130" s="159"/>
      <c r="DH130" s="159"/>
      <c r="DI130" s="159"/>
      <c r="DJ130" s="86"/>
      <c r="DK130" s="160">
        <f>DK128/(DD65*DC65)</f>
        <v>0.9174311926605504</v>
      </c>
      <c r="DL130" s="160"/>
      <c r="DM130" s="160"/>
      <c r="DN130" s="161"/>
      <c r="DO130" s="77"/>
    </row>
    <row r="131" spans="2:128" ht="14.25" thickBot="1">
      <c r="C131" s="241"/>
      <c r="E131" s="18" t="s">
        <v>14</v>
      </c>
      <c r="F131" s="19">
        <f t="shared" ref="F131:F136" si="154">F24</f>
        <v>422.72847020348837</v>
      </c>
      <c r="G131" s="20">
        <f>F131+(O4/2)</f>
        <v>448.72847020348837</v>
      </c>
      <c r="H131" s="130">
        <f>ROUND(IF($N$82="sec",IF($N$86="sec",IF($N$88&gt;0,(F131+($N$88*4.1)),(F131+($N$88*(4.1)))),IF($N$88&gt;0,($N$88*4.1),($N$88*(4.1)))+(($N$87*(-3.898))+202.5)+F131),IF($N$86="pluie",IF($N$88&gt;0,(F131+($N$88*0.66)),(F131+($N$88*(0.66)))),IF($N$88&gt;0,($N$88*0.66),($N$88*(0.66)))+(($N$87*(3.898))-202.5)+F131)),0)</f>
        <v>423</v>
      </c>
      <c r="I131" s="18" t="s">
        <v>14</v>
      </c>
      <c r="J131" s="19">
        <f t="shared" ref="J131:J136" si="155">IF(H131&lt;0,1,IF(H131&gt;999,999,H131))</f>
        <v>423</v>
      </c>
      <c r="K131" s="20">
        <f>J131+(O5/2)</f>
        <v>449</v>
      </c>
      <c r="L131" s="130">
        <f>ROUND(IF($N$82="sec",IF($N$90="sec",IF($N$92&gt;0,(F131+($N$92*4.1)),(F131+($N$92*(4.1)))),IF($N$92&gt;0,($N$92*4.1),($N$92*(4.1)))+(($N$91*(-3.898))+202.5)+F131),IF($N$90="pluie",IF($N$92&gt;0,(F131+($N$92*0.66)),(F131+($N$92*(0.66)))),IF($N$92&gt;0,($N$92*0.66),($N$92*(0.66)))+(($N$91*(3.898))-202.5)+F131)),0)</f>
        <v>423</v>
      </c>
      <c r="M131" s="18" t="s">
        <v>14</v>
      </c>
      <c r="N131" s="19">
        <f t="shared" ref="N131:N136" si="156">IF(L131&lt;0,1,IF(L131&gt;999,999,L131))</f>
        <v>423</v>
      </c>
      <c r="O131" s="84">
        <f>N131+(O6/2)</f>
        <v>449</v>
      </c>
      <c r="CT131" s="118"/>
      <c r="CU131" s="112" t="s">
        <v>251</v>
      </c>
      <c r="CV131" s="187">
        <v>0</v>
      </c>
      <c r="CW131" s="187"/>
      <c r="CX131" s="187"/>
      <c r="CY131" s="187"/>
      <c r="CZ131" s="76"/>
      <c r="DA131" s="187">
        <v>0</v>
      </c>
      <c r="DB131" s="187"/>
      <c r="DC131" s="187"/>
      <c r="DD131" s="188"/>
      <c r="DE131" s="76"/>
      <c r="DF131" s="85"/>
      <c r="DG131" s="85"/>
      <c r="DH131" s="85"/>
      <c r="DI131" s="85"/>
      <c r="DJ131" s="85"/>
      <c r="DK131" s="85"/>
      <c r="DL131" s="85"/>
      <c r="DM131" s="85"/>
      <c r="DN131" s="85"/>
      <c r="DO131" s="77"/>
    </row>
    <row r="132" spans="2:128" ht="14.25" thickBot="1">
      <c r="C132" s="241"/>
      <c r="E132" s="18" t="s">
        <v>15</v>
      </c>
      <c r="F132" s="19">
        <f t="shared" si="154"/>
        <v>422.72847020348837</v>
      </c>
      <c r="G132" s="20">
        <f>F132-(O4/2)</f>
        <v>396.72847020348837</v>
      </c>
      <c r="H132" s="130">
        <f>ROUND(IF($N$82="sec",IF($N$86="sec",IF($N$88&gt;0,(F132+($N$88*4.1)),(F132+($N$88*(4.1)))),IF($N$88&gt;0,($N$88*4.1),($N$88*(4.1)))+(($N$87*(-3.898))+202.5)+F132),IF($N$86="pluie",IF($N$88&gt;0,(F132+($N$88*0.66)),(F132+($N$88*(0.66)))),IF($N$88&gt;0,($N$88*0.66),($N$88*(0.66)))+(($N$87*(3.898))-202.5)+F132)),0)</f>
        <v>423</v>
      </c>
      <c r="I132" s="18" t="s">
        <v>15</v>
      </c>
      <c r="J132" s="19">
        <f t="shared" si="155"/>
        <v>423</v>
      </c>
      <c r="K132" s="20">
        <f>J132-(O5/2)</f>
        <v>397</v>
      </c>
      <c r="L132" s="130">
        <f>ROUND(IF($N$82="sec",IF($N$90="sec",IF($N$92&gt;0,(F132+($N$92*4.1)),(F132+($N$92*(4.1)))),IF($N$92&gt;0,($N$92*4.1),($N$92*(4.1)))+(($N$91*(-3.898))+202.5)+F132),IF($N$90="pluie",IF($N$92&gt;0,(F132+($N$92*0.66)),(F132+($N$92*(0.66)))),IF($N$92&gt;0,($N$92*0.66),($N$92*(0.66)))+(($N$91*(3.898))-202.5)+F132)),0)</f>
        <v>423</v>
      </c>
      <c r="M132" s="18" t="s">
        <v>15</v>
      </c>
      <c r="N132" s="19">
        <f t="shared" si="156"/>
        <v>423</v>
      </c>
      <c r="O132" s="84">
        <f>N132-(O6/2)</f>
        <v>397</v>
      </c>
      <c r="CT132" s="118"/>
      <c r="CU132" s="113" t="s">
        <v>252</v>
      </c>
      <c r="CV132" s="187">
        <v>0</v>
      </c>
      <c r="CW132" s="187"/>
      <c r="CX132" s="187"/>
      <c r="CY132" s="187"/>
      <c r="CZ132" s="76"/>
      <c r="DA132" s="187">
        <v>0</v>
      </c>
      <c r="DB132" s="187"/>
      <c r="DC132" s="187"/>
      <c r="DD132" s="188"/>
      <c r="DE132" s="76"/>
      <c r="DF132" s="158" t="s">
        <v>256</v>
      </c>
      <c r="DG132" s="159"/>
      <c r="DH132" s="159"/>
      <c r="DI132" s="159"/>
      <c r="DJ132" s="116"/>
      <c r="DK132" s="162">
        <v>0</v>
      </c>
      <c r="DL132" s="162"/>
      <c r="DM132" s="162"/>
      <c r="DN132" s="163"/>
      <c r="DO132" s="77"/>
    </row>
    <row r="133" spans="2:128" ht="13.5" thickBot="1">
      <c r="C133" s="241"/>
      <c r="E133" s="18" t="s">
        <v>16</v>
      </c>
      <c r="F133" s="19">
        <f t="shared" si="154"/>
        <v>930.97265625</v>
      </c>
      <c r="G133" s="20">
        <f>F133</f>
        <v>930.97265625</v>
      </c>
      <c r="H133" s="130">
        <f>ROUND(IF($N$82="sec",IF($N$86="sec",IF($N$88&gt;0,(F133-($N$88*3.5)),(F133+($N$88*(-3.5)))),IF($N$88&gt;0,-($N$88*3.5),($N$88*(-3.5)))+(($N$87*4.844)-225.2)+F133),IF($N$86="pluie",IF($N$88&gt;0,(F133+($N$88*(0.83))),(F133+($N$88*(0.83)))),IF($N$88&gt;0,($N$88*(0.83)),($N$88*(-0.83)))+(($N$87*(-4.844))+225.2)+F133)),0)</f>
        <v>931</v>
      </c>
      <c r="I133" s="18" t="s">
        <v>16</v>
      </c>
      <c r="J133" s="19">
        <f t="shared" si="155"/>
        <v>931</v>
      </c>
      <c r="K133" s="20">
        <f>J133</f>
        <v>931</v>
      </c>
      <c r="L133" s="130">
        <f>ROUND(IF($N$82="sec",IF($N$90="sec",IF($N$92&gt;0,(F133-($N$92*3.5)),(F133+($N$92*(-3.5)))),IF($N$92&gt;0,-($N$92*3.5),($N$92*(-3.5)))+(($N$91*(4.844))-225.2)+F133),IF($N$90="pluie",IF($N$92&gt;0,(F133+($N$92*(0.83))),(F133+($N$92*(0.83)))),IF($N$92&gt;0,($N$92*(0.83)),($N$92*(0.83)))+(($N$91*(-4.844))+225.2)+F133)),0)</f>
        <v>931</v>
      </c>
      <c r="M133" s="18" t="s">
        <v>16</v>
      </c>
      <c r="N133" s="19">
        <f t="shared" si="156"/>
        <v>931</v>
      </c>
      <c r="O133" s="84">
        <f>N133</f>
        <v>931</v>
      </c>
      <c r="CT133" s="118"/>
      <c r="CU133" s="51"/>
      <c r="CV133" s="114"/>
      <c r="CW133" s="114"/>
      <c r="CX133" s="114"/>
      <c r="CY133" s="114"/>
      <c r="CZ133" s="114"/>
      <c r="DA133" s="114"/>
      <c r="DB133" s="114"/>
      <c r="DC133" s="114"/>
      <c r="DD133" s="115"/>
      <c r="DE133" s="76"/>
      <c r="DF133" s="158" t="s">
        <v>257</v>
      </c>
      <c r="DG133" s="159"/>
      <c r="DH133" s="159"/>
      <c r="DI133" s="159"/>
      <c r="DJ133" s="86"/>
      <c r="DK133" s="160">
        <f>DK132*DK129</f>
        <v>0</v>
      </c>
      <c r="DL133" s="160"/>
      <c r="DM133" s="160"/>
      <c r="DN133" s="161"/>
      <c r="DO133" s="77"/>
    </row>
    <row r="134" spans="2:128" ht="13.5" thickBot="1">
      <c r="C134" s="241"/>
      <c r="E134" s="18" t="s">
        <v>17</v>
      </c>
      <c r="F134" s="19">
        <f t="shared" si="154"/>
        <v>709.19358648255809</v>
      </c>
      <c r="G134" s="20">
        <f>F134</f>
        <v>709.19358648255809</v>
      </c>
      <c r="H134" s="130">
        <f>ROUND(IF($N$82="sec",IF($N$86="sec",IF($N$88&gt;0,(F134+($N$88*6)),(F134+($N$88*(6)))),IF($N$88&gt;0,($N$88*6),($N$88*(6)))+(($N$87*(-0.877))+84.14)+F134),IF($N$86="pluie",IF($N$88&gt;0,(F134+($N$88*4)),(F134+($N$88*(4)))),IF($N$88&gt;0,($N$88*4),($N$88*(4)))+(($N$87*(0.877))-84.14)+F134)),0)</f>
        <v>709</v>
      </c>
      <c r="I134" s="18" t="s">
        <v>17</v>
      </c>
      <c r="J134" s="19">
        <f t="shared" si="155"/>
        <v>709</v>
      </c>
      <c r="K134" s="20">
        <f>J134</f>
        <v>709</v>
      </c>
      <c r="L134" s="130">
        <f>ROUND(IF($N$82="sec",IF($N$90="sec",IF($N$92&gt;0,(F134+($N$92*6)),(F134+($N$92*(6)))),IF($N$92&gt;0,($N$92*6),($N$92*(6)))+(($N$91*(-0.877))+84.14)+F134),IF($N$90="pluie",IF($N$92&gt;0,(F134+($N$92*4)),(F134+($N$92*(4)))),IF($N$92&gt;0,($N$92*4),($N$92*(4)))+(($N$91*(0.877))-84.14)+F134)),0)</f>
        <v>709</v>
      </c>
      <c r="M134" s="18" t="s">
        <v>17</v>
      </c>
      <c r="N134" s="19">
        <f t="shared" si="156"/>
        <v>709</v>
      </c>
      <c r="O134" s="84">
        <f>N134</f>
        <v>709</v>
      </c>
      <c r="CT134" s="119"/>
      <c r="CU134" s="80"/>
      <c r="CV134" s="80"/>
      <c r="CW134" s="80"/>
      <c r="CX134" s="80"/>
      <c r="CY134" s="80"/>
      <c r="CZ134" s="80"/>
      <c r="DA134" s="80"/>
      <c r="DB134" s="80"/>
      <c r="DC134" s="80"/>
      <c r="DD134" s="80"/>
      <c r="DE134" s="80"/>
      <c r="DF134" s="80"/>
      <c r="DG134" s="80"/>
      <c r="DH134" s="80"/>
      <c r="DI134" s="80"/>
      <c r="DJ134" s="80"/>
      <c r="DK134" s="80"/>
      <c r="DL134" s="80"/>
      <c r="DM134" s="80"/>
      <c r="DN134" s="80"/>
      <c r="DO134" s="81"/>
    </row>
    <row r="135" spans="2:128" ht="13.5" thickTop="1">
      <c r="C135" s="241"/>
      <c r="E135" s="18" t="s">
        <v>18</v>
      </c>
      <c r="F135" s="19">
        <f t="shared" si="154"/>
        <v>728.36800508720933</v>
      </c>
      <c r="G135" s="20">
        <f>F135</f>
        <v>728.36800508720933</v>
      </c>
      <c r="H135" s="130">
        <f>ROUND(IF($N$82="sec",IF($N$86="sec",IF($N$88&gt;0,(F135-($N$88*4)),(F135+($N$88*(-4)))),IF($N$88&gt;0,-($N$88*4),($N$88*(-4)))+(($N$87*(-3.502))-45.02)+F135),IF($N$86="pluie",IF($N$88&gt;0,(F135-($N$88*8.03)),(F135+($N$88*(-8.03)))),IF($N$88&gt;0,-($N$88*8.03),($N$88*(8.03)))+(($N$87*(3.502))+45.02)+F135)),0)</f>
        <v>728</v>
      </c>
      <c r="I135" s="18" t="s">
        <v>18</v>
      </c>
      <c r="J135" s="19">
        <f t="shared" si="155"/>
        <v>728</v>
      </c>
      <c r="K135" s="20">
        <f>J135</f>
        <v>728</v>
      </c>
      <c r="L135" s="130">
        <f>ROUND(IF($N$82="sec",IF($N$90="sec",IF($N$92&gt;0,(F135-($N$92*4)),(F135+($N$92*(-4)))),IF($N$92&gt;0,-($N$92*4),($N$92*(-4)))+(($N$91*(-3.502))-45.02)+F135),IF($N$90="pluie",IF($N$92&gt;0,(F135-($N$92*8.03)),(F135+($N$92*(-8.03)))),IF($N$92&gt;0,-($N$92*8.03),($N$92*(-8.03)))+(($N$91*(3.502))+45.02)+F135)),0)</f>
        <v>728</v>
      </c>
      <c r="M135" s="18" t="s">
        <v>18</v>
      </c>
      <c r="N135" s="19">
        <f t="shared" si="156"/>
        <v>728</v>
      </c>
      <c r="O135" s="84">
        <f>N135</f>
        <v>728</v>
      </c>
    </row>
    <row r="136" spans="2:128" ht="13.5" thickBot="1">
      <c r="C136" s="241"/>
      <c r="E136" s="21" t="s">
        <v>19</v>
      </c>
      <c r="F136" s="22">
        <f t="shared" si="154"/>
        <v>715.44940043604652</v>
      </c>
      <c r="G136" s="20">
        <f>F136</f>
        <v>715.44940043604652</v>
      </c>
      <c r="H136" s="130">
        <f>ROUND(IF($N$82="sec",IF($N$86="sec",IF($N$88&gt;0,(F136-($N$88*6)),(F136+($N$88*(-6)))),IF($N$88&gt;0,-($N$88*6),($N$88*(-6)))+(($N$87*(4.907))-240.6)+F136),IF($N$86="pluie",IF($N$88&gt;0,(F136-($N$88*1)),(F136+($N$88*(-1)))),IF($N$88&gt;0,-($N$88*1),($N$88*(-1)))+(($N$87*(-4.907))+240.6)+F136)),0)</f>
        <v>715</v>
      </c>
      <c r="I136" s="21" t="s">
        <v>19</v>
      </c>
      <c r="J136" s="22">
        <f t="shared" si="155"/>
        <v>715</v>
      </c>
      <c r="K136" s="20">
        <f>J136</f>
        <v>715</v>
      </c>
      <c r="L136" s="130">
        <f>ROUND(IF($N$82="sec",IF($N$90="sec",IF($N$92&gt;0,(F136-($N$92*6)),(F136+($N$92*(-6)))),IF($N$92&gt;0,-($N$92*6),($N$92*(-6)))+(($N$91*(4.907))-240.6)+F136),IF($N$90="pluie",IF($N$92&gt;0,(F136-($N$92*1)),(F136+($N$92*(-1)))),IF($N$92&gt;0,-($N$92*1),($N$92*(-1)))+(($N$91*(-4.907))+240.6)+F136)),0)</f>
        <v>715</v>
      </c>
      <c r="M136" s="21" t="s">
        <v>19</v>
      </c>
      <c r="N136" s="22">
        <f t="shared" si="156"/>
        <v>715</v>
      </c>
      <c r="O136" s="84">
        <f>N136</f>
        <v>715</v>
      </c>
    </row>
    <row r="137" spans="2:128">
      <c r="H137" s="130"/>
      <c r="I137" s="244"/>
      <c r="J137" s="244"/>
      <c r="K137" s="244"/>
      <c r="L137" s="130"/>
      <c r="M137" s="244"/>
      <c r="N137" s="244"/>
      <c r="O137" s="244"/>
    </row>
    <row r="138" spans="2:128">
      <c r="H138" s="138"/>
      <c r="M138" s="235"/>
      <c r="N138" s="235"/>
      <c r="O138" s="235"/>
    </row>
    <row r="139" spans="2:128" ht="13.5" thickBot="1">
      <c r="D139" s="4"/>
      <c r="E139" s="4"/>
      <c r="F139" s="4"/>
      <c r="G139" s="4"/>
      <c r="H139" s="138"/>
      <c r="I139" s="4"/>
      <c r="J139" s="4"/>
      <c r="K139" s="4"/>
      <c r="L139" s="4"/>
    </row>
    <row r="140" spans="2:128" ht="13.5" thickBot="1">
      <c r="B140" s="237" t="s">
        <v>162</v>
      </c>
      <c r="C140" s="238"/>
      <c r="D140" s="238"/>
      <c r="E140" s="239" t="s">
        <v>163</v>
      </c>
      <c r="F140" s="240"/>
      <c r="G140" s="4"/>
      <c r="H140" s="4"/>
      <c r="I140" s="4"/>
      <c r="J140" s="4"/>
      <c r="K140" s="4"/>
      <c r="L140" s="4"/>
    </row>
    <row r="141" spans="2:128" ht="13.5" thickBot="1">
      <c r="D141" s="4"/>
      <c r="E141" s="53"/>
      <c r="F141" s="54"/>
      <c r="G141" s="4"/>
      <c r="H141" s="4"/>
      <c r="I141" s="4"/>
      <c r="J141" s="4"/>
      <c r="K141" s="4"/>
      <c r="L141" s="4"/>
    </row>
    <row r="142" spans="2:128" ht="13.5" thickBot="1">
      <c r="D142" s="4"/>
      <c r="E142" s="55" t="s">
        <v>165</v>
      </c>
      <c r="F142" s="1">
        <v>0</v>
      </c>
      <c r="G142" s="4"/>
      <c r="H142" s="4"/>
      <c r="I142" s="4"/>
      <c r="J142" s="4"/>
      <c r="K142" s="4"/>
      <c r="L142" s="4"/>
    </row>
    <row r="143" spans="2:128" ht="13.5" thickBot="1">
      <c r="D143" s="4"/>
      <c r="E143" s="55"/>
      <c r="F143" s="56"/>
      <c r="G143" s="4"/>
      <c r="H143" s="4"/>
      <c r="I143" s="4"/>
      <c r="J143" s="4"/>
      <c r="K143" s="4"/>
      <c r="L143" s="4"/>
    </row>
    <row r="144" spans="2:128" ht="13.5" thickBot="1">
      <c r="D144" s="4"/>
      <c r="E144" s="55" t="s">
        <v>166</v>
      </c>
      <c r="F144" s="1">
        <v>0</v>
      </c>
      <c r="G144" s="4"/>
      <c r="H144" s="4"/>
      <c r="I144" s="4"/>
      <c r="J144" s="4"/>
      <c r="K144" s="4"/>
      <c r="L144" s="4"/>
    </row>
    <row r="145" spans="2:13" ht="13.5" thickBot="1">
      <c r="D145" s="4"/>
      <c r="E145" s="55"/>
      <c r="F145" s="56"/>
      <c r="G145" s="4"/>
      <c r="H145" s="4"/>
      <c r="I145" s="4"/>
      <c r="J145" s="4"/>
      <c r="K145" s="4"/>
      <c r="L145" s="4"/>
    </row>
    <row r="146" spans="2:13" ht="13.5" thickBot="1">
      <c r="D146" s="4"/>
      <c r="E146" s="55" t="s">
        <v>167</v>
      </c>
      <c r="F146" s="1">
        <v>0</v>
      </c>
      <c r="G146" s="4"/>
      <c r="H146" s="4"/>
      <c r="I146" s="4"/>
      <c r="J146" s="4"/>
      <c r="K146" s="4"/>
      <c r="L146" s="4"/>
    </row>
    <row r="147" spans="2:13" ht="13.5" thickBot="1">
      <c r="D147" s="4"/>
      <c r="E147" s="55"/>
      <c r="F147" s="56"/>
      <c r="G147" s="4"/>
      <c r="H147" s="4"/>
      <c r="I147" s="4"/>
      <c r="J147" s="4"/>
      <c r="K147" s="4"/>
      <c r="L147" s="4"/>
    </row>
    <row r="148" spans="2:13" ht="13.5" thickBot="1">
      <c r="D148" s="4"/>
      <c r="E148" s="57" t="s">
        <v>164</v>
      </c>
      <c r="F148" s="1">
        <v>0</v>
      </c>
      <c r="G148" s="4"/>
      <c r="H148" s="4"/>
      <c r="I148" s="4"/>
      <c r="J148" s="4"/>
      <c r="K148" s="4"/>
      <c r="L148" s="4"/>
    </row>
    <row r="149" spans="2:13"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 spans="2:13" ht="18.75">
      <c r="B150" s="236" t="s">
        <v>103</v>
      </c>
      <c r="C150" s="236"/>
      <c r="D150" s="236"/>
      <c r="E150" s="236"/>
      <c r="F150" s="236"/>
      <c r="G150" s="236"/>
      <c r="H150" s="236"/>
      <c r="I150" s="236"/>
      <c r="J150" s="236"/>
      <c r="K150" s="236"/>
      <c r="L150" s="236"/>
      <c r="M150" s="236"/>
    </row>
    <row r="151" spans="2:13" ht="13.5" thickBot="1">
      <c r="B151" s="23"/>
      <c r="C151" s="23"/>
      <c r="D151" s="24"/>
      <c r="E151" s="24"/>
      <c r="F151" s="24"/>
      <c r="G151" s="24"/>
      <c r="H151" s="24"/>
      <c r="I151" s="24"/>
      <c r="J151" s="4"/>
      <c r="K151" s="4"/>
      <c r="L151" s="4"/>
      <c r="M151" s="4"/>
    </row>
    <row r="152" spans="2:13" ht="13.5" thickBot="1">
      <c r="B152" s="25" t="s">
        <v>104</v>
      </c>
      <c r="C152" s="26"/>
      <c r="D152" s="26"/>
      <c r="E152" s="26"/>
      <c r="F152" s="26"/>
      <c r="G152" s="27"/>
      <c r="H152" s="28"/>
      <c r="I152" s="28"/>
      <c r="J152" s="29"/>
      <c r="K152" s="29"/>
      <c r="L152" s="29"/>
      <c r="M152" s="29"/>
    </row>
    <row r="153" spans="2:13">
      <c r="B153" s="23" t="s">
        <v>105</v>
      </c>
      <c r="C153" s="23"/>
      <c r="D153" s="23"/>
      <c r="E153" s="23"/>
      <c r="F153" s="23"/>
      <c r="G153" s="23"/>
      <c r="H153" s="23"/>
      <c r="I153" s="23"/>
    </row>
    <row r="154" spans="2:13">
      <c r="B154" s="23" t="s">
        <v>106</v>
      </c>
      <c r="C154" s="23"/>
      <c r="D154" s="23"/>
      <c r="E154" s="23"/>
      <c r="F154" s="23"/>
      <c r="G154" s="23"/>
      <c r="H154" s="23"/>
      <c r="I154" s="23"/>
    </row>
    <row r="155" spans="2:13">
      <c r="B155" s="24" t="s">
        <v>107</v>
      </c>
      <c r="C155" s="23"/>
      <c r="D155" s="23"/>
      <c r="E155" s="23"/>
      <c r="F155" s="23"/>
      <c r="G155" s="23"/>
      <c r="H155" s="23"/>
      <c r="I155" s="23"/>
    </row>
    <row r="156" spans="2:13" ht="13.5" thickBot="1">
      <c r="C156" s="23"/>
      <c r="D156" s="23"/>
      <c r="E156" s="23"/>
      <c r="F156" s="23"/>
      <c r="G156" s="23"/>
      <c r="H156" s="23"/>
      <c r="I156" s="23"/>
    </row>
    <row r="157" spans="2:13" ht="13.5" thickBot="1">
      <c r="B157" s="25" t="s">
        <v>108</v>
      </c>
      <c r="C157" s="30"/>
      <c r="D157" s="30"/>
      <c r="E157" s="30"/>
      <c r="F157" s="30"/>
      <c r="G157" s="31"/>
      <c r="H157" s="23"/>
      <c r="I157" s="23"/>
    </row>
    <row r="158" spans="2:13">
      <c r="B158" s="23" t="s">
        <v>113</v>
      </c>
      <c r="C158" s="23"/>
      <c r="D158" s="23"/>
      <c r="E158" s="23"/>
      <c r="F158" s="23"/>
      <c r="G158" s="23"/>
      <c r="H158" s="23"/>
      <c r="I158" s="23"/>
    </row>
    <row r="159" spans="2:13">
      <c r="B159" s="23" t="s">
        <v>114</v>
      </c>
      <c r="C159" s="23"/>
      <c r="D159" s="23"/>
      <c r="E159" s="23"/>
      <c r="F159" s="23"/>
      <c r="G159" s="23"/>
      <c r="H159" s="23"/>
      <c r="I159" s="23"/>
    </row>
    <row r="160" spans="2:13" ht="13.5" thickBot="1">
      <c r="B160" s="23"/>
      <c r="C160" s="23"/>
      <c r="D160" s="23"/>
      <c r="E160" s="23"/>
      <c r="F160" s="23"/>
      <c r="G160" s="23"/>
      <c r="H160" s="23"/>
      <c r="I160" s="23"/>
    </row>
    <row r="161" spans="2:11" ht="13.5" thickBot="1">
      <c r="B161" s="25" t="s">
        <v>112</v>
      </c>
      <c r="C161" s="30"/>
      <c r="D161" s="30"/>
      <c r="E161" s="30"/>
      <c r="F161" s="30"/>
      <c r="G161" s="31"/>
      <c r="H161" s="23"/>
      <c r="I161" s="23"/>
    </row>
    <row r="162" spans="2:11">
      <c r="B162" s="23" t="s">
        <v>109</v>
      </c>
      <c r="C162" s="23"/>
      <c r="D162" s="23"/>
      <c r="E162" s="23"/>
      <c r="F162" s="23"/>
      <c r="G162" s="23"/>
      <c r="H162" s="23"/>
      <c r="I162" s="23"/>
      <c r="K162" s="32"/>
    </row>
    <row r="163" spans="2:11">
      <c r="B163" s="23" t="s">
        <v>110</v>
      </c>
      <c r="C163" s="23"/>
      <c r="D163" s="23"/>
      <c r="E163" s="23"/>
      <c r="F163" s="23"/>
      <c r="G163" s="23"/>
      <c r="H163" s="23"/>
      <c r="I163" s="23"/>
    </row>
    <row r="164" spans="2:11">
      <c r="B164" s="23" t="s">
        <v>111</v>
      </c>
      <c r="C164" s="23"/>
      <c r="D164" s="23"/>
      <c r="E164" s="23"/>
      <c r="F164" s="23"/>
      <c r="G164" s="23"/>
      <c r="H164" s="23"/>
      <c r="I164" s="23"/>
    </row>
    <row r="165" spans="2:11" ht="13.5" thickBot="1">
      <c r="B165" s="23"/>
      <c r="C165" s="23"/>
      <c r="D165" s="23"/>
      <c r="E165" s="23"/>
      <c r="F165" s="23"/>
      <c r="G165" s="23"/>
      <c r="H165" s="23"/>
      <c r="I165" s="23"/>
    </row>
    <row r="166" spans="2:11" ht="13.5" thickBot="1">
      <c r="B166" s="25" t="s">
        <v>115</v>
      </c>
      <c r="C166" s="30"/>
      <c r="D166" s="30"/>
      <c r="E166" s="30"/>
      <c r="F166" s="30"/>
      <c r="G166" s="31"/>
      <c r="H166" s="23"/>
      <c r="I166" s="23"/>
      <c r="K166" s="33"/>
    </row>
    <row r="167" spans="2:11">
      <c r="B167" s="23" t="s">
        <v>116</v>
      </c>
      <c r="C167" s="23"/>
      <c r="D167" s="23"/>
      <c r="E167" s="23"/>
      <c r="F167" s="23"/>
      <c r="G167" s="23"/>
      <c r="H167" s="23"/>
      <c r="I167" s="23"/>
    </row>
    <row r="168" spans="2:11">
      <c r="B168" s="23" t="s">
        <v>117</v>
      </c>
      <c r="C168" s="23"/>
      <c r="D168" s="23"/>
      <c r="E168" s="23"/>
      <c r="F168" s="23"/>
      <c r="G168" s="23"/>
      <c r="H168" s="23"/>
      <c r="I168" s="23"/>
    </row>
    <row r="169" spans="2:11">
      <c r="B169" s="34" t="s">
        <v>130</v>
      </c>
      <c r="C169" s="23"/>
      <c r="D169" s="23"/>
      <c r="E169" s="23"/>
      <c r="F169" s="23"/>
      <c r="G169" s="23"/>
      <c r="H169" s="23"/>
      <c r="I169" s="23"/>
    </row>
    <row r="170" spans="2:11">
      <c r="B170" s="23" t="s">
        <v>118</v>
      </c>
      <c r="C170" s="23"/>
      <c r="D170" s="23"/>
      <c r="E170" s="23"/>
      <c r="F170" s="23"/>
      <c r="G170" s="23"/>
      <c r="H170" s="23"/>
      <c r="I170" s="23"/>
    </row>
    <row r="171" spans="2:11" ht="13.5" thickBot="1">
      <c r="B171" s="23"/>
      <c r="C171" s="23"/>
      <c r="D171" s="23"/>
      <c r="E171" s="23"/>
      <c r="F171" s="23"/>
      <c r="G171" s="23"/>
      <c r="H171" s="23"/>
      <c r="I171" s="23"/>
    </row>
    <row r="172" spans="2:11" ht="13.5" thickBot="1">
      <c r="B172" s="25" t="s">
        <v>119</v>
      </c>
      <c r="C172" s="30"/>
      <c r="D172" s="30"/>
      <c r="E172" s="30"/>
      <c r="F172" s="30"/>
      <c r="G172" s="31"/>
      <c r="H172" s="23"/>
      <c r="I172" s="23"/>
    </row>
    <row r="173" spans="2:11">
      <c r="B173" s="23" t="s">
        <v>120</v>
      </c>
      <c r="C173" s="23"/>
      <c r="D173" s="23"/>
      <c r="E173" s="23"/>
      <c r="F173" s="23"/>
      <c r="G173" s="23"/>
      <c r="H173" s="23"/>
      <c r="I173" s="23"/>
    </row>
    <row r="174" spans="2:11">
      <c r="B174" s="23" t="s">
        <v>121</v>
      </c>
      <c r="C174" s="23"/>
      <c r="D174" s="23"/>
      <c r="E174" s="23"/>
      <c r="F174" s="23"/>
      <c r="G174" s="23"/>
      <c r="H174" s="23"/>
      <c r="I174" s="23"/>
    </row>
    <row r="175" spans="2:11" ht="13.5" thickBot="1">
      <c r="B175" s="23"/>
      <c r="C175" s="23"/>
      <c r="D175" s="23"/>
      <c r="E175" s="23"/>
      <c r="F175" s="23"/>
      <c r="G175" s="23"/>
      <c r="H175" s="23"/>
      <c r="I175" s="23"/>
    </row>
    <row r="176" spans="2:11" ht="13.5" thickBot="1">
      <c r="B176" s="25" t="s">
        <v>122</v>
      </c>
      <c r="C176" s="30"/>
      <c r="D176" s="30"/>
      <c r="E176" s="30"/>
      <c r="F176" s="30"/>
      <c r="G176" s="31"/>
      <c r="H176" s="23"/>
      <c r="I176" s="23"/>
    </row>
    <row r="177" spans="2:9">
      <c r="B177" s="23" t="s">
        <v>123</v>
      </c>
      <c r="C177" s="23"/>
      <c r="D177" s="23"/>
      <c r="E177" s="23"/>
      <c r="F177" s="23"/>
      <c r="G177" s="23"/>
      <c r="H177" s="23"/>
      <c r="I177" s="23"/>
    </row>
    <row r="178" spans="2:9">
      <c r="B178" s="23" t="s">
        <v>124</v>
      </c>
      <c r="C178" s="23"/>
      <c r="D178" s="23"/>
      <c r="E178" s="23"/>
      <c r="F178" s="23"/>
      <c r="G178" s="23"/>
      <c r="H178" s="23"/>
      <c r="I178" s="23"/>
    </row>
    <row r="179" spans="2:9">
      <c r="B179" s="23" t="s">
        <v>125</v>
      </c>
      <c r="C179" s="23"/>
      <c r="D179" s="23"/>
      <c r="E179" s="23"/>
      <c r="F179" s="23"/>
      <c r="G179" s="23"/>
      <c r="H179" s="23"/>
      <c r="I179" s="23"/>
    </row>
    <row r="180" spans="2:9" ht="13.5">
      <c r="B180" s="34" t="s">
        <v>129</v>
      </c>
      <c r="C180" s="23"/>
      <c r="D180" s="23"/>
      <c r="E180" s="23"/>
      <c r="F180" s="23"/>
      <c r="G180" s="23"/>
      <c r="H180" s="23"/>
      <c r="I180" s="23"/>
    </row>
    <row r="181" spans="2:9" ht="13.5" thickBot="1">
      <c r="B181" s="23"/>
      <c r="C181" s="23"/>
      <c r="D181" s="23"/>
      <c r="E181" s="23"/>
      <c r="F181" s="23"/>
      <c r="G181" s="23"/>
      <c r="H181" s="23"/>
      <c r="I181" s="23"/>
    </row>
    <row r="182" spans="2:9" ht="13.5" thickBot="1">
      <c r="B182" s="35" t="s">
        <v>126</v>
      </c>
      <c r="C182" s="36"/>
      <c r="D182" s="36"/>
      <c r="E182" s="36"/>
      <c r="F182" s="36"/>
      <c r="G182" s="37"/>
    </row>
    <row r="183" spans="2:9">
      <c r="B183" s="23" t="s">
        <v>127</v>
      </c>
    </row>
    <row r="184" spans="2:9">
      <c r="B184" s="23" t="s">
        <v>128</v>
      </c>
    </row>
  </sheetData>
  <sheetProtection password="F4A7" sheet="1" objects="1" scenarios="1"/>
  <mergeCells count="325">
    <mergeCell ref="DK120:DN120"/>
    <mergeCell ref="DK121:DN122"/>
    <mergeCell ref="CV120:CY120"/>
    <mergeCell ref="CV121:CY122"/>
    <mergeCell ref="DA120:DD120"/>
    <mergeCell ref="DA121:DD122"/>
    <mergeCell ref="DF120:DI120"/>
    <mergeCell ref="DF121:DI122"/>
    <mergeCell ref="DP116:DS116"/>
    <mergeCell ref="DP117:DS118"/>
    <mergeCell ref="DU116:DX116"/>
    <mergeCell ref="DU117:DX118"/>
    <mergeCell ref="DZ116:EC116"/>
    <mergeCell ref="DZ117:EC118"/>
    <mergeCell ref="DA116:DD116"/>
    <mergeCell ref="DA117:DD118"/>
    <mergeCell ref="DF116:DI116"/>
    <mergeCell ref="DF117:DI118"/>
    <mergeCell ref="DK116:DN116"/>
    <mergeCell ref="DK117:DN118"/>
    <mergeCell ref="CT73:CT101"/>
    <mergeCell ref="CT102:CT114"/>
    <mergeCell ref="CV116:CY116"/>
    <mergeCell ref="CV117:CY118"/>
    <mergeCell ref="CT115:CT123"/>
    <mergeCell ref="CV91:CW91"/>
    <mergeCell ref="CX91:CY91"/>
    <mergeCell ref="CV74:CX75"/>
    <mergeCell ref="CY74:DI75"/>
    <mergeCell ref="CU88:CU90"/>
    <mergeCell ref="CX108:CY108"/>
    <mergeCell ref="CV105:CY105"/>
    <mergeCell ref="CV107:CW107"/>
    <mergeCell ref="CX107:CY107"/>
    <mergeCell ref="CV103:CY104"/>
    <mergeCell ref="DF107:DG107"/>
    <mergeCell ref="CU110:CU113"/>
    <mergeCell ref="CV110:CY110"/>
    <mergeCell ref="CV112:CW112"/>
    <mergeCell ref="CX112:CY112"/>
    <mergeCell ref="CV113:CW113"/>
    <mergeCell ref="CX113:CY113"/>
    <mergeCell ref="DA113:DB113"/>
    <mergeCell ref="DC113:DD113"/>
    <mergeCell ref="B34:M34"/>
    <mergeCell ref="C23:C29"/>
    <mergeCell ref="I30:K30"/>
    <mergeCell ref="M31:O31"/>
    <mergeCell ref="M30:O30"/>
    <mergeCell ref="E23:F23"/>
    <mergeCell ref="I23:J23"/>
    <mergeCell ref="M23:N23"/>
    <mergeCell ref="G5:M6"/>
    <mergeCell ref="B2:M3"/>
    <mergeCell ref="B7:D7"/>
    <mergeCell ref="B9:D9"/>
    <mergeCell ref="B5:D5"/>
    <mergeCell ref="L12:M12"/>
    <mergeCell ref="D12:E12"/>
    <mergeCell ref="F12:G12"/>
    <mergeCell ref="H12:I12"/>
    <mergeCell ref="J12:K12"/>
    <mergeCell ref="M7:N7"/>
    <mergeCell ref="B71:M72"/>
    <mergeCell ref="G74:M75"/>
    <mergeCell ref="B78:D78"/>
    <mergeCell ref="B74:D74"/>
    <mergeCell ref="B76:D76"/>
    <mergeCell ref="B81:C81"/>
    <mergeCell ref="M81:N81"/>
    <mergeCell ref="B87:C87"/>
    <mergeCell ref="G87:K87"/>
    <mergeCell ref="B86:D86"/>
    <mergeCell ref="G81:K81"/>
    <mergeCell ref="G82:K82"/>
    <mergeCell ref="G83:K83"/>
    <mergeCell ref="G88:K88"/>
    <mergeCell ref="G89:K89"/>
    <mergeCell ref="G90:K90"/>
    <mergeCell ref="G91:K91"/>
    <mergeCell ref="G84:K84"/>
    <mergeCell ref="G85:K85"/>
    <mergeCell ref="B99:C99"/>
    <mergeCell ref="G99:K99"/>
    <mergeCell ref="B93:C93"/>
    <mergeCell ref="G93:K93"/>
    <mergeCell ref="G94:K94"/>
    <mergeCell ref="G95:K95"/>
    <mergeCell ref="G100:K100"/>
    <mergeCell ref="G101:K101"/>
    <mergeCell ref="G102:K102"/>
    <mergeCell ref="G103:K103"/>
    <mergeCell ref="G96:K96"/>
    <mergeCell ref="G97:K97"/>
    <mergeCell ref="B111:C111"/>
    <mergeCell ref="G111:K111"/>
    <mergeCell ref="B105:C105"/>
    <mergeCell ref="G105:K105"/>
    <mergeCell ref="G106:K106"/>
    <mergeCell ref="G107:K107"/>
    <mergeCell ref="G112:K112"/>
    <mergeCell ref="G113:K113"/>
    <mergeCell ref="G114:K114"/>
    <mergeCell ref="G115:K115"/>
    <mergeCell ref="G108:K108"/>
    <mergeCell ref="G109:K109"/>
    <mergeCell ref="B123:C123"/>
    <mergeCell ref="G123:K123"/>
    <mergeCell ref="B117:C117"/>
    <mergeCell ref="G117:K117"/>
    <mergeCell ref="G118:K118"/>
    <mergeCell ref="G119:K119"/>
    <mergeCell ref="G120:K120"/>
    <mergeCell ref="G121:K121"/>
    <mergeCell ref="M138:O138"/>
    <mergeCell ref="B150:M150"/>
    <mergeCell ref="B140:D140"/>
    <mergeCell ref="E140:F140"/>
    <mergeCell ref="C130:C136"/>
    <mergeCell ref="E130:F130"/>
    <mergeCell ref="I130:J130"/>
    <mergeCell ref="M130:N130"/>
    <mergeCell ref="I137:K137"/>
    <mergeCell ref="M137:O137"/>
    <mergeCell ref="G124:K124"/>
    <mergeCell ref="G125:K125"/>
    <mergeCell ref="G126:K126"/>
    <mergeCell ref="G127:K127"/>
    <mergeCell ref="DK74:DM75"/>
    <mergeCell ref="DN74:DQ75"/>
    <mergeCell ref="CU94:CU96"/>
    <mergeCell ref="DK77:DM77"/>
    <mergeCell ref="CU85:CU87"/>
    <mergeCell ref="DP77:DT77"/>
    <mergeCell ref="CU98:CU100"/>
    <mergeCell ref="CV98:CY98"/>
    <mergeCell ref="CV99:CW99"/>
    <mergeCell ref="CX99:CY99"/>
    <mergeCell ref="CV100:CW100"/>
    <mergeCell ref="CX100:CY100"/>
    <mergeCell ref="CX94:CY94"/>
    <mergeCell ref="DF88:DG88"/>
    <mergeCell ref="DH88:DI88"/>
    <mergeCell ref="DF91:DG91"/>
    <mergeCell ref="DH91:DI91"/>
    <mergeCell ref="DK85:DL85"/>
    <mergeCell ref="DM85:DN85"/>
    <mergeCell ref="DK88:DL88"/>
    <mergeCell ref="DK91:DL91"/>
    <mergeCell ref="DM91:DN91"/>
    <mergeCell ref="DF82:DG82"/>
    <mergeCell ref="DH82:DI82"/>
    <mergeCell ref="DF85:DG85"/>
    <mergeCell ref="DH85:DI85"/>
    <mergeCell ref="DZ80:EC81"/>
    <mergeCell ref="CU82:CU84"/>
    <mergeCell ref="CV82:CW82"/>
    <mergeCell ref="CX82:CY82"/>
    <mergeCell ref="DF80:DI81"/>
    <mergeCell ref="DK80:DN81"/>
    <mergeCell ref="DP80:DS81"/>
    <mergeCell ref="DU80:DX81"/>
    <mergeCell ref="CV80:CY81"/>
    <mergeCell ref="DU82:DV82"/>
    <mergeCell ref="DK82:DL82"/>
    <mergeCell ref="DM82:DN82"/>
    <mergeCell ref="EB82:EC82"/>
    <mergeCell ref="CX88:CY88"/>
    <mergeCell ref="EB85:EC85"/>
    <mergeCell ref="DZ88:EA88"/>
    <mergeCell ref="EB88:EC88"/>
    <mergeCell ref="EB91:EC91"/>
    <mergeCell ref="DA77:DC77"/>
    <mergeCell ref="DA82:DB82"/>
    <mergeCell ref="DC82:DD82"/>
    <mergeCell ref="DA85:DB85"/>
    <mergeCell ref="DC85:DD85"/>
    <mergeCell ref="DA88:DB88"/>
    <mergeCell ref="DC88:DD88"/>
    <mergeCell ref="DA91:DB91"/>
    <mergeCell ref="DC91:DD91"/>
    <mergeCell ref="EB94:EC94"/>
    <mergeCell ref="CV101:CW101"/>
    <mergeCell ref="CX101:CY101"/>
    <mergeCell ref="DU94:DV94"/>
    <mergeCell ref="DW94:DX94"/>
    <mergeCell ref="DP94:DQ94"/>
    <mergeCell ref="DR94:DS94"/>
    <mergeCell ref="DK94:DL94"/>
    <mergeCell ref="DM94:DN94"/>
    <mergeCell ref="DH94:DI94"/>
    <mergeCell ref="DM88:DN88"/>
    <mergeCell ref="DR85:DS85"/>
    <mergeCell ref="DW85:DX85"/>
    <mergeCell ref="DU88:DV88"/>
    <mergeCell ref="DW88:DX88"/>
    <mergeCell ref="DU91:DV91"/>
    <mergeCell ref="DW91:DX91"/>
    <mergeCell ref="DP88:DQ88"/>
    <mergeCell ref="DR88:DS88"/>
    <mergeCell ref="DP91:DQ91"/>
    <mergeCell ref="BT1:BZ1"/>
    <mergeCell ref="BM1:BS1"/>
    <mergeCell ref="DZ94:EA94"/>
    <mergeCell ref="DZ82:EA82"/>
    <mergeCell ref="DZ91:EA91"/>
    <mergeCell ref="DP82:DQ82"/>
    <mergeCell ref="DR82:DS82"/>
    <mergeCell ref="DP85:DQ85"/>
    <mergeCell ref="DW82:DX82"/>
    <mergeCell ref="DU85:DV85"/>
    <mergeCell ref="DF94:DG94"/>
    <mergeCell ref="DA94:DB94"/>
    <mergeCell ref="DC94:DD94"/>
    <mergeCell ref="CV94:CW94"/>
    <mergeCell ref="DZ85:EA85"/>
    <mergeCell ref="DR91:DS91"/>
    <mergeCell ref="DU77:DW77"/>
    <mergeCell ref="DF77:DJ77"/>
    <mergeCell ref="CU91:CU93"/>
    <mergeCell ref="DA80:DD81"/>
    <mergeCell ref="CV77:CZ77"/>
    <mergeCell ref="CV85:CW85"/>
    <mergeCell ref="CX85:CY85"/>
    <mergeCell ref="CV88:CW88"/>
    <mergeCell ref="DA108:DB108"/>
    <mergeCell ref="DC108:DD108"/>
    <mergeCell ref="DA110:DD110"/>
    <mergeCell ref="DA107:DB107"/>
    <mergeCell ref="DC107:DD107"/>
    <mergeCell ref="DH107:DI107"/>
    <mergeCell ref="DA112:DB112"/>
    <mergeCell ref="DC112:DD112"/>
    <mergeCell ref="DA103:DD104"/>
    <mergeCell ref="DA105:DD105"/>
    <mergeCell ref="DF112:DG112"/>
    <mergeCell ref="DH112:DI112"/>
    <mergeCell ref="DF113:DG113"/>
    <mergeCell ref="DH113:DI113"/>
    <mergeCell ref="DF108:DG108"/>
    <mergeCell ref="DH108:DI108"/>
    <mergeCell ref="DF110:DI110"/>
    <mergeCell ref="DK113:DL113"/>
    <mergeCell ref="DM113:DN113"/>
    <mergeCell ref="DK108:DL108"/>
    <mergeCell ref="DM108:DN108"/>
    <mergeCell ref="DK110:DN110"/>
    <mergeCell ref="DK107:DL107"/>
    <mergeCell ref="DM107:DN107"/>
    <mergeCell ref="DP103:DS104"/>
    <mergeCell ref="DP105:DS105"/>
    <mergeCell ref="DP107:DQ107"/>
    <mergeCell ref="DR107:DS107"/>
    <mergeCell ref="DK112:DL112"/>
    <mergeCell ref="DM112:DN112"/>
    <mergeCell ref="DK103:DN104"/>
    <mergeCell ref="DK105:DN105"/>
    <mergeCell ref="DP112:DQ112"/>
    <mergeCell ref="DR112:DS112"/>
    <mergeCell ref="DP106:DR106"/>
    <mergeCell ref="DU107:DV107"/>
    <mergeCell ref="DW107:DX107"/>
    <mergeCell ref="DZ103:EC104"/>
    <mergeCell ref="DZ105:EC105"/>
    <mergeCell ref="DZ107:EA107"/>
    <mergeCell ref="EB107:EC107"/>
    <mergeCell ref="DU112:DV112"/>
    <mergeCell ref="DW112:DX112"/>
    <mergeCell ref="DU103:DX104"/>
    <mergeCell ref="DU105:DX105"/>
    <mergeCell ref="DZ112:EA112"/>
    <mergeCell ref="EB112:EC112"/>
    <mergeCell ref="DU106:DW106"/>
    <mergeCell ref="DZ106:EB106"/>
    <mergeCell ref="DU108:DV108"/>
    <mergeCell ref="DW108:DX108"/>
    <mergeCell ref="DU110:DX110"/>
    <mergeCell ref="CV132:CY132"/>
    <mergeCell ref="DA131:DD131"/>
    <mergeCell ref="DA132:DD132"/>
    <mergeCell ref="DQ127:DS127"/>
    <mergeCell ref="DU127:DX127"/>
    <mergeCell ref="DK128:DN128"/>
    <mergeCell ref="DZ113:EA113"/>
    <mergeCell ref="EB113:EC113"/>
    <mergeCell ref="DZ108:EA108"/>
    <mergeCell ref="EB108:EC108"/>
    <mergeCell ref="DZ110:EC110"/>
    <mergeCell ref="DZ111:EB111"/>
    <mergeCell ref="DF129:DI129"/>
    <mergeCell ref="DF130:DI130"/>
    <mergeCell ref="DF132:DI132"/>
    <mergeCell ref="DP111:DR111"/>
    <mergeCell ref="DU111:DW111"/>
    <mergeCell ref="DP113:DQ113"/>
    <mergeCell ref="DR113:DS113"/>
    <mergeCell ref="DP108:DQ108"/>
    <mergeCell ref="DR108:DS108"/>
    <mergeCell ref="DP110:DS110"/>
    <mergeCell ref="DU113:DV113"/>
    <mergeCell ref="DW113:DX113"/>
    <mergeCell ref="DF133:DI133"/>
    <mergeCell ref="DK133:DN133"/>
    <mergeCell ref="DK132:DN132"/>
    <mergeCell ref="CU126:DN127"/>
    <mergeCell ref="DK129:DN129"/>
    <mergeCell ref="DK130:DN130"/>
    <mergeCell ref="DF128:DI128"/>
    <mergeCell ref="M85:N85"/>
    <mergeCell ref="M89:N89"/>
    <mergeCell ref="CV106:CX106"/>
    <mergeCell ref="DA106:DC106"/>
    <mergeCell ref="DF106:DH106"/>
    <mergeCell ref="DF103:DI104"/>
    <mergeCell ref="DF105:DI105"/>
    <mergeCell ref="CU105:CU108"/>
    <mergeCell ref="CV108:CW108"/>
    <mergeCell ref="DK106:DM106"/>
    <mergeCell ref="CV111:CX111"/>
    <mergeCell ref="DA111:DC111"/>
    <mergeCell ref="DF111:DH111"/>
    <mergeCell ref="DK111:DM111"/>
    <mergeCell ref="CV129:CY130"/>
    <mergeCell ref="DA129:DD130"/>
    <mergeCell ref="CV131:CY131"/>
  </mergeCells>
  <phoneticPr fontId="0" type="noConversion"/>
  <dataValidations count="9">
    <dataValidation type="list" allowBlank="1" showInputMessage="1" showErrorMessage="1" sqref="B13:B20 B81:C81 B87:C87 B93:C93 B99:C99 B105:C105 B111:C111 B117:C117 B123:C123">
      <formula1>$P$3:$P$4</formula1>
    </dataValidation>
    <dataValidation type="list" allowBlank="1" showInputMessage="1" showErrorMessage="1" sqref="E13:E20 G81:J81 G87:J87 G93:J93 G99:J99 G105:J105 G111:J111 G117:J117 G123:J123">
      <formula1>$Q$3:$Q$9</formula1>
    </dataValidation>
    <dataValidation type="list" allowBlank="1" showInputMessage="1" showErrorMessage="1" sqref="G13:G20 G82:K82 G88:K88 G94:K94 G100:K100 G106:K106 G112:K112 G118:K118 G124:K124">
      <formula1>$R$3:$R$9</formula1>
    </dataValidation>
    <dataValidation type="list" allowBlank="1" showInputMessage="1" showErrorMessage="1" sqref="I13:I20 G83:K83 G89:K89 G95:K95 G101:K101 G107:K107 G113:K113 G119:K119 G125:K125">
      <formula1>$S$3:$S$9</formula1>
    </dataValidation>
    <dataValidation type="list" allowBlank="1" showInputMessage="1" showErrorMessage="1" sqref="K13:K20 G84:K84 G90:K90 G96:K96 G102:K102 G108:K108 G114:K114 G120:K120 G126:K126">
      <formula1>$T$3:$T$9</formula1>
    </dataValidation>
    <dataValidation type="list" allowBlank="1" showInputMessage="1" showErrorMessage="1" sqref="M13:M20 G85:K85 G91:K91 G97:K97 G103:K103 G109:K109 G115:K115 G121:K121 G127:K127">
      <formula1>$U$3:$U$9</formula1>
    </dataValidation>
    <dataValidation type="list" allowBlank="1" showInputMessage="1" showErrorMessage="1" sqref="G5:K6">
      <formula1>$AU$3:$AU$57</formula1>
    </dataValidation>
    <dataValidation type="list" allowBlank="1" showInputMessage="1" showErrorMessage="1" sqref="H76 N90 N86 N82">
      <formula1>Météo</formula1>
    </dataValidation>
    <dataValidation type="list" allowBlank="1" showInputMessage="1" showErrorMessage="1" sqref="G74:M75">
      <formula1>$AU$3:$AU$62</formula1>
    </dataValidation>
  </dataValidations>
  <printOptions horizontalCentered="1" verticalCentered="1"/>
  <pageMargins left="0" right="0" top="0" bottom="0" header="0.51181102362204722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70"/>
  <sheetViews>
    <sheetView showGridLines="0" workbookViewId="0">
      <selection activeCell="D40" sqref="D40:Y40"/>
    </sheetView>
  </sheetViews>
  <sheetFormatPr baseColWidth="10" defaultRowHeight="12.75"/>
  <cols>
    <col min="1" max="1" width="4.83203125" style="5" customWidth="1"/>
    <col min="2" max="2" width="12" style="5"/>
    <col min="3" max="3" width="5.33203125" style="5" customWidth="1"/>
    <col min="4" max="26" width="6.33203125" style="5" customWidth="1"/>
    <col min="27" max="27" width="12" style="5"/>
    <col min="28" max="29" width="0" style="134" hidden="1" customWidth="1"/>
    <col min="30" max="40" width="12.6640625" style="134" hidden="1" customWidth="1"/>
    <col min="41" max="44" width="0" style="134" hidden="1" customWidth="1"/>
    <col min="45" max="16384" width="12" style="134"/>
  </cols>
  <sheetData>
    <row r="1" spans="2:43">
      <c r="B1" s="270" t="s">
        <v>301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</row>
    <row r="2" spans="2:43" ht="13.5" thickBot="1"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AC2" s="134" t="str">
        <f>Reglages!CA2</f>
        <v>circuit</v>
      </c>
      <c r="AD2" s="134" t="str">
        <f>Reglages!CB2</f>
        <v>cha</v>
      </c>
      <c r="AE2" s="134" t="str">
        <f>Reglages!CC2</f>
        <v>Mot</v>
      </c>
      <c r="AF2" s="134" t="str">
        <f>Reglages!CD2</f>
        <v>A Av</v>
      </c>
      <c r="AG2" s="134" t="str">
        <f>Reglages!CE2</f>
        <v>Aar</v>
      </c>
      <c r="AH2" s="134" t="str">
        <f>Reglages!CF2</f>
        <v>FP</v>
      </c>
      <c r="AI2" s="134" t="str">
        <f>Reglages!CG2</f>
        <v>Pont</v>
      </c>
      <c r="AJ2" s="134" t="str">
        <f>Reglages!CH2</f>
        <v>Refro</v>
      </c>
      <c r="AK2" s="134" t="str">
        <f>Reglages!CI2</f>
        <v>Boite</v>
      </c>
      <c r="AL2" s="134" t="str">
        <f>Reglages!CJ2</f>
        <v>Frein</v>
      </c>
      <c r="AM2" s="134" t="str">
        <f>Reglages!CK2</f>
        <v>Susp</v>
      </c>
      <c r="AN2" s="134" t="str">
        <f>Reglages!CL2</f>
        <v>Elec</v>
      </c>
      <c r="AO2" s="134" t="str">
        <f>Reglages!CM2</f>
        <v>coef ess</v>
      </c>
      <c r="AP2" s="134" t="str">
        <f>Reglages!CN2</f>
        <v>conso</v>
      </c>
      <c r="AQ2" s="134" t="str">
        <f>Reglages!CO2</f>
        <v>compte</v>
      </c>
    </row>
    <row r="3" spans="2:43">
      <c r="B3" s="279" t="s">
        <v>263</v>
      </c>
      <c r="C3" s="279"/>
      <c r="D3" s="173" t="s">
        <v>296</v>
      </c>
      <c r="E3" s="175"/>
      <c r="F3" s="279" t="s">
        <v>5</v>
      </c>
      <c r="G3" s="279"/>
      <c r="H3" s="173" t="s">
        <v>297</v>
      </c>
      <c r="I3" s="175"/>
      <c r="J3" s="279" t="s">
        <v>298</v>
      </c>
      <c r="K3" s="279"/>
      <c r="L3" s="173" t="s">
        <v>243</v>
      </c>
      <c r="M3" s="175"/>
      <c r="N3" s="279" t="s">
        <v>234</v>
      </c>
      <c r="O3" s="279"/>
      <c r="P3" s="173" t="s">
        <v>299</v>
      </c>
      <c r="Q3" s="175"/>
      <c r="R3" s="279" t="s">
        <v>36</v>
      </c>
      <c r="S3" s="279"/>
      <c r="T3" s="173" t="s">
        <v>35</v>
      </c>
      <c r="U3" s="175"/>
      <c r="V3" s="279" t="s">
        <v>8</v>
      </c>
      <c r="W3" s="279"/>
      <c r="X3" s="173" t="s">
        <v>300</v>
      </c>
      <c r="Y3" s="175"/>
      <c r="AC3" s="134" t="str">
        <f>Reglages!CA3</f>
        <v>A1-Ring</v>
      </c>
      <c r="AD3" s="135">
        <f>Reglages!CB3</f>
        <v>18.663716814159294</v>
      </c>
      <c r="AE3" s="135">
        <f>Reglages!CC3</f>
        <v>34.690265486725664</v>
      </c>
      <c r="AF3" s="135">
        <f>Reglages!CD3</f>
        <v>12.513274336283185</v>
      </c>
      <c r="AG3" s="135">
        <f>Reglages!CE3</f>
        <v>13.380530973451327</v>
      </c>
      <c r="AH3" s="135">
        <f>Reglages!CF3</f>
        <v>13.63716814159292</v>
      </c>
      <c r="AI3" s="135">
        <f>Reglages!CG3</f>
        <v>16.053097345132745</v>
      </c>
      <c r="AJ3" s="135">
        <f>Reglages!CH3</f>
        <v>12.212389380530974</v>
      </c>
      <c r="AK3" s="135">
        <f>Reglages!CI3</f>
        <v>23.238938053097346</v>
      </c>
      <c r="AL3" s="135">
        <f>Reglages!CJ3</f>
        <v>27.973451327433629</v>
      </c>
      <c r="AM3" s="135">
        <f>Reglages!CK3</f>
        <v>18.221238938053098</v>
      </c>
      <c r="AN3" s="135">
        <f>Reglages!CL3</f>
        <v>13.902654867256636</v>
      </c>
      <c r="AO3" s="134">
        <f>Reglages!CM3</f>
        <v>1.0900000000000001</v>
      </c>
      <c r="AP3" s="134" t="str">
        <f>Reglages!CN3</f>
        <v>haute</v>
      </c>
      <c r="AQ3" s="134">
        <f>Reglages!CO3</f>
        <v>113</v>
      </c>
    </row>
    <row r="4" spans="2:43" ht="7.5" customHeight="1" thickBot="1">
      <c r="D4" s="41"/>
      <c r="E4" s="123"/>
      <c r="H4" s="41"/>
      <c r="I4" s="123"/>
      <c r="L4" s="41"/>
      <c r="M4" s="123"/>
      <c r="P4" s="41"/>
      <c r="Q4" s="123"/>
      <c r="T4" s="41"/>
      <c r="U4" s="123"/>
      <c r="X4" s="41"/>
      <c r="Y4" s="123"/>
      <c r="AC4" s="134" t="str">
        <f>Reglages!CA4</f>
        <v>Adelaide</v>
      </c>
      <c r="AD4" s="135">
        <f>Reglages!CB4</f>
        <v>25.518518518518519</v>
      </c>
      <c r="AE4" s="135">
        <f>Reglages!CC4</f>
        <v>13.796296296296296</v>
      </c>
      <c r="AF4" s="135">
        <f>Reglages!CD4</f>
        <v>27.061728395061728</v>
      </c>
      <c r="AG4" s="135">
        <f>Reglages!CE4</f>
        <v>31.283950617283949</v>
      </c>
      <c r="AH4" s="135">
        <f>Reglages!CF4</f>
        <v>29.179012345679013</v>
      </c>
      <c r="AI4" s="135">
        <f>Reglages!CG4</f>
        <v>17.864197530864196</v>
      </c>
      <c r="AJ4" s="135">
        <f>Reglages!CH4</f>
        <v>21.080246913580247</v>
      </c>
      <c r="AK4" s="135">
        <f>Reglages!CI4</f>
        <v>19.901234567901234</v>
      </c>
      <c r="AL4" s="135">
        <f>Reglages!CJ4</f>
        <v>16.234567901234566</v>
      </c>
      <c r="AM4" s="135">
        <f>Reglages!CK4</f>
        <v>10.641975308641975</v>
      </c>
      <c r="AN4" s="135">
        <f>Reglages!CL4</f>
        <v>15.228395061728396</v>
      </c>
      <c r="AO4" s="134">
        <f>Reglages!CM4</f>
        <v>1.25</v>
      </c>
      <c r="AP4" s="134" t="str">
        <f>Reglages!CN4</f>
        <v>basse</v>
      </c>
      <c r="AQ4" s="134">
        <f>Reglages!CO4</f>
        <v>162</v>
      </c>
    </row>
    <row r="5" spans="2:43">
      <c r="B5" s="275" t="s">
        <v>302</v>
      </c>
      <c r="C5" s="271">
        <f>VLOOKUP($B5,$AC$2:$AQ$71,15,FALSE)</f>
        <v>108</v>
      </c>
      <c r="D5" s="136">
        <f>VLOOKUP($B5,$AC$2:$AQ$68,2,FALSE)</f>
        <v>13.481481481481481</v>
      </c>
      <c r="E5" s="137">
        <f>D5</f>
        <v>13.481481481481481</v>
      </c>
      <c r="F5" s="136">
        <f>VLOOKUP($B5,$AC$2:$AQ$68,3,FALSE)</f>
        <v>37.111111111111114</v>
      </c>
      <c r="G5" s="137">
        <f>F5</f>
        <v>37.111111111111114</v>
      </c>
      <c r="H5" s="136">
        <f>VLOOKUP($B5,$AC$2:$AQ$68,4,FALSE)</f>
        <v>12.75</v>
      </c>
      <c r="I5" s="137">
        <f>H5</f>
        <v>12.75</v>
      </c>
      <c r="J5" s="136">
        <f>VLOOKUP($B5,$AC$2:$AQ$68,5,FALSE)</f>
        <v>13.916666666666666</v>
      </c>
      <c r="K5" s="137">
        <f>J5</f>
        <v>13.916666666666666</v>
      </c>
      <c r="L5" s="136">
        <f>VLOOKUP($B5,$AC$2:$AQ$68,6,FALSE)</f>
        <v>12.064814814814815</v>
      </c>
      <c r="M5" s="137">
        <f>L5</f>
        <v>12.064814814814815</v>
      </c>
      <c r="N5" s="136">
        <f>VLOOKUP($B5,$AC$2:$AQ$68,7,FALSE)</f>
        <v>15.648148148148149</v>
      </c>
      <c r="O5" s="137">
        <f>N5</f>
        <v>15.648148148148149</v>
      </c>
      <c r="P5" s="136">
        <f>VLOOKUP($B5,$AC$2:$AQ$68,8,FALSE)</f>
        <v>11.527777777777779</v>
      </c>
      <c r="Q5" s="137">
        <f>P5</f>
        <v>11.527777777777779</v>
      </c>
      <c r="R5" s="136">
        <f>VLOOKUP($B5,$AC$2:$AQ$68,9,FALSE)</f>
        <v>17.472222222222221</v>
      </c>
      <c r="S5" s="137">
        <f>R5</f>
        <v>17.472222222222221</v>
      </c>
      <c r="T5" s="136">
        <f>VLOOKUP($B5,$AC$2:$AQ$68,10,FALSE)</f>
        <v>29.805555555555557</v>
      </c>
      <c r="U5" s="137">
        <f>T5</f>
        <v>29.805555555555557</v>
      </c>
      <c r="V5" s="136">
        <f>VLOOKUP($B5,$AC$2:$AQ$68,11,FALSE)</f>
        <v>12.101851851851851</v>
      </c>
      <c r="W5" s="137">
        <f>V5</f>
        <v>12.101851851851851</v>
      </c>
      <c r="X5" s="136">
        <f>VLOOKUP($B5,$AC$2:$AQ$68,12,FALSE)</f>
        <v>9.3148148148148149</v>
      </c>
      <c r="Y5" s="137">
        <f>X5</f>
        <v>9.3148148148148149</v>
      </c>
      <c r="AC5" s="134" t="str">
        <f>Reglages!CA5</f>
        <v>Ahvenisto</v>
      </c>
      <c r="AD5" s="135">
        <f>Reglages!CB5</f>
        <v>12.904458598726114</v>
      </c>
      <c r="AE5" s="135">
        <f>Reglages!CC5</f>
        <v>16.535031847133759</v>
      </c>
      <c r="AF5" s="135">
        <f>Reglages!CD5</f>
        <v>17.343949044585987</v>
      </c>
      <c r="AG5" s="135">
        <f>Reglages!CE5</f>
        <v>17</v>
      </c>
      <c r="AH5" s="135">
        <f>Reglages!CF5</f>
        <v>14.764331210191083</v>
      </c>
      <c r="AI5" s="135">
        <f>Reglages!CG5</f>
        <v>13.076433121019109</v>
      </c>
      <c r="AJ5" s="135">
        <f>Reglages!CH5</f>
        <v>10.305732484076433</v>
      </c>
      <c r="AK5" s="135">
        <f>Reglages!CI5</f>
        <v>15.904458598726114</v>
      </c>
      <c r="AL5" s="135">
        <f>Reglages!CJ5</f>
        <v>19.738853503184714</v>
      </c>
      <c r="AM5" s="135">
        <f>Reglages!CK5</f>
        <v>15.019108280254777</v>
      </c>
      <c r="AN5" s="135">
        <f>Reglages!CL5</f>
        <v>8.0382165605095537</v>
      </c>
      <c r="AO5" s="134">
        <f>Reglages!CM5</f>
        <v>1.1499999999999999</v>
      </c>
      <c r="AP5" s="134" t="str">
        <f>Reglages!CN5</f>
        <v>moyen</v>
      </c>
      <c r="AQ5" s="134">
        <f>Reglages!CO5</f>
        <v>157</v>
      </c>
    </row>
    <row r="6" spans="2:43" ht="13.5" thickBot="1">
      <c r="B6" s="276"/>
      <c r="C6" s="272"/>
      <c r="D6" s="273">
        <f>D5</f>
        <v>13.481481481481481</v>
      </c>
      <c r="E6" s="277"/>
      <c r="F6" s="273">
        <f>F5</f>
        <v>37.111111111111114</v>
      </c>
      <c r="G6" s="277"/>
      <c r="H6" s="273">
        <f>H5</f>
        <v>12.75</v>
      </c>
      <c r="I6" s="277"/>
      <c r="J6" s="273">
        <f>J5</f>
        <v>13.916666666666666</v>
      </c>
      <c r="K6" s="277"/>
      <c r="L6" s="273">
        <f>L5</f>
        <v>12.064814814814815</v>
      </c>
      <c r="M6" s="277"/>
      <c r="N6" s="273">
        <f>N5</f>
        <v>15.648148148148149</v>
      </c>
      <c r="O6" s="277"/>
      <c r="P6" s="273">
        <f>P5</f>
        <v>11.527777777777779</v>
      </c>
      <c r="Q6" s="277"/>
      <c r="R6" s="273">
        <f>R5</f>
        <v>17.472222222222221</v>
      </c>
      <c r="S6" s="277"/>
      <c r="T6" s="273">
        <f>T5</f>
        <v>29.805555555555557</v>
      </c>
      <c r="U6" s="277"/>
      <c r="V6" s="273">
        <f>V5</f>
        <v>12.101851851851851</v>
      </c>
      <c r="W6" s="277"/>
      <c r="X6" s="273">
        <f>X5</f>
        <v>9.3148148148148149</v>
      </c>
      <c r="Y6" s="277"/>
      <c r="AC6" s="134" t="str">
        <f>Reglages!CA6</f>
        <v>Anderstorp</v>
      </c>
      <c r="AD6" s="135">
        <f>Reglages!CB6</f>
        <v>16.713235294117649</v>
      </c>
      <c r="AE6" s="135">
        <f>Reglages!CC6</f>
        <v>33.551470588235297</v>
      </c>
      <c r="AF6" s="135">
        <f>Reglages!CD6</f>
        <v>13.426470588235293</v>
      </c>
      <c r="AG6" s="135">
        <f>Reglages!CE6</f>
        <v>12.544117647058824</v>
      </c>
      <c r="AH6" s="135">
        <f>Reglages!CF6</f>
        <v>28.823529411764707</v>
      </c>
      <c r="AI6" s="135">
        <f>Reglages!CG6</f>
        <v>18.698529411764707</v>
      </c>
      <c r="AJ6" s="135">
        <f>Reglages!CH6</f>
        <v>10.713235294117647</v>
      </c>
      <c r="AK6" s="135">
        <f>Reglages!CI6</f>
        <v>26.713235294117649</v>
      </c>
      <c r="AL6" s="135">
        <f>Reglages!CJ6</f>
        <v>34.595588235294116</v>
      </c>
      <c r="AM6" s="135">
        <f>Reglages!CK6</f>
        <v>14.757352941176471</v>
      </c>
      <c r="AN6" s="135">
        <f>Reglages!CL6</f>
        <v>9.0955882352941178</v>
      </c>
      <c r="AO6" s="134">
        <f>Reglages!CM6</f>
        <v>1.085</v>
      </c>
      <c r="AP6" s="134" t="str">
        <f>Reglages!CN6</f>
        <v>haute</v>
      </c>
      <c r="AQ6" s="134">
        <f>Reglages!CO6</f>
        <v>136</v>
      </c>
    </row>
    <row r="7" spans="2:43">
      <c r="B7" s="275" t="s">
        <v>74</v>
      </c>
      <c r="C7" s="271">
        <f>VLOOKUP($B7,$AC$2:$AQ$71,15,FALSE)</f>
        <v>130</v>
      </c>
      <c r="D7" s="136">
        <f>VLOOKUP($B7,$AC$2:$AQ$68,2,FALSE)</f>
        <v>15.376923076923077</v>
      </c>
      <c r="E7" s="137">
        <f>IF(E5+D7&gt;99,D7,E5+D7)</f>
        <v>28.858404558404558</v>
      </c>
      <c r="F7" s="136">
        <f>VLOOKUP($B7,$AC$2:$AQ$68,3,FALSE)</f>
        <v>27.9</v>
      </c>
      <c r="G7" s="137">
        <f>IF(G5+F7&gt;99,F7,G5+F7)</f>
        <v>65.01111111111112</v>
      </c>
      <c r="H7" s="136">
        <f>VLOOKUP($B7,$AC$2:$AQ$68,4,FALSE)</f>
        <v>25.992307692307691</v>
      </c>
      <c r="I7" s="137">
        <f>IF(I5+H7&gt;99,H7,I5+H7)</f>
        <v>38.742307692307691</v>
      </c>
      <c r="J7" s="136">
        <f>VLOOKUP($B7,$AC$2:$AQ$68,5,FALSE)</f>
        <v>28.023076923076925</v>
      </c>
      <c r="K7" s="137">
        <f>IF(K5+J7&gt;99,J7,K5+J7)</f>
        <v>41.939743589743593</v>
      </c>
      <c r="L7" s="136">
        <f>VLOOKUP($B7,$AC$2:$AQ$68,6,FALSE)</f>
        <v>22</v>
      </c>
      <c r="M7" s="137">
        <f>IF(M5+L7&gt;99,L7,M5+L7)</f>
        <v>34.064814814814817</v>
      </c>
      <c r="N7" s="136">
        <f>VLOOKUP($B7,$AC$2:$AQ$68,7,FALSE)</f>
        <v>11.876923076923077</v>
      </c>
      <c r="O7" s="137">
        <f>IF(O5+N7&gt;99,N7,O5+N7)</f>
        <v>27.525071225071226</v>
      </c>
      <c r="P7" s="136">
        <f>VLOOKUP($B7,$AC$2:$AQ$68,8,FALSE)</f>
        <v>13.969230769230769</v>
      </c>
      <c r="Q7" s="137">
        <f>IF(Q5+P7&gt;99,P7,Q5+P7)</f>
        <v>25.497008547008548</v>
      </c>
      <c r="R7" s="136">
        <f>VLOOKUP($B7,$AC$2:$AQ$68,9,FALSE)</f>
        <v>25.7</v>
      </c>
      <c r="S7" s="137">
        <f>IF(S5+R7&gt;99,R7,S5+R7)</f>
        <v>43.172222222222217</v>
      </c>
      <c r="T7" s="136">
        <f>VLOOKUP($B7,$AC$2:$AQ$68,10,FALSE)</f>
        <v>31.223076923076924</v>
      </c>
      <c r="U7" s="137">
        <f>IF(U5+T7&gt;99,T7,U5+T7)</f>
        <v>61.028632478632481</v>
      </c>
      <c r="V7" s="136">
        <f>VLOOKUP($B7,$AC$2:$AQ$68,11,FALSE)</f>
        <v>25.530769230769231</v>
      </c>
      <c r="W7" s="137">
        <f>IF(W5+V7&gt;99,V7,W5+V7)</f>
        <v>37.632621082621085</v>
      </c>
      <c r="X7" s="136">
        <f>VLOOKUP($B7,$AC$2:$AQ$68,12,FALSE)</f>
        <v>13.23076923076923</v>
      </c>
      <c r="Y7" s="137">
        <f>IF(Y5+X7&gt;99,X7,Y5+X7)</f>
        <v>22.545584045584043</v>
      </c>
      <c r="AC7" s="134" t="str">
        <f>Reglages!CA7</f>
        <v>Austin</v>
      </c>
      <c r="AD7" s="135">
        <f>Reglages!CB7</f>
        <v>11.661764705882353</v>
      </c>
      <c r="AE7" s="135">
        <f>Reglages!CC7</f>
        <v>24.955882352941178</v>
      </c>
      <c r="AF7" s="135">
        <f>Reglages!CD7</f>
        <v>19.058823529411764</v>
      </c>
      <c r="AG7" s="135">
        <f>Reglages!CE7</f>
        <v>19.176470588235293</v>
      </c>
      <c r="AH7" s="135">
        <f>Reglages!CF7</f>
        <v>13.014705882352942</v>
      </c>
      <c r="AI7" s="135">
        <f>Reglages!CG7</f>
        <v>12.463235294117647</v>
      </c>
      <c r="AJ7" s="135">
        <f>Reglages!CH7</f>
        <v>13.073529411764707</v>
      </c>
      <c r="AK7" s="135">
        <f>Reglages!CI7</f>
        <v>20.044117647058822</v>
      </c>
      <c r="AL7" s="135">
        <f>Reglages!CJ7</f>
        <v>23.455882352941178</v>
      </c>
      <c r="AM7" s="135">
        <f>Reglages!CK7</f>
        <v>10.051470588235293</v>
      </c>
      <c r="AN7" s="135">
        <f>Reglages!CL7</f>
        <v>10.463235294117647</v>
      </c>
      <c r="AO7" s="134">
        <f>Reglages!CM7</f>
        <v>1.18</v>
      </c>
      <c r="AP7" s="134" t="str">
        <f>Reglages!CN7</f>
        <v>moyen</v>
      </c>
      <c r="AQ7" s="134">
        <f>Reglages!CO7</f>
        <v>136</v>
      </c>
    </row>
    <row r="8" spans="2:43" ht="13.5" thickBot="1">
      <c r="B8" s="276"/>
      <c r="C8" s="272"/>
      <c r="D8" s="273">
        <f>D7+D6</f>
        <v>28.858404558404558</v>
      </c>
      <c r="E8" s="274"/>
      <c r="F8" s="273">
        <f>F7+F6</f>
        <v>65.01111111111112</v>
      </c>
      <c r="G8" s="274"/>
      <c r="H8" s="273">
        <f>H7+H6</f>
        <v>38.742307692307691</v>
      </c>
      <c r="I8" s="274"/>
      <c r="J8" s="273">
        <f>J7+J6</f>
        <v>41.939743589743593</v>
      </c>
      <c r="K8" s="274"/>
      <c r="L8" s="273">
        <f>L7+L6</f>
        <v>34.064814814814817</v>
      </c>
      <c r="M8" s="274"/>
      <c r="N8" s="273">
        <f>N7+N6</f>
        <v>27.525071225071226</v>
      </c>
      <c r="O8" s="274"/>
      <c r="P8" s="273">
        <f>P7+P6</f>
        <v>25.497008547008548</v>
      </c>
      <c r="Q8" s="274"/>
      <c r="R8" s="273">
        <f>R7+R6</f>
        <v>43.172222222222217</v>
      </c>
      <c r="S8" s="274"/>
      <c r="T8" s="273">
        <f>T7+T6</f>
        <v>61.028632478632481</v>
      </c>
      <c r="U8" s="274"/>
      <c r="V8" s="273">
        <f>V7+V6</f>
        <v>37.632621082621085</v>
      </c>
      <c r="W8" s="274"/>
      <c r="X8" s="273">
        <f>X7+X6</f>
        <v>22.545584045584043</v>
      </c>
      <c r="Y8" s="274"/>
      <c r="AC8" s="134" t="str">
        <f>Reglages!CA8</f>
        <v>Avus</v>
      </c>
      <c r="AD8" s="135">
        <f>Reglages!CB8</f>
        <v>17.893617021276597</v>
      </c>
      <c r="AE8" s="135">
        <f>Reglages!CC8</f>
        <v>54.468085106382979</v>
      </c>
      <c r="AF8" s="135">
        <f>Reglages!CD8</f>
        <v>9.5744680851063837</v>
      </c>
      <c r="AG8" s="135">
        <f>Reglages!CE8</f>
        <v>10.702127659574469</v>
      </c>
      <c r="AH8" s="135">
        <f>Reglages!CF8</f>
        <v>23.106382978723403</v>
      </c>
      <c r="AI8" s="135">
        <f>Reglages!CG8</f>
        <v>10.468085106382979</v>
      </c>
      <c r="AJ8" s="135">
        <f>Reglages!CH8</f>
        <v>11.787234042553191</v>
      </c>
      <c r="AK8" s="135">
        <f>Reglages!CI8</f>
        <v>15.680851063829786</v>
      </c>
      <c r="AL8" s="135">
        <f>Reglages!CJ8</f>
        <v>14.446808510638299</v>
      </c>
      <c r="AM8" s="135">
        <f>Reglages!CK8</f>
        <v>37.255319148936174</v>
      </c>
      <c r="AN8" s="135">
        <f>Reglages!CL8</f>
        <v>14.170212765957446</v>
      </c>
      <c r="AO8" s="134">
        <f>Reglages!CM8</f>
        <v>1.125</v>
      </c>
      <c r="AP8" s="134" t="str">
        <f>Reglages!CN8</f>
        <v>haute</v>
      </c>
      <c r="AQ8" s="134">
        <f>Reglages!CO8</f>
        <v>47</v>
      </c>
    </row>
    <row r="9" spans="2:43">
      <c r="B9" s="275" t="s">
        <v>69</v>
      </c>
      <c r="C9" s="271">
        <f>VLOOKUP($B9,$AC$2:$AQ$71,15,FALSE)</f>
        <v>88</v>
      </c>
      <c r="D9" s="136">
        <f>VLOOKUP($B9,$AC$2:$AQ$68,2,FALSE)</f>
        <v>26.704545454545453</v>
      </c>
      <c r="E9" s="137">
        <f>IF(E7+D9&gt;99,D9,E7+D9)</f>
        <v>55.562950012950012</v>
      </c>
      <c r="F9" s="136">
        <f>VLOOKUP($B9,$AC$2:$AQ$68,3,FALSE)</f>
        <v>43.340909090909093</v>
      </c>
      <c r="G9" s="137">
        <f>IF(G7+F9&gt;99,F9,G7+F9)</f>
        <v>43.340909090909093</v>
      </c>
      <c r="H9" s="136">
        <f>VLOOKUP($B9,$AC$2:$AQ$68,4,FALSE)</f>
        <v>32.136363636363633</v>
      </c>
      <c r="I9" s="137">
        <f>IF(I7+H9&gt;99,H9,I7+H9)</f>
        <v>70.878671328671317</v>
      </c>
      <c r="J9" s="136">
        <f>VLOOKUP($B9,$AC$2:$AQ$68,5,FALSE)</f>
        <v>25.556818181818183</v>
      </c>
      <c r="K9" s="137">
        <f>IF(K7+J9&gt;99,J9,K7+J9)</f>
        <v>67.496561771561773</v>
      </c>
      <c r="L9" s="136">
        <f>VLOOKUP($B9,$AC$2:$AQ$68,6,FALSE)</f>
        <v>22.727272727272727</v>
      </c>
      <c r="M9" s="137">
        <f>IF(M7+L9&gt;99,L9,M7+L9)</f>
        <v>56.792087542087543</v>
      </c>
      <c r="N9" s="136">
        <f>VLOOKUP($B9,$AC$2:$AQ$68,7,FALSE)</f>
        <v>19.420454545454547</v>
      </c>
      <c r="O9" s="137">
        <f>IF(O7+N9&gt;99,N9,O7+N9)</f>
        <v>46.945525770525776</v>
      </c>
      <c r="P9" s="136">
        <f>VLOOKUP($B9,$AC$2:$AQ$68,8,FALSE)</f>
        <v>17.488636363636363</v>
      </c>
      <c r="Q9" s="137">
        <f>IF(Q7+P9&gt;99,P9,Q7+P9)</f>
        <v>42.985644910644908</v>
      </c>
      <c r="R9" s="136">
        <f>VLOOKUP($B9,$AC$2:$AQ$68,9,FALSE)</f>
        <v>24.488636363636363</v>
      </c>
      <c r="S9" s="137">
        <f>IF(S7+R9&gt;99,R9,S7+R9)</f>
        <v>67.660858585858577</v>
      </c>
      <c r="T9" s="136">
        <f>VLOOKUP($B9,$AC$2:$AQ$68,10,FALSE)</f>
        <v>46.238636363636367</v>
      </c>
      <c r="U9" s="137">
        <f>IF(U7+T9&gt;99,T9,U7+T9)</f>
        <v>46.238636363636367</v>
      </c>
      <c r="V9" s="136">
        <f>VLOOKUP($B9,$AC$2:$AQ$68,11,FALSE)</f>
        <v>36.43181818181818</v>
      </c>
      <c r="W9" s="137">
        <f>IF(W7+V9&gt;99,V9,W7+V9)</f>
        <v>74.064439264439272</v>
      </c>
      <c r="X9" s="136">
        <f>VLOOKUP($B9,$AC$2:$AQ$68,12,FALSE)</f>
        <v>15.431818181818182</v>
      </c>
      <c r="Y9" s="137">
        <f>IF(Y7+X9&gt;99,X9,Y7+X9)</f>
        <v>37.977402227402223</v>
      </c>
      <c r="AC9" s="134" t="str">
        <f>Reglages!CA9</f>
        <v>Baku City</v>
      </c>
      <c r="AD9" s="135">
        <f>Reglages!CB9</f>
        <v>13.481481481481481</v>
      </c>
      <c r="AE9" s="135">
        <f>Reglages!CC9</f>
        <v>37.111111111111114</v>
      </c>
      <c r="AF9" s="135">
        <f>Reglages!CD9</f>
        <v>12.75</v>
      </c>
      <c r="AG9" s="135">
        <f>Reglages!CE9</f>
        <v>13.916666666666666</v>
      </c>
      <c r="AH9" s="135">
        <f>Reglages!CF9</f>
        <v>12.064814814814815</v>
      </c>
      <c r="AI9" s="135">
        <f>Reglages!CG9</f>
        <v>15.648148148148149</v>
      </c>
      <c r="AJ9" s="135">
        <f>Reglages!CH9</f>
        <v>11.527777777777779</v>
      </c>
      <c r="AK9" s="135">
        <f>Reglages!CI9</f>
        <v>17.472222222222221</v>
      </c>
      <c r="AL9" s="135">
        <f>Reglages!CJ9</f>
        <v>29.805555555555557</v>
      </c>
      <c r="AM9" s="135">
        <f>Reglages!CK9</f>
        <v>12.101851851851851</v>
      </c>
      <c r="AN9" s="135">
        <f>Reglages!CL9</f>
        <v>9.3148148148148149</v>
      </c>
      <c r="AO9" s="134">
        <f>Reglages!CM9</f>
        <v>1.1000000000000001</v>
      </c>
      <c r="AP9" s="134" t="str">
        <f>Reglages!CN9</f>
        <v>haute</v>
      </c>
      <c r="AQ9" s="134">
        <f>Reglages!CO9</f>
        <v>108</v>
      </c>
    </row>
    <row r="10" spans="2:43" ht="13.5" thickBot="1">
      <c r="B10" s="276"/>
      <c r="C10" s="272"/>
      <c r="D10" s="273">
        <f>D9+D8</f>
        <v>55.562950012950012</v>
      </c>
      <c r="E10" s="274"/>
      <c r="F10" s="273">
        <f>F9+F8</f>
        <v>108.35202020202021</v>
      </c>
      <c r="G10" s="274"/>
      <c r="H10" s="273">
        <f>H9+H8</f>
        <v>70.878671328671317</v>
      </c>
      <c r="I10" s="274"/>
      <c r="J10" s="273">
        <f>J9+J8</f>
        <v>67.496561771561773</v>
      </c>
      <c r="K10" s="274"/>
      <c r="L10" s="273">
        <f>L9+L8</f>
        <v>56.792087542087543</v>
      </c>
      <c r="M10" s="274"/>
      <c r="N10" s="273">
        <f>N9+N8</f>
        <v>46.945525770525776</v>
      </c>
      <c r="O10" s="274"/>
      <c r="P10" s="273">
        <f>P9+P8</f>
        <v>42.985644910644908</v>
      </c>
      <c r="Q10" s="274"/>
      <c r="R10" s="273">
        <f>R9+R8</f>
        <v>67.660858585858577</v>
      </c>
      <c r="S10" s="274"/>
      <c r="T10" s="273">
        <f>T9+T8</f>
        <v>107.26726884226885</v>
      </c>
      <c r="U10" s="274"/>
      <c r="V10" s="273">
        <f>V9+V8</f>
        <v>74.064439264439272</v>
      </c>
      <c r="W10" s="274"/>
      <c r="X10" s="273">
        <f>X9+X8</f>
        <v>37.977402227402223</v>
      </c>
      <c r="Y10" s="274"/>
      <c r="AC10" s="134" t="str">
        <f>Reglages!CA10</f>
        <v>Barcelona</v>
      </c>
      <c r="AD10" s="135">
        <f>Reglages!CB10</f>
        <v>18.06451612903226</v>
      </c>
      <c r="AE10" s="135">
        <f>Reglages!CC10</f>
        <v>39.236559139784944</v>
      </c>
      <c r="AF10" s="135">
        <f>Reglages!CD10</f>
        <v>29.408602150537636</v>
      </c>
      <c r="AG10" s="135">
        <f>Reglages!CE10</f>
        <v>34.56989247311828</v>
      </c>
      <c r="AH10" s="135">
        <f>Reglages!CF10</f>
        <v>22.387096774193548</v>
      </c>
      <c r="AI10" s="135">
        <f>Reglages!CG10</f>
        <v>15.989247311827956</v>
      </c>
      <c r="AJ10" s="135">
        <f>Reglages!CH10</f>
        <v>15.53763440860215</v>
      </c>
      <c r="AK10" s="135">
        <f>Reglages!CI10</f>
        <v>23.86021505376344</v>
      </c>
      <c r="AL10" s="135">
        <f>Reglages!CJ10</f>
        <v>34.698924731182792</v>
      </c>
      <c r="AM10" s="135">
        <f>Reglages!CK10</f>
        <v>28.49462365591398</v>
      </c>
      <c r="AN10" s="135">
        <f>Reglages!CL10</f>
        <v>13.56989247311828</v>
      </c>
      <c r="AO10" s="134">
        <f>Reglages!CM10</f>
        <v>1.125</v>
      </c>
      <c r="AP10" s="134" t="str">
        <f>Reglages!CN10</f>
        <v>haute</v>
      </c>
      <c r="AQ10" s="134">
        <f>Reglages!CO10</f>
        <v>93</v>
      </c>
    </row>
    <row r="11" spans="2:43">
      <c r="B11" s="275" t="s">
        <v>41</v>
      </c>
      <c r="C11" s="271">
        <f>VLOOKUP($B11,$AC$2:$AQ$71,15,FALSE)</f>
        <v>113</v>
      </c>
      <c r="D11" s="136">
        <f>VLOOKUP($B11,$AC$2:$AQ$68,2,FALSE)</f>
        <v>18.663716814159294</v>
      </c>
      <c r="E11" s="137">
        <f>IF(E9+D11&gt;99,D11,E9+D11)</f>
        <v>74.226666827109312</v>
      </c>
      <c r="F11" s="136">
        <f>VLOOKUP($B11,$AC$2:$AQ$68,3,FALSE)</f>
        <v>34.690265486725664</v>
      </c>
      <c r="G11" s="137">
        <f>IF(G9+F11&gt;99,F11,G9+F11)</f>
        <v>78.031174577634758</v>
      </c>
      <c r="H11" s="136">
        <f>VLOOKUP($B11,$AC$2:$AQ$68,4,FALSE)</f>
        <v>12.513274336283185</v>
      </c>
      <c r="I11" s="137">
        <f>IF(I9+H11&gt;99,H11,I9+H11)</f>
        <v>83.391945664954505</v>
      </c>
      <c r="J11" s="136">
        <f>VLOOKUP($B11,$AC$2:$AQ$68,5,FALSE)</f>
        <v>13.380530973451327</v>
      </c>
      <c r="K11" s="137">
        <f>IF(K9+J11&gt;99,J11,K9+J11)</f>
        <v>80.877092745013101</v>
      </c>
      <c r="L11" s="136">
        <f>VLOOKUP($B11,$AC$2:$AQ$68,6,FALSE)</f>
        <v>13.63716814159292</v>
      </c>
      <c r="M11" s="137">
        <f>IF(M9+L11&gt;99,L11,M9+L11)</f>
        <v>70.429255683680466</v>
      </c>
      <c r="N11" s="136">
        <f>VLOOKUP($B11,$AC$2:$AQ$68,7,FALSE)</f>
        <v>16.053097345132745</v>
      </c>
      <c r="O11" s="137">
        <f>IF(O9+N11&gt;99,N11,O9+N11)</f>
        <v>62.998623115658518</v>
      </c>
      <c r="P11" s="136">
        <f>VLOOKUP($B11,$AC$2:$AQ$68,8,FALSE)</f>
        <v>12.212389380530974</v>
      </c>
      <c r="Q11" s="137">
        <f>IF(Q9+P11&gt;99,P11,Q9+P11)</f>
        <v>55.19803429117588</v>
      </c>
      <c r="R11" s="136">
        <f>VLOOKUP($B11,$AC$2:$AQ$68,9,FALSE)</f>
        <v>23.238938053097346</v>
      </c>
      <c r="S11" s="137">
        <f>IF(S9+R11&gt;99,R11,S9+R11)</f>
        <v>90.89979663895592</v>
      </c>
      <c r="T11" s="136">
        <f>VLOOKUP($B11,$AC$2:$AQ$68,10,FALSE)</f>
        <v>27.973451327433629</v>
      </c>
      <c r="U11" s="137">
        <f>IF(U9+T11&gt;99,T11,U9+T11)</f>
        <v>74.212087691069996</v>
      </c>
      <c r="V11" s="136">
        <f>VLOOKUP($B11,$AC$2:$AQ$68,11,FALSE)</f>
        <v>18.221238938053098</v>
      </c>
      <c r="W11" s="137">
        <f>IF(W9+V11&gt;99,V11,W9+V11)</f>
        <v>92.285678202492363</v>
      </c>
      <c r="X11" s="136">
        <f>VLOOKUP($B11,$AC$2:$AQ$68,12,FALSE)</f>
        <v>13.902654867256636</v>
      </c>
      <c r="Y11" s="137">
        <f>IF(Y9+X11&gt;99,X11,Y9+X11)</f>
        <v>51.880057094658859</v>
      </c>
      <c r="AC11" s="134" t="str">
        <f>Reglages!CA11</f>
        <v>Brands Hatch</v>
      </c>
      <c r="AD11" s="135">
        <f>Reglages!CB11</f>
        <v>8.21830985915493</v>
      </c>
      <c r="AE11" s="135">
        <f>Reglages!CC11</f>
        <v>22.253521126760564</v>
      </c>
      <c r="AF11" s="135">
        <f>Reglages!CD11</f>
        <v>13.943661971830986</v>
      </c>
      <c r="AG11" s="135">
        <f>Reglages!CE11</f>
        <v>17.133802816901408</v>
      </c>
      <c r="AH11" s="135">
        <f>Reglages!CF11</f>
        <v>19.218309859154928</v>
      </c>
      <c r="AI11" s="135">
        <f>Reglages!CG11</f>
        <v>10.964788732394366</v>
      </c>
      <c r="AJ11" s="135">
        <f>Reglages!CH11</f>
        <v>9.0492957746478879</v>
      </c>
      <c r="AK11" s="135">
        <f>Reglages!CI11</f>
        <v>14.73943661971831</v>
      </c>
      <c r="AL11" s="135">
        <f>Reglages!CJ11</f>
        <v>26.204225352112676</v>
      </c>
      <c r="AM11" s="135">
        <f>Reglages!CK11</f>
        <v>26.112676056338028</v>
      </c>
      <c r="AN11" s="135">
        <f>Reglages!CL11</f>
        <v>13.80281690140845</v>
      </c>
      <c r="AO11" s="134">
        <f>Reglages!CM11</f>
        <v>1.2</v>
      </c>
      <c r="AP11" s="134" t="str">
        <f>Reglages!CN11</f>
        <v>basse</v>
      </c>
      <c r="AQ11" s="134">
        <f>Reglages!CO11</f>
        <v>142</v>
      </c>
    </row>
    <row r="12" spans="2:43" ht="13.5" thickBot="1">
      <c r="B12" s="276"/>
      <c r="C12" s="272"/>
      <c r="D12" s="273">
        <f>D11+D10</f>
        <v>74.226666827109312</v>
      </c>
      <c r="E12" s="274"/>
      <c r="F12" s="273">
        <f>F11+F10</f>
        <v>143.04228568874589</v>
      </c>
      <c r="G12" s="274"/>
      <c r="H12" s="273">
        <f>H11+H10</f>
        <v>83.391945664954505</v>
      </c>
      <c r="I12" s="274"/>
      <c r="J12" s="273">
        <f>J11+J10</f>
        <v>80.877092745013101</v>
      </c>
      <c r="K12" s="274"/>
      <c r="L12" s="273">
        <f>L11+L10</f>
        <v>70.429255683680466</v>
      </c>
      <c r="M12" s="274"/>
      <c r="N12" s="273">
        <f>N11+N10</f>
        <v>62.998623115658518</v>
      </c>
      <c r="O12" s="274"/>
      <c r="P12" s="273">
        <f>P11+P10</f>
        <v>55.19803429117588</v>
      </c>
      <c r="Q12" s="274"/>
      <c r="R12" s="273">
        <f>R11+R10</f>
        <v>90.89979663895592</v>
      </c>
      <c r="S12" s="274"/>
      <c r="T12" s="273">
        <f>T11+T10</f>
        <v>135.24072016970248</v>
      </c>
      <c r="U12" s="274"/>
      <c r="V12" s="273">
        <f>V11+V10</f>
        <v>92.285678202492363</v>
      </c>
      <c r="W12" s="274"/>
      <c r="X12" s="273">
        <f>X11+X10</f>
        <v>51.880057094658859</v>
      </c>
      <c r="Y12" s="274"/>
      <c r="AC12" s="134" t="str">
        <f>Reglages!CA12</f>
        <v>Brasilia</v>
      </c>
      <c r="AD12" s="135">
        <f>Reglages!CB12</f>
        <v>12.626436781609195</v>
      </c>
      <c r="AE12" s="135">
        <f>Reglages!CC12</f>
        <v>25.511494252873565</v>
      </c>
      <c r="AF12" s="135">
        <f>Reglages!CD12</f>
        <v>16.270114942528735</v>
      </c>
      <c r="AG12" s="135">
        <f>Reglages!CE12</f>
        <v>19.896551724137932</v>
      </c>
      <c r="AH12" s="135">
        <f>Reglages!CF12</f>
        <v>13.402298850574713</v>
      </c>
      <c r="AI12" s="135">
        <f>Reglages!CG12</f>
        <v>12.310344827586206</v>
      </c>
      <c r="AJ12" s="135">
        <f>Reglages!CH12</f>
        <v>14.39080459770115</v>
      </c>
      <c r="AK12" s="135">
        <f>Reglages!CI12</f>
        <v>20.637931034482758</v>
      </c>
      <c r="AL12" s="135">
        <f>Reglages!CJ12</f>
        <v>28.126436781609197</v>
      </c>
      <c r="AM12" s="135">
        <f>Reglages!CK12</f>
        <v>13.24712643678161</v>
      </c>
      <c r="AN12" s="135">
        <f>Reglages!CL12</f>
        <v>11.471264367816092</v>
      </c>
      <c r="AO12" s="134">
        <f>Reglages!CM12</f>
        <v>1.07</v>
      </c>
      <c r="AP12" s="134" t="str">
        <f>Reglages!CN12</f>
        <v>haute</v>
      </c>
      <c r="AQ12" s="134">
        <f>Reglages!CO12</f>
        <v>174</v>
      </c>
    </row>
    <row r="13" spans="2:43">
      <c r="B13" s="275" t="s">
        <v>68</v>
      </c>
      <c r="C13" s="271">
        <f>VLOOKUP($B13,$AC$2:$AQ$71,15,FALSE)</f>
        <v>166</v>
      </c>
      <c r="D13" s="136">
        <f>VLOOKUP($B13,$AC$2:$AQ$68,2,FALSE)</f>
        <v>10.656626506024097</v>
      </c>
      <c r="E13" s="137">
        <f>IF(E11+D13&gt;99,D13,E11+D13)</f>
        <v>84.883293333133409</v>
      </c>
      <c r="F13" s="136">
        <f>VLOOKUP($B13,$AC$2:$AQ$68,3,FALSE)</f>
        <v>12.831325301204819</v>
      </c>
      <c r="G13" s="137">
        <f>IF(G11+F13&gt;99,F13,G11+F13)</f>
        <v>90.862499878839571</v>
      </c>
      <c r="H13" s="136">
        <f>VLOOKUP($B13,$AC$2:$AQ$68,4,FALSE)</f>
        <v>37.879518072289159</v>
      </c>
      <c r="I13" s="137">
        <f>IF(I11+H13&gt;99,H13,I11+H13)</f>
        <v>37.879518072289159</v>
      </c>
      <c r="J13" s="136">
        <f>VLOOKUP($B13,$AC$2:$AQ$68,5,FALSE)</f>
        <v>37.542168674698793</v>
      </c>
      <c r="K13" s="137">
        <f>IF(K11+J13&gt;99,J13,K11+J13)</f>
        <v>37.542168674698793</v>
      </c>
      <c r="L13" s="136">
        <f>VLOOKUP($B13,$AC$2:$AQ$68,6,FALSE)</f>
        <v>19.656626506024097</v>
      </c>
      <c r="M13" s="137">
        <f>IF(M11+L13&gt;99,L13,M11+L13)</f>
        <v>90.085882189704563</v>
      </c>
      <c r="N13" s="136">
        <f>VLOOKUP($B13,$AC$2:$AQ$68,7,FALSE)</f>
        <v>7.5662650602409638</v>
      </c>
      <c r="O13" s="137">
        <f>IF(O11+N13&gt;99,N13,O11+N13)</f>
        <v>70.564888175899483</v>
      </c>
      <c r="P13" s="136">
        <f>VLOOKUP($B13,$AC$2:$AQ$68,8,FALSE)</f>
        <v>10.849397590361447</v>
      </c>
      <c r="Q13" s="137">
        <f>IF(Q11+P13&gt;99,P13,Q11+P13)</f>
        <v>66.047431881537321</v>
      </c>
      <c r="R13" s="136">
        <f>VLOOKUP($B13,$AC$2:$AQ$68,9,FALSE)</f>
        <v>20.463855421686748</v>
      </c>
      <c r="S13" s="137">
        <f>IF(S11+R13&gt;99,R13,S11+R13)</f>
        <v>20.463855421686748</v>
      </c>
      <c r="T13" s="136">
        <f>VLOOKUP($B13,$AC$2:$AQ$68,10,FALSE)</f>
        <v>33.578313253012048</v>
      </c>
      <c r="U13" s="137">
        <f>IF(U11+T13&gt;99,T13,U11+T13)</f>
        <v>33.578313253012048</v>
      </c>
      <c r="V13" s="136">
        <f>VLOOKUP($B13,$AC$2:$AQ$68,11,FALSE)</f>
        <v>26.58433734939759</v>
      </c>
      <c r="W13" s="137">
        <f>IF(W11+V13&gt;99,V13,W11+V13)</f>
        <v>26.58433734939759</v>
      </c>
      <c r="X13" s="136">
        <f>VLOOKUP($B13,$AC$2:$AQ$68,12,FALSE)</f>
        <v>9.4638554216867465</v>
      </c>
      <c r="Y13" s="137">
        <f>IF(Y11+X13&gt;99,X13,Y11+X13)</f>
        <v>61.343912516345604</v>
      </c>
      <c r="AC13" s="134" t="str">
        <f>Reglages!CA13</f>
        <v>Bremgarten</v>
      </c>
      <c r="AD13" s="135">
        <f>Reglages!CB13</f>
        <v>24.33644859813084</v>
      </c>
      <c r="AE13" s="135">
        <f>Reglages!CC13</f>
        <v>14.317757009345794</v>
      </c>
      <c r="AF13" s="135">
        <f>Reglages!CD13</f>
        <v>12.299065420560748</v>
      </c>
      <c r="AG13" s="135">
        <f>Reglages!CE13</f>
        <v>11.728971962616823</v>
      </c>
      <c r="AH13" s="135">
        <f>Reglages!CF13</f>
        <v>26.420560747663551</v>
      </c>
      <c r="AI13" s="135">
        <f>Reglages!CG13</f>
        <v>20.289719626168225</v>
      </c>
      <c r="AJ13" s="135">
        <f>Reglages!CH13</f>
        <v>8.8504672897196262</v>
      </c>
      <c r="AK13" s="135">
        <f>Reglages!CI13</f>
        <v>21.728971962616821</v>
      </c>
      <c r="AL13" s="135">
        <f>Reglages!CJ13</f>
        <v>18.850467289719628</v>
      </c>
      <c r="AM13" s="135">
        <f>Reglages!CK13</f>
        <v>26.411214953271028</v>
      </c>
      <c r="AN13" s="135">
        <f>Reglages!CL13</f>
        <v>7.7943925233644862</v>
      </c>
      <c r="AO13" s="134">
        <f>Reglages!CM13</f>
        <v>1.18</v>
      </c>
      <c r="AP13" s="134" t="str">
        <f>Reglages!CN13</f>
        <v>moyen</v>
      </c>
      <c r="AQ13" s="134">
        <f>Reglages!CO13</f>
        <v>107</v>
      </c>
    </row>
    <row r="14" spans="2:43" ht="13.5" thickBot="1">
      <c r="B14" s="276"/>
      <c r="C14" s="272"/>
      <c r="D14" s="273">
        <f>D13+D12</f>
        <v>84.883293333133409</v>
      </c>
      <c r="E14" s="274"/>
      <c r="F14" s="273">
        <f>F13+F12</f>
        <v>155.87361098995072</v>
      </c>
      <c r="G14" s="274"/>
      <c r="H14" s="273">
        <f>H13+H12</f>
        <v>121.27146373724366</v>
      </c>
      <c r="I14" s="274"/>
      <c r="J14" s="273">
        <f>J13+J12</f>
        <v>118.41926141971189</v>
      </c>
      <c r="K14" s="274"/>
      <c r="L14" s="273">
        <f>L13+L12</f>
        <v>90.085882189704563</v>
      </c>
      <c r="M14" s="274"/>
      <c r="N14" s="273">
        <f>N13+N12</f>
        <v>70.564888175899483</v>
      </c>
      <c r="O14" s="274"/>
      <c r="P14" s="273">
        <f>P13+P12</f>
        <v>66.047431881537321</v>
      </c>
      <c r="Q14" s="274"/>
      <c r="R14" s="273">
        <f>R13+R12</f>
        <v>111.36365206064266</v>
      </c>
      <c r="S14" s="274"/>
      <c r="T14" s="273">
        <f>T13+T12</f>
        <v>168.81903342271454</v>
      </c>
      <c r="U14" s="274"/>
      <c r="V14" s="273">
        <f>V13+V12</f>
        <v>118.87001555188995</v>
      </c>
      <c r="W14" s="274"/>
      <c r="X14" s="273">
        <f>X13+X12</f>
        <v>61.343912516345604</v>
      </c>
      <c r="Y14" s="274"/>
      <c r="AC14" s="134" t="str">
        <f>Reglages!CA14</f>
        <v>Brno</v>
      </c>
      <c r="AD14" s="135">
        <f>Reglages!CB14</f>
        <v>16.074766355140188</v>
      </c>
      <c r="AE14" s="135">
        <f>Reglages!CC14</f>
        <v>26.401869158878505</v>
      </c>
      <c r="AF14" s="135">
        <f>Reglages!CD14</f>
        <v>18.420560747663551</v>
      </c>
      <c r="AG14" s="135">
        <f>Reglages!CE14</f>
        <v>14.953271028037383</v>
      </c>
      <c r="AH14" s="135">
        <f>Reglages!CF14</f>
        <v>18.102803738317757</v>
      </c>
      <c r="AI14" s="135">
        <f>Reglages!CG14</f>
        <v>16.925233644859812</v>
      </c>
      <c r="AJ14" s="135">
        <f>Reglages!CH14</f>
        <v>16.289719626168225</v>
      </c>
      <c r="AK14" s="135">
        <f>Reglages!CI14</f>
        <v>18.990654205607477</v>
      </c>
      <c r="AL14" s="135">
        <f>Reglages!CJ14</f>
        <v>21.981308411214954</v>
      </c>
      <c r="AM14" s="135">
        <f>Reglages!CK14</f>
        <v>17.457943925233646</v>
      </c>
      <c r="AN14" s="135">
        <f>Reglages!CL14</f>
        <v>13.261682242990654</v>
      </c>
      <c r="AO14" s="134">
        <f>Reglages!CM14</f>
        <v>1.18</v>
      </c>
      <c r="AP14" s="134" t="str">
        <f>Reglages!CN14</f>
        <v>moyen</v>
      </c>
      <c r="AQ14" s="134">
        <f>Reglages!CO14</f>
        <v>107</v>
      </c>
    </row>
    <row r="15" spans="2:43">
      <c r="B15" s="275" t="s">
        <v>55</v>
      </c>
      <c r="C15" s="271">
        <f>VLOOKUP($B15,$AC$2:$AQ$71,15,FALSE)</f>
        <v>94</v>
      </c>
      <c r="D15" s="136">
        <f>VLOOKUP($B15,$AC$2:$AQ$68,2,FALSE)</f>
        <v>20.968085106382979</v>
      </c>
      <c r="E15" s="137">
        <f>IF(E13+D15&gt;99,D15,E13+D15)</f>
        <v>20.968085106382979</v>
      </c>
      <c r="F15" s="136">
        <f>VLOOKUP($B15,$AC$2:$AQ$68,3,FALSE)</f>
        <v>31.797872340425531</v>
      </c>
      <c r="G15" s="137">
        <f>IF(G13+F15&gt;99,F15,G13+F15)</f>
        <v>31.797872340425531</v>
      </c>
      <c r="H15" s="136">
        <f>VLOOKUP($B15,$AC$2:$AQ$68,4,FALSE)</f>
        <v>17.74468085106383</v>
      </c>
      <c r="I15" s="137">
        <f>IF(I13+H15&gt;99,H15,I13+H15)</f>
        <v>55.624198923352992</v>
      </c>
      <c r="J15" s="136">
        <f>VLOOKUP($B15,$AC$2:$AQ$68,5,FALSE)</f>
        <v>23.382978723404257</v>
      </c>
      <c r="K15" s="137">
        <f>IF(K13+J15&gt;99,J15,K13+J15)</f>
        <v>60.92514739810305</v>
      </c>
      <c r="L15" s="136">
        <f>VLOOKUP($B15,$AC$2:$AQ$68,6,FALSE)</f>
        <v>19.946808510638299</v>
      </c>
      <c r="M15" s="137">
        <f>IF(M13+L15&gt;99,L15,M13+L15)</f>
        <v>19.946808510638299</v>
      </c>
      <c r="N15" s="136">
        <f>VLOOKUP($B15,$AC$2:$AQ$68,7,FALSE)</f>
        <v>11.095744680851064</v>
      </c>
      <c r="O15" s="137">
        <f>IF(O13+N15&gt;99,N15,O13+N15)</f>
        <v>81.660632856750553</v>
      </c>
      <c r="P15" s="136">
        <f>VLOOKUP($B15,$AC$2:$AQ$68,8,FALSE)</f>
        <v>11.627659574468085</v>
      </c>
      <c r="Q15" s="137">
        <f>IF(Q13+P15&gt;99,P15,Q13+P15)</f>
        <v>77.675091456005404</v>
      </c>
      <c r="R15" s="136">
        <f>VLOOKUP($B15,$AC$2:$AQ$68,9,FALSE)</f>
        <v>20.627659574468087</v>
      </c>
      <c r="S15" s="137">
        <f>IF(S13+R15&gt;99,R15,S13+R15)</f>
        <v>41.091514996154835</v>
      </c>
      <c r="T15" s="136">
        <f>VLOOKUP($B15,$AC$2:$AQ$68,10,FALSE)</f>
        <v>33.882978723404257</v>
      </c>
      <c r="U15" s="137">
        <f>IF(U13+T15&gt;99,T15,U13+T15)</f>
        <v>67.461291976416305</v>
      </c>
      <c r="V15" s="136">
        <f>VLOOKUP($B15,$AC$2:$AQ$68,11,FALSE)</f>
        <v>31.042553191489361</v>
      </c>
      <c r="W15" s="137">
        <f>IF(W13+V15&gt;99,V15,W13+V15)</f>
        <v>57.626890540886947</v>
      </c>
      <c r="X15" s="136">
        <f>VLOOKUP($B15,$AC$2:$AQ$68,12,FALSE)</f>
        <v>7.9680851063829783</v>
      </c>
      <c r="Y15" s="137">
        <f>IF(Y13+X15&gt;99,X15,Y13+X15)</f>
        <v>69.311997622728583</v>
      </c>
      <c r="AC15" s="134" t="str">
        <f>Reglages!CA15</f>
        <v>Bucharest Ring</v>
      </c>
      <c r="AD15" s="135">
        <f>Reglages!CB15</f>
        <v>19.807339449541285</v>
      </c>
      <c r="AE15" s="135">
        <f>Reglages!CC15</f>
        <v>43.220183486238533</v>
      </c>
      <c r="AF15" s="135">
        <f>Reglages!CD15</f>
        <v>19.853211009174313</v>
      </c>
      <c r="AG15" s="135">
        <f>Reglages!CE15</f>
        <v>21.559633027522935</v>
      </c>
      <c r="AH15" s="135">
        <f>Reglages!CF15</f>
        <v>26.293577981651374</v>
      </c>
      <c r="AI15" s="135">
        <f>Reglages!CG15</f>
        <v>19.009174311926607</v>
      </c>
      <c r="AJ15" s="135">
        <f>Reglages!CH15</f>
        <v>15.79816513761468</v>
      </c>
      <c r="AK15" s="135">
        <f>Reglages!CI15</f>
        <v>30.587155963302752</v>
      </c>
      <c r="AL15" s="135">
        <f>Reglages!CJ15</f>
        <v>38.77064220183486</v>
      </c>
      <c r="AM15" s="135">
        <f>Reglages!CK15</f>
        <v>22.541284403669724</v>
      </c>
      <c r="AN15" s="135">
        <f>Reglages!CL15</f>
        <v>18.770642201834864</v>
      </c>
      <c r="AO15" s="134">
        <f>Reglages!CM15</f>
        <v>1.05</v>
      </c>
      <c r="AP15" s="134" t="str">
        <f>Reglages!CN15</f>
        <v>tres haute</v>
      </c>
      <c r="AQ15" s="134">
        <f>Reglages!CO15</f>
        <v>109</v>
      </c>
    </row>
    <row r="16" spans="2:43" ht="13.5" thickBot="1">
      <c r="B16" s="276"/>
      <c r="C16" s="272"/>
      <c r="D16" s="273">
        <f>D15+D14</f>
        <v>105.8513784395164</v>
      </c>
      <c r="E16" s="274"/>
      <c r="F16" s="273">
        <f>F15+F14</f>
        <v>187.67148333037625</v>
      </c>
      <c r="G16" s="274"/>
      <c r="H16" s="273">
        <f>H15+H14</f>
        <v>139.0161445883075</v>
      </c>
      <c r="I16" s="274"/>
      <c r="J16" s="273">
        <f>J15+J14</f>
        <v>141.80224014311614</v>
      </c>
      <c r="K16" s="274"/>
      <c r="L16" s="273">
        <f>L15+L14</f>
        <v>110.03269070034287</v>
      </c>
      <c r="M16" s="274"/>
      <c r="N16" s="273">
        <f>N15+N14</f>
        <v>81.660632856750553</v>
      </c>
      <c r="O16" s="274"/>
      <c r="P16" s="273">
        <f>P15+P14</f>
        <v>77.675091456005404</v>
      </c>
      <c r="Q16" s="274"/>
      <c r="R16" s="273">
        <f>R15+R14</f>
        <v>131.99131163511075</v>
      </c>
      <c r="S16" s="274"/>
      <c r="T16" s="273">
        <f>T15+T14</f>
        <v>202.70201214611879</v>
      </c>
      <c r="U16" s="274"/>
      <c r="V16" s="273">
        <f>V15+V14</f>
        <v>149.91256874337932</v>
      </c>
      <c r="W16" s="274"/>
      <c r="X16" s="273">
        <f>X15+X14</f>
        <v>69.311997622728583</v>
      </c>
      <c r="Y16" s="274"/>
      <c r="AC16" s="134" t="str">
        <f>Reglages!CA16</f>
        <v>Buenos Aires</v>
      </c>
      <c r="AD16" s="135">
        <f>Reglages!CB16</f>
        <v>20.133858267716537</v>
      </c>
      <c r="AE16" s="135">
        <f>Reglages!CC16</f>
        <v>34.897637795275593</v>
      </c>
      <c r="AF16" s="135">
        <f>Reglages!CD16</f>
        <v>15.559055118110237</v>
      </c>
      <c r="AG16" s="135">
        <f>Reglages!CE16</f>
        <v>19.30708661417323</v>
      </c>
      <c r="AH16" s="135">
        <f>Reglages!CF16</f>
        <v>14.086614173228346</v>
      </c>
      <c r="AI16" s="135">
        <f>Reglages!CG16</f>
        <v>12.259842519685039</v>
      </c>
      <c r="AJ16" s="135">
        <f>Reglages!CH16</f>
        <v>17.055118110236222</v>
      </c>
      <c r="AK16" s="135">
        <f>Reglages!CI16</f>
        <v>35.110236220472444</v>
      </c>
      <c r="AL16" s="135">
        <f>Reglages!CJ16</f>
        <v>45.228346456692911</v>
      </c>
      <c r="AM16" s="135">
        <f>Reglages!CK16</f>
        <v>32.874015748031496</v>
      </c>
      <c r="AN16" s="135">
        <f>Reglages!CL16</f>
        <v>13.598425196850394</v>
      </c>
      <c r="AO16" s="134">
        <f>Reglages!CM16</f>
        <v>1.31</v>
      </c>
      <c r="AP16" s="134" t="str">
        <f>Reglages!CN16</f>
        <v>tres basse</v>
      </c>
      <c r="AQ16" s="134">
        <f>Reglages!CO16</f>
        <v>127</v>
      </c>
    </row>
    <row r="17" spans="2:43">
      <c r="B17" s="275" t="s">
        <v>60</v>
      </c>
      <c r="C17" s="271">
        <f>VLOOKUP($B17,$AC$2:$AQ$71,15,FALSE)</f>
        <v>92</v>
      </c>
      <c r="D17" s="136">
        <f>VLOOKUP($B17,$AC$2:$AQ$68,2,FALSE)</f>
        <v>18.913043478260871</v>
      </c>
      <c r="E17" s="137">
        <f>IF(E15+D17&gt;99,D17,E15+D17)</f>
        <v>39.881128584643847</v>
      </c>
      <c r="F17" s="136">
        <f>VLOOKUP($B17,$AC$2:$AQ$68,3,FALSE)</f>
        <v>30.967391304347824</v>
      </c>
      <c r="G17" s="137">
        <f>IF(G15+F17&gt;99,F17,G15+F17)</f>
        <v>62.765263644773356</v>
      </c>
      <c r="H17" s="136">
        <f>VLOOKUP($B17,$AC$2:$AQ$68,4,FALSE)</f>
        <v>18.913043478260871</v>
      </c>
      <c r="I17" s="137">
        <f>IF(I15+H17&gt;99,H17,I15+H17)</f>
        <v>74.537242401613867</v>
      </c>
      <c r="J17" s="136">
        <f>VLOOKUP($B17,$AC$2:$AQ$68,5,FALSE)</f>
        <v>20.891304347826086</v>
      </c>
      <c r="K17" s="137">
        <f>IF(K15+J17&gt;99,J17,K15+J17)</f>
        <v>81.816451745929129</v>
      </c>
      <c r="L17" s="136">
        <f>VLOOKUP($B17,$AC$2:$AQ$68,6,FALSE)</f>
        <v>15.945652173913043</v>
      </c>
      <c r="M17" s="137">
        <f>IF(M15+L17&gt;99,L17,M15+L17)</f>
        <v>35.892460684551338</v>
      </c>
      <c r="N17" s="136">
        <f>VLOOKUP($B17,$AC$2:$AQ$68,7,FALSE)</f>
        <v>13.304347826086957</v>
      </c>
      <c r="O17" s="137">
        <f>IF(O15+N17&gt;99,N17,O15+N17)</f>
        <v>94.964980682837506</v>
      </c>
      <c r="P17" s="136">
        <f>VLOOKUP($B17,$AC$2:$AQ$68,8,FALSE)</f>
        <v>16.163043478260871</v>
      </c>
      <c r="Q17" s="137">
        <f>IF(Q15+P17&gt;99,P17,Q15+P17)</f>
        <v>93.838134934266279</v>
      </c>
      <c r="R17" s="136">
        <f>VLOOKUP($B17,$AC$2:$AQ$68,9,FALSE)</f>
        <v>24.641304347826086</v>
      </c>
      <c r="S17" s="137">
        <f>IF(S15+R17&gt;99,R17,S15+R17)</f>
        <v>65.732819343980921</v>
      </c>
      <c r="T17" s="136">
        <f>VLOOKUP($B17,$AC$2:$AQ$68,10,FALSE)</f>
        <v>31.445652173913043</v>
      </c>
      <c r="U17" s="137">
        <f>IF(U15+T17&gt;99,T17,U15+T17)</f>
        <v>98.906944150329352</v>
      </c>
      <c r="V17" s="136">
        <f>VLOOKUP($B17,$AC$2:$AQ$68,11,FALSE)</f>
        <v>21.923913043478262</v>
      </c>
      <c r="W17" s="137">
        <f>IF(W15+V17&gt;99,V17,W15+V17)</f>
        <v>79.550803584365212</v>
      </c>
      <c r="X17" s="136">
        <f>VLOOKUP($B17,$AC$2:$AQ$68,12,FALSE)</f>
        <v>15.673913043478262</v>
      </c>
      <c r="Y17" s="137">
        <f>IF(Y15+X17&gt;99,X17,Y15+X17)</f>
        <v>84.985910666206848</v>
      </c>
      <c r="AC17" s="134" t="str">
        <f>Reglages!CA17</f>
        <v>Estoril</v>
      </c>
      <c r="AD17" s="135">
        <f>Reglages!CB17</f>
        <v>14.954545454545455</v>
      </c>
      <c r="AE17" s="135">
        <f>Reglages!CC17</f>
        <v>34.490909090909092</v>
      </c>
      <c r="AF17" s="135">
        <f>Reglages!CD17</f>
        <v>19.536363636363635</v>
      </c>
      <c r="AG17" s="135">
        <f>Reglages!CE17</f>
        <v>16.772727272727273</v>
      </c>
      <c r="AH17" s="135">
        <f>Reglages!CF17</f>
        <v>19.418181818181818</v>
      </c>
      <c r="AI17" s="135">
        <f>Reglages!CG17</f>
        <v>13.272727272727273</v>
      </c>
      <c r="AJ17" s="135">
        <f>Reglages!CH17</f>
        <v>9.9818181818181824</v>
      </c>
      <c r="AK17" s="135">
        <f>Reglages!CI17</f>
        <v>24.545454545454547</v>
      </c>
      <c r="AL17" s="135">
        <f>Reglages!CJ17</f>
        <v>28.981818181818181</v>
      </c>
      <c r="AM17" s="135">
        <f>Reglages!CK17</f>
        <v>22.490909090909092</v>
      </c>
      <c r="AN17" s="135">
        <f>Reglages!CL17</f>
        <v>9.536363636363637</v>
      </c>
      <c r="AO17" s="134">
        <f>Reglages!CM17</f>
        <v>1.2</v>
      </c>
      <c r="AP17" s="134" t="str">
        <f>Reglages!CN17</f>
        <v>moyen</v>
      </c>
      <c r="AQ17" s="134">
        <f>Reglages!CO17</f>
        <v>110</v>
      </c>
    </row>
    <row r="18" spans="2:43" ht="13.5" thickBot="1">
      <c r="B18" s="276"/>
      <c r="C18" s="272"/>
      <c r="D18" s="273">
        <f>D17+D16</f>
        <v>124.76442191777727</v>
      </c>
      <c r="E18" s="274"/>
      <c r="F18" s="273">
        <f>F17+F16</f>
        <v>218.63887463472406</v>
      </c>
      <c r="G18" s="274"/>
      <c r="H18" s="273">
        <f>H17+H16</f>
        <v>157.92918806656837</v>
      </c>
      <c r="I18" s="274"/>
      <c r="J18" s="273">
        <f>J17+J16</f>
        <v>162.69354449094223</v>
      </c>
      <c r="K18" s="274"/>
      <c r="L18" s="273">
        <f>L17+L16</f>
        <v>125.97834287425592</v>
      </c>
      <c r="M18" s="274"/>
      <c r="N18" s="273">
        <f>N17+N16</f>
        <v>94.964980682837506</v>
      </c>
      <c r="O18" s="274"/>
      <c r="P18" s="273">
        <f>P17+P16</f>
        <v>93.838134934266279</v>
      </c>
      <c r="Q18" s="274"/>
      <c r="R18" s="273">
        <f>R17+R16</f>
        <v>156.63261598293684</v>
      </c>
      <c r="S18" s="274"/>
      <c r="T18" s="273">
        <f>T17+T16</f>
        <v>234.14766432003182</v>
      </c>
      <c r="U18" s="274"/>
      <c r="V18" s="273">
        <f>V17+V16</f>
        <v>171.83648178685758</v>
      </c>
      <c r="W18" s="274"/>
      <c r="X18" s="273">
        <f>X17+X16</f>
        <v>84.985910666206848</v>
      </c>
      <c r="Y18" s="274"/>
      <c r="AC18" s="134" t="str">
        <f>Reglages!CA18</f>
        <v>Fiorano</v>
      </c>
      <c r="AD18" s="135">
        <f>Reglages!CB18</f>
        <v>18.913043478260871</v>
      </c>
      <c r="AE18" s="135">
        <f>Reglages!CC18</f>
        <v>30.967391304347824</v>
      </c>
      <c r="AF18" s="135">
        <f>Reglages!CD18</f>
        <v>18.913043478260871</v>
      </c>
      <c r="AG18" s="135">
        <f>Reglages!CE18</f>
        <v>20.891304347826086</v>
      </c>
      <c r="AH18" s="135">
        <f>Reglages!CF18</f>
        <v>15.945652173913043</v>
      </c>
      <c r="AI18" s="135">
        <f>Reglages!CG18</f>
        <v>13.304347826086957</v>
      </c>
      <c r="AJ18" s="135">
        <f>Reglages!CH18</f>
        <v>16.163043478260871</v>
      </c>
      <c r="AK18" s="135">
        <f>Reglages!CI18</f>
        <v>24.641304347826086</v>
      </c>
      <c r="AL18" s="135">
        <f>Reglages!CJ18</f>
        <v>31.445652173913043</v>
      </c>
      <c r="AM18" s="135">
        <f>Reglages!CK18</f>
        <v>21.923913043478262</v>
      </c>
      <c r="AN18" s="135">
        <f>Reglages!CL18</f>
        <v>15.673913043478262</v>
      </c>
      <c r="AO18" s="134">
        <f>Reglages!CM18</f>
        <v>1.0107999999999999</v>
      </c>
      <c r="AP18" s="134" t="str">
        <f>Reglages!CN18</f>
        <v>tres haute</v>
      </c>
      <c r="AQ18" s="134">
        <f>Reglages!CO18</f>
        <v>92</v>
      </c>
    </row>
    <row r="19" spans="2:43">
      <c r="B19" s="275" t="s">
        <v>89</v>
      </c>
      <c r="C19" s="271">
        <f>VLOOKUP($B19,$AC$2:$AQ$71,15,FALSE)</f>
        <v>111</v>
      </c>
      <c r="D19" s="136">
        <f>VLOOKUP($B19,$AC$2:$AQ$68,2,FALSE)</f>
        <v>20.387387387387388</v>
      </c>
      <c r="E19" s="137">
        <f>IF(E17+D19&gt;99,D19,E17+D19)</f>
        <v>60.268515972031238</v>
      </c>
      <c r="F19" s="136">
        <f>VLOOKUP($B19,$AC$2:$AQ$68,3,FALSE)</f>
        <v>25.963963963963963</v>
      </c>
      <c r="G19" s="137">
        <f>IF(G17+F19&gt;99,F19,G17+F19)</f>
        <v>88.729227608737318</v>
      </c>
      <c r="H19" s="136">
        <f>VLOOKUP($B19,$AC$2:$AQ$68,4,FALSE)</f>
        <v>17.594594594594593</v>
      </c>
      <c r="I19" s="137">
        <f>IF(I17+H19&gt;99,H19,I17+H19)</f>
        <v>92.131836996208463</v>
      </c>
      <c r="J19" s="136">
        <f>VLOOKUP($B19,$AC$2:$AQ$68,5,FALSE)</f>
        <v>11.378378378378379</v>
      </c>
      <c r="K19" s="137">
        <f>IF(K17+J19&gt;99,J19,K17+J19)</f>
        <v>93.194830124307515</v>
      </c>
      <c r="L19" s="136">
        <f>VLOOKUP($B19,$AC$2:$AQ$68,6,FALSE)</f>
        <v>11.099099099099099</v>
      </c>
      <c r="M19" s="137">
        <f>IF(M17+L19&gt;99,L19,M17+L19)</f>
        <v>46.991559783650438</v>
      </c>
      <c r="N19" s="136">
        <f>VLOOKUP($B19,$AC$2:$AQ$68,7,FALSE)</f>
        <v>10.234234234234235</v>
      </c>
      <c r="O19" s="137">
        <f>IF(O17+N19&gt;99,N19,O17+N19)</f>
        <v>10.234234234234235</v>
      </c>
      <c r="P19" s="136">
        <f>VLOOKUP($B19,$AC$2:$AQ$68,8,FALSE)</f>
        <v>16.603603603603602</v>
      </c>
      <c r="Q19" s="137">
        <f>IF(Q17+P19&gt;99,P19,Q17+P19)</f>
        <v>16.603603603603602</v>
      </c>
      <c r="R19" s="136">
        <f>VLOOKUP($B19,$AC$2:$AQ$68,9,FALSE)</f>
        <v>26.882882882882882</v>
      </c>
      <c r="S19" s="137">
        <f>IF(S17+R19&gt;99,R19,S17+R19)</f>
        <v>92.615702226863803</v>
      </c>
      <c r="T19" s="136">
        <f>VLOOKUP($B19,$AC$2:$AQ$68,10,FALSE)</f>
        <v>28.846846846846848</v>
      </c>
      <c r="U19" s="137">
        <f>IF(U17+T19&gt;99,T19,U17+T19)</f>
        <v>28.846846846846848</v>
      </c>
      <c r="V19" s="136">
        <f>VLOOKUP($B19,$AC$2:$AQ$68,11,FALSE)</f>
        <v>23.018018018018019</v>
      </c>
      <c r="W19" s="137">
        <f>IF(W17+V19&gt;99,V19,W17+V19)</f>
        <v>23.018018018018019</v>
      </c>
      <c r="X19" s="136">
        <f>VLOOKUP($B19,$AC$2:$AQ$68,12,FALSE)</f>
        <v>5.8378378378378377</v>
      </c>
      <c r="Y19" s="137">
        <f>IF(Y17+X19&gt;99,X19,Y17+X19)</f>
        <v>90.823748504044687</v>
      </c>
      <c r="AC19" s="134" t="str">
        <f>Reglages!CA19</f>
        <v>Fuji</v>
      </c>
      <c r="AD19" s="135">
        <f>Reglages!CB19</f>
        <v>21.525581395348837</v>
      </c>
      <c r="AE19" s="135">
        <f>Reglages!CC19</f>
        <v>25.223255813953489</v>
      </c>
      <c r="AF19" s="135">
        <f>Reglages!CD19</f>
        <v>13.502325581395349</v>
      </c>
      <c r="AG19" s="135">
        <f>Reglages!CE19</f>
        <v>15.716279069767442</v>
      </c>
      <c r="AH19" s="135">
        <f>Reglages!CF19</f>
        <v>16.027906976744188</v>
      </c>
      <c r="AI19" s="135">
        <f>Reglages!CG19</f>
        <v>15.632558139534884</v>
      </c>
      <c r="AJ19" s="135">
        <f>Reglages!CH19</f>
        <v>21.386046511627907</v>
      </c>
      <c r="AK19" s="135">
        <f>Reglages!CI19</f>
        <v>18.52093023255814</v>
      </c>
      <c r="AL19" s="135">
        <f>Reglages!CJ19</f>
        <v>34.632558139534886</v>
      </c>
      <c r="AM19" s="135">
        <f>Reglages!CK19</f>
        <v>14.795348837209302</v>
      </c>
      <c r="AN19" s="135">
        <f>Reglages!CL19</f>
        <v>13.827906976744186</v>
      </c>
      <c r="AO19" s="134">
        <f>Reglages!CM19</f>
        <v>1.1827000000000001</v>
      </c>
      <c r="AP19" s="134" t="str">
        <f>Reglages!CN19</f>
        <v>moyen</v>
      </c>
      <c r="AQ19" s="134">
        <f>Reglages!CO19</f>
        <v>215</v>
      </c>
    </row>
    <row r="20" spans="2:43" ht="13.5" thickBot="1">
      <c r="B20" s="276"/>
      <c r="C20" s="272"/>
      <c r="D20" s="273">
        <f>D19+D18</f>
        <v>145.15180930516465</v>
      </c>
      <c r="E20" s="274"/>
      <c r="F20" s="273">
        <f>F19+F18</f>
        <v>244.60283859868804</v>
      </c>
      <c r="G20" s="274"/>
      <c r="H20" s="273">
        <f>H19+H18</f>
        <v>175.52378266116295</v>
      </c>
      <c r="I20" s="274"/>
      <c r="J20" s="273">
        <f>J19+J18</f>
        <v>174.07192286932062</v>
      </c>
      <c r="K20" s="274"/>
      <c r="L20" s="273">
        <f>L19+L18</f>
        <v>137.07744197335501</v>
      </c>
      <c r="M20" s="274"/>
      <c r="N20" s="273">
        <f>N19+N18</f>
        <v>105.19921491707174</v>
      </c>
      <c r="O20" s="274"/>
      <c r="P20" s="273">
        <f>P19+P18</f>
        <v>110.44173853786988</v>
      </c>
      <c r="Q20" s="274"/>
      <c r="R20" s="273">
        <f>R19+R18</f>
        <v>183.51549886581972</v>
      </c>
      <c r="S20" s="274"/>
      <c r="T20" s="273">
        <f>T19+T18</f>
        <v>262.99451116687868</v>
      </c>
      <c r="U20" s="274"/>
      <c r="V20" s="273">
        <f>V19+V18</f>
        <v>194.85449980487559</v>
      </c>
      <c r="W20" s="274"/>
      <c r="X20" s="273">
        <f>X19+X18</f>
        <v>90.823748504044687</v>
      </c>
      <c r="Y20" s="274"/>
      <c r="AC20" s="134" t="str">
        <f>Reglages!CA20</f>
        <v>Grobnik</v>
      </c>
      <c r="AD20" s="135">
        <f>Reglages!CB20</f>
        <v>20.399999999999999</v>
      </c>
      <c r="AE20" s="135">
        <f>Reglages!CC20</f>
        <v>20.329411764705881</v>
      </c>
      <c r="AF20" s="135">
        <f>Reglages!CD20</f>
        <v>14.458823529411765</v>
      </c>
      <c r="AG20" s="135">
        <f>Reglages!CE20</f>
        <v>13.529411764705882</v>
      </c>
      <c r="AH20" s="135">
        <f>Reglages!CF20</f>
        <v>15.329411764705883</v>
      </c>
      <c r="AI20" s="135">
        <f>Reglages!CG20</f>
        <v>19.105882352941176</v>
      </c>
      <c r="AJ20" s="135">
        <f>Reglages!CH20</f>
        <v>17.435294117647057</v>
      </c>
      <c r="AK20" s="135">
        <f>Reglages!CI20</f>
        <v>23.094117647058823</v>
      </c>
      <c r="AL20" s="135">
        <f>Reglages!CJ20</f>
        <v>13.823529411764707</v>
      </c>
      <c r="AM20" s="135">
        <f>Reglages!CK20</f>
        <v>26.576470588235296</v>
      </c>
      <c r="AN20" s="135">
        <f>Reglages!CL20</f>
        <v>12.176470588235293</v>
      </c>
      <c r="AO20" s="134">
        <f>Reglages!CM20</f>
        <v>1.2</v>
      </c>
      <c r="AP20" s="134" t="str">
        <f>Reglages!CN20</f>
        <v>basse</v>
      </c>
      <c r="AQ20" s="134">
        <f>Reglages!CO20</f>
        <v>85</v>
      </c>
    </row>
    <row r="21" spans="2:43">
      <c r="B21" s="275" t="s">
        <v>38</v>
      </c>
      <c r="C21" s="271">
        <f>VLOOKUP($B21,$AC$2:$AQ$71,15,FALSE)</f>
        <v>127</v>
      </c>
      <c r="D21" s="136">
        <f>VLOOKUP($B21,$AC$2:$AQ$68,2,FALSE)</f>
        <v>20.133858267716537</v>
      </c>
      <c r="E21" s="137">
        <f>IF(E19+D21&gt;99,D21,E19+D21)</f>
        <v>80.402374239747772</v>
      </c>
      <c r="F21" s="136">
        <f>VLOOKUP($B21,$AC$2:$AQ$68,3,FALSE)</f>
        <v>34.897637795275593</v>
      </c>
      <c r="G21" s="137">
        <f>IF(G19+F21&gt;99,F21,G19+F21)</f>
        <v>34.897637795275593</v>
      </c>
      <c r="H21" s="136">
        <f>VLOOKUP($B21,$AC$2:$AQ$68,4,FALSE)</f>
        <v>15.559055118110237</v>
      </c>
      <c r="I21" s="137">
        <f>IF(I19+H21&gt;99,H21,I19+H21)</f>
        <v>15.559055118110237</v>
      </c>
      <c r="J21" s="136">
        <f>VLOOKUP($B21,$AC$2:$AQ$68,5,FALSE)</f>
        <v>19.30708661417323</v>
      </c>
      <c r="K21" s="137">
        <f>IF(K19+J21&gt;99,J21,K19+J21)</f>
        <v>19.30708661417323</v>
      </c>
      <c r="L21" s="136">
        <f>VLOOKUP($B21,$AC$2:$AQ$68,6,FALSE)</f>
        <v>14.086614173228346</v>
      </c>
      <c r="M21" s="137">
        <f>IF(M19+L21&gt;99,L21,M19+L21)</f>
        <v>61.078173956878786</v>
      </c>
      <c r="N21" s="136">
        <f>VLOOKUP($B21,$AC$2:$AQ$68,7,FALSE)</f>
        <v>12.259842519685039</v>
      </c>
      <c r="O21" s="137">
        <f>IF(O19+N21&gt;99,N21,O19+N21)</f>
        <v>22.494076753919273</v>
      </c>
      <c r="P21" s="136">
        <f>VLOOKUP($B21,$AC$2:$AQ$68,8,FALSE)</f>
        <v>17.055118110236222</v>
      </c>
      <c r="Q21" s="137">
        <f>IF(Q19+P21&gt;99,P21,Q19+P21)</f>
        <v>33.658721713839824</v>
      </c>
      <c r="R21" s="136">
        <f>VLOOKUP($B21,$AC$2:$AQ$68,9,FALSE)</f>
        <v>35.110236220472444</v>
      </c>
      <c r="S21" s="137">
        <f>IF(S19+R21&gt;99,R21,S19+R21)</f>
        <v>35.110236220472444</v>
      </c>
      <c r="T21" s="136">
        <f>VLOOKUP($B21,$AC$2:$AQ$68,10,FALSE)</f>
        <v>45.228346456692911</v>
      </c>
      <c r="U21" s="137">
        <f>IF(U19+T21&gt;99,T21,U19+T21)</f>
        <v>74.075193303539763</v>
      </c>
      <c r="V21" s="136">
        <f>VLOOKUP($B21,$AC$2:$AQ$68,11,FALSE)</f>
        <v>32.874015748031496</v>
      </c>
      <c r="W21" s="137">
        <f>IF(W19+V21&gt;99,V21,W19+V21)</f>
        <v>55.892033766049515</v>
      </c>
      <c r="X21" s="136">
        <f>VLOOKUP($B21,$AC$2:$AQ$68,12,FALSE)</f>
        <v>13.598425196850394</v>
      </c>
      <c r="Y21" s="137">
        <f>IF(Y19+X21&gt;99,X21,Y19+X21)</f>
        <v>13.598425196850394</v>
      </c>
      <c r="AC21" s="134" t="str">
        <f>Reglages!CA21</f>
        <v>Hockenheim</v>
      </c>
      <c r="AD21" s="135">
        <f>Reglages!CB21</f>
        <v>20.416666666666668</v>
      </c>
      <c r="AE21" s="135">
        <f>Reglages!CC21</f>
        <v>41.53125</v>
      </c>
      <c r="AF21" s="135">
        <f>Reglages!CD21</f>
        <v>14.166666666666666</v>
      </c>
      <c r="AG21" s="135">
        <f>Reglages!CE21</f>
        <v>15.427083333333334</v>
      </c>
      <c r="AH21" s="135">
        <f>Reglages!CF21</f>
        <v>15.958333333333334</v>
      </c>
      <c r="AI21" s="135">
        <f>Reglages!CG21</f>
        <v>13.5</v>
      </c>
      <c r="AJ21" s="135">
        <f>Reglages!CH21</f>
        <v>14.083333333333334</v>
      </c>
      <c r="AK21" s="135">
        <f>Reglages!CI21</f>
        <v>24.770833333333332</v>
      </c>
      <c r="AL21" s="135">
        <f>Reglages!CJ21</f>
        <v>33.385416666666664</v>
      </c>
      <c r="AM21" s="135">
        <f>Reglages!CK21</f>
        <v>17.635416666666668</v>
      </c>
      <c r="AN21" s="135">
        <f>Reglages!CL21</f>
        <v>12.447916666666666</v>
      </c>
      <c r="AO21" s="134">
        <f>Reglages!CM21</f>
        <v>1.1200000000000001</v>
      </c>
      <c r="AP21" s="134" t="str">
        <f>Reglages!CN21</f>
        <v>haute</v>
      </c>
      <c r="AQ21" s="134">
        <f>Reglages!CO21</f>
        <v>96</v>
      </c>
    </row>
    <row r="22" spans="2:43" ht="13.5" thickBot="1">
      <c r="B22" s="276"/>
      <c r="C22" s="272"/>
      <c r="D22" s="273">
        <f>D21+D20</f>
        <v>165.28566757288118</v>
      </c>
      <c r="E22" s="274"/>
      <c r="F22" s="273">
        <f>F21+F20</f>
        <v>279.50047639396365</v>
      </c>
      <c r="G22" s="274"/>
      <c r="H22" s="273">
        <f>H21+H20</f>
        <v>191.08283777927318</v>
      </c>
      <c r="I22" s="274"/>
      <c r="J22" s="273">
        <f>J21+J20</f>
        <v>193.37900948349386</v>
      </c>
      <c r="K22" s="274"/>
      <c r="L22" s="273">
        <f>L21+L20</f>
        <v>151.16405614658336</v>
      </c>
      <c r="M22" s="274"/>
      <c r="N22" s="273">
        <f>N21+N20</f>
        <v>117.45905743675678</v>
      </c>
      <c r="O22" s="274"/>
      <c r="P22" s="273">
        <f>P21+P20</f>
        <v>127.4968566481061</v>
      </c>
      <c r="Q22" s="274"/>
      <c r="R22" s="273">
        <f>R21+R20</f>
        <v>218.62573508629217</v>
      </c>
      <c r="S22" s="274"/>
      <c r="T22" s="273">
        <f>T21+T20</f>
        <v>308.2228576235716</v>
      </c>
      <c r="U22" s="274"/>
      <c r="V22" s="273">
        <f>V21+V20</f>
        <v>227.72851555290708</v>
      </c>
      <c r="W22" s="274"/>
      <c r="X22" s="273">
        <f>X21+X20</f>
        <v>104.42217370089509</v>
      </c>
      <c r="Y22" s="274"/>
      <c r="AC22" s="134" t="str">
        <f>Reglages!CA22</f>
        <v>Hungaroring</v>
      </c>
      <c r="AD22" s="135">
        <f>Reglages!CB22</f>
        <v>17.861538461538462</v>
      </c>
      <c r="AE22" s="135">
        <f>Reglages!CC22</f>
        <v>24.7</v>
      </c>
      <c r="AF22" s="135">
        <f>Reglages!CD22</f>
        <v>50.4</v>
      </c>
      <c r="AG22" s="135">
        <f>Reglages!CE22</f>
        <v>46.4</v>
      </c>
      <c r="AH22" s="135">
        <f>Reglages!CF22</f>
        <v>25.130769230769232</v>
      </c>
      <c r="AI22" s="135">
        <f>Reglages!CG22</f>
        <v>13.5</v>
      </c>
      <c r="AJ22" s="135">
        <f>Reglages!CH22</f>
        <v>11.438461538461539</v>
      </c>
      <c r="AK22" s="135">
        <f>Reglages!CI22</f>
        <v>33.292307692307695</v>
      </c>
      <c r="AL22" s="135">
        <f>Reglages!CJ22</f>
        <v>22.392307692307693</v>
      </c>
      <c r="AM22" s="135">
        <f>Reglages!CK22</f>
        <v>35.930769230769229</v>
      </c>
      <c r="AN22" s="135">
        <f>Reglages!CL22</f>
        <v>9.4923076923076923</v>
      </c>
      <c r="AO22" s="134">
        <f>Reglages!CM22</f>
        <v>1.35</v>
      </c>
      <c r="AP22" s="134" t="str">
        <f>Reglages!CN22</f>
        <v>tres basse</v>
      </c>
      <c r="AQ22" s="134">
        <f>Reglages!CO22</f>
        <v>130</v>
      </c>
    </row>
    <row r="23" spans="2:43">
      <c r="B23" s="275" t="s">
        <v>39</v>
      </c>
      <c r="C23" s="271">
        <f>VLOOKUP($B23,$AC$2:$AQ$71,15,FALSE)</f>
        <v>162</v>
      </c>
      <c r="D23" s="136">
        <f>VLOOKUP($B23,$AC$2:$AQ$68,2,FALSE)</f>
        <v>25.518518518518519</v>
      </c>
      <c r="E23" s="137">
        <f>IF(E21+D23&gt;99,D23,E21+D23)</f>
        <v>25.518518518518519</v>
      </c>
      <c r="F23" s="136">
        <f>VLOOKUP($B23,$AC$2:$AQ$68,3,FALSE)</f>
        <v>13.796296296296296</v>
      </c>
      <c r="G23" s="137">
        <f>IF(G21+F23&gt;99,F23,G21+F23)</f>
        <v>48.69393409157189</v>
      </c>
      <c r="H23" s="136">
        <f>VLOOKUP($B23,$AC$2:$AQ$68,4,FALSE)</f>
        <v>27.061728395061728</v>
      </c>
      <c r="I23" s="137">
        <f>IF(I21+H23&gt;99,H23,I21+H23)</f>
        <v>42.620783513171965</v>
      </c>
      <c r="J23" s="136">
        <f>VLOOKUP($B23,$AC$2:$AQ$68,5,FALSE)</f>
        <v>31.283950617283949</v>
      </c>
      <c r="K23" s="137">
        <f>IF(K21+J23&gt;99,J23,K21+J23)</f>
        <v>50.591037231457179</v>
      </c>
      <c r="L23" s="136">
        <f>VLOOKUP($B23,$AC$2:$AQ$68,6,FALSE)</f>
        <v>29.179012345679013</v>
      </c>
      <c r="M23" s="137">
        <f>IF(M21+L23&gt;99,L23,M21+L23)</f>
        <v>90.257186302557798</v>
      </c>
      <c r="N23" s="136">
        <f>VLOOKUP($B23,$AC$2:$AQ$68,7,FALSE)</f>
        <v>17.864197530864196</v>
      </c>
      <c r="O23" s="137">
        <f>IF(O21+N23&gt;99,N23,O21+N23)</f>
        <v>40.358274284783469</v>
      </c>
      <c r="P23" s="136">
        <f>VLOOKUP($B23,$AC$2:$AQ$68,8,FALSE)</f>
        <v>21.080246913580247</v>
      </c>
      <c r="Q23" s="137">
        <f>IF(Q21+P23&gt;99,P23,Q21+P23)</f>
        <v>54.738968627420071</v>
      </c>
      <c r="R23" s="136">
        <f>VLOOKUP($B23,$AC$2:$AQ$68,9,FALSE)</f>
        <v>19.901234567901234</v>
      </c>
      <c r="S23" s="137">
        <f>IF(S21+R23&gt;99,R23,S21+R23)</f>
        <v>55.011470788373678</v>
      </c>
      <c r="T23" s="136">
        <f>VLOOKUP($B23,$AC$2:$AQ$68,10,FALSE)</f>
        <v>16.234567901234566</v>
      </c>
      <c r="U23" s="137">
        <f>IF(U21+T23&gt;99,T23,U21+T23)</f>
        <v>90.309761204774333</v>
      </c>
      <c r="V23" s="136">
        <f>VLOOKUP($B23,$AC$2:$AQ$68,11,FALSE)</f>
        <v>10.641975308641975</v>
      </c>
      <c r="W23" s="137">
        <f>IF(W21+V23&gt;99,V23,W21+V23)</f>
        <v>66.534009074691483</v>
      </c>
      <c r="X23" s="136">
        <f>VLOOKUP($B23,$AC$2:$AQ$68,12,FALSE)</f>
        <v>15.228395061728396</v>
      </c>
      <c r="Y23" s="137">
        <f>IF(Y21+X23&gt;99,X23,Y21+X23)</f>
        <v>28.826820258578792</v>
      </c>
      <c r="AC23" s="134" t="str">
        <f>Reglages!CA23</f>
        <v>Imola</v>
      </c>
      <c r="AD23" s="135">
        <f>Reglages!CB23</f>
        <v>15.376923076923077</v>
      </c>
      <c r="AE23" s="135">
        <f>Reglages!CC23</f>
        <v>27.9</v>
      </c>
      <c r="AF23" s="135">
        <f>Reglages!CD23</f>
        <v>25.992307692307691</v>
      </c>
      <c r="AG23" s="135">
        <f>Reglages!CE23</f>
        <v>28.023076923076925</v>
      </c>
      <c r="AH23" s="135">
        <f>Reglages!CF23</f>
        <v>22</v>
      </c>
      <c r="AI23" s="135">
        <f>Reglages!CG23</f>
        <v>11.876923076923077</v>
      </c>
      <c r="AJ23" s="135">
        <f>Reglages!CH23</f>
        <v>13.969230769230769</v>
      </c>
      <c r="AK23" s="135">
        <f>Reglages!CI23</f>
        <v>25.7</v>
      </c>
      <c r="AL23" s="135">
        <f>Reglages!CJ23</f>
        <v>31.223076923076924</v>
      </c>
      <c r="AM23" s="135">
        <f>Reglages!CK23</f>
        <v>25.530769230769231</v>
      </c>
      <c r="AN23" s="135">
        <f>Reglages!CL23</f>
        <v>13.23076923076923</v>
      </c>
      <c r="AO23" s="134">
        <f>Reglages!CM23</f>
        <v>1.1499999999999999</v>
      </c>
      <c r="AP23" s="134" t="str">
        <f>Reglages!CN23</f>
        <v>moyen</v>
      </c>
      <c r="AQ23" s="134">
        <f>Reglages!CO23</f>
        <v>130</v>
      </c>
    </row>
    <row r="24" spans="2:43" ht="13.5" thickBot="1">
      <c r="B24" s="276"/>
      <c r="C24" s="272"/>
      <c r="D24" s="273">
        <f>D23+D22</f>
        <v>190.80418609139969</v>
      </c>
      <c r="E24" s="274"/>
      <c r="F24" s="273">
        <f>F23+F22</f>
        <v>293.29677269025996</v>
      </c>
      <c r="G24" s="274"/>
      <c r="H24" s="273">
        <f>H23+H22</f>
        <v>218.1445661743349</v>
      </c>
      <c r="I24" s="274"/>
      <c r="J24" s="273">
        <f>J23+J22</f>
        <v>224.66296010077781</v>
      </c>
      <c r="K24" s="274"/>
      <c r="L24" s="273">
        <f>L23+L22</f>
        <v>180.34306849226238</v>
      </c>
      <c r="M24" s="274"/>
      <c r="N24" s="273">
        <f>N23+N22</f>
        <v>135.32325496762098</v>
      </c>
      <c r="O24" s="274"/>
      <c r="P24" s="273">
        <f>P23+P22</f>
        <v>148.57710356168636</v>
      </c>
      <c r="Q24" s="274"/>
      <c r="R24" s="273">
        <f>R23+R22</f>
        <v>238.52696965419341</v>
      </c>
      <c r="S24" s="274"/>
      <c r="T24" s="273">
        <f>T23+T22</f>
        <v>324.45742552480618</v>
      </c>
      <c r="U24" s="274"/>
      <c r="V24" s="273">
        <f>V23+V22</f>
        <v>238.37049086154906</v>
      </c>
      <c r="W24" s="274"/>
      <c r="X24" s="273">
        <f>X23+X22</f>
        <v>119.65056876262348</v>
      </c>
      <c r="Y24" s="274"/>
      <c r="AC24" s="134" t="str">
        <f>Reglages!CA24</f>
        <v>Indianapolis</v>
      </c>
      <c r="AD24" s="135">
        <f>Reglages!CB24</f>
        <v>30.660194174757283</v>
      </c>
      <c r="AE24" s="135">
        <f>Reglages!CC24</f>
        <v>40.067961165048544</v>
      </c>
      <c r="AF24" s="135">
        <f>Reglages!CD24</f>
        <v>18.417475728155338</v>
      </c>
      <c r="AG24" s="135">
        <f>Reglages!CE24</f>
        <v>22.708737864077669</v>
      </c>
      <c r="AH24" s="135">
        <f>Reglages!CF24</f>
        <v>27.21359223300971</v>
      </c>
      <c r="AI24" s="135">
        <f>Reglages!CG24</f>
        <v>24.970873786407768</v>
      </c>
      <c r="AJ24" s="135">
        <f>Reglages!CH24</f>
        <v>12.262135922330097</v>
      </c>
      <c r="AK24" s="135">
        <f>Reglages!CI24</f>
        <v>31.067961165048544</v>
      </c>
      <c r="AL24" s="135">
        <f>Reglages!CJ24</f>
        <v>35.572815533980581</v>
      </c>
      <c r="AM24" s="135">
        <f>Reglages!CK24</f>
        <v>34.349514563106794</v>
      </c>
      <c r="AN24" s="135">
        <f>Reglages!CL24</f>
        <v>10.640776699029127</v>
      </c>
      <c r="AO24" s="134">
        <f>Reglages!CM24</f>
        <v>1.0958000000000001</v>
      </c>
      <c r="AP24" s="134" t="str">
        <f>Reglages!CN24</f>
        <v>haute</v>
      </c>
      <c r="AQ24" s="134">
        <f>Reglages!CO24</f>
        <v>103</v>
      </c>
    </row>
    <row r="25" spans="2:43">
      <c r="B25" s="275" t="s">
        <v>59</v>
      </c>
      <c r="C25" s="271">
        <f>VLOOKUP($B25,$AC$2:$AQ$71,15,FALSE)</f>
        <v>184</v>
      </c>
      <c r="D25" s="136">
        <f>VLOOKUP($B25,$AC$2:$AQ$68,2,FALSE)</f>
        <v>17.766304347826086</v>
      </c>
      <c r="E25" s="137">
        <f>IF(E23+D25&gt;99,D25,E23+D25)</f>
        <v>43.284822866344605</v>
      </c>
      <c r="F25" s="136">
        <f>VLOOKUP($B25,$AC$2:$AQ$68,3,FALSE)</f>
        <v>29.271739130434781</v>
      </c>
      <c r="G25" s="137">
        <f>IF(G23+F25&gt;99,F25,G23+F25)</f>
        <v>77.965673222006671</v>
      </c>
      <c r="H25" s="136">
        <f>VLOOKUP($B25,$AC$2:$AQ$68,4,FALSE)</f>
        <v>24.510869565217391</v>
      </c>
      <c r="I25" s="137">
        <f>IF(I23+H25&gt;99,H25,I23+H25)</f>
        <v>67.131653078389348</v>
      </c>
      <c r="J25" s="136">
        <f>VLOOKUP($B25,$AC$2:$AQ$68,5,FALSE)</f>
        <v>21.233695652173914</v>
      </c>
      <c r="K25" s="137">
        <f>IF(K23+J25&gt;99,J25,K23+J25)</f>
        <v>71.8247328836311</v>
      </c>
      <c r="L25" s="136">
        <f>VLOOKUP($B25,$AC$2:$AQ$68,6,FALSE)</f>
        <v>16.114130434782609</v>
      </c>
      <c r="M25" s="137">
        <f>IF(M23+L25&gt;99,L25,M23+L25)</f>
        <v>16.114130434782609</v>
      </c>
      <c r="N25" s="136">
        <f>VLOOKUP($B25,$AC$2:$AQ$68,7,FALSE)</f>
        <v>10.706521739130435</v>
      </c>
      <c r="O25" s="137">
        <f>IF(O23+N25&gt;99,N25,O23+N25)</f>
        <v>51.064796023913907</v>
      </c>
      <c r="P25" s="136">
        <f>VLOOKUP($B25,$AC$2:$AQ$68,8,FALSE)</f>
        <v>13.760869565217391</v>
      </c>
      <c r="Q25" s="137">
        <f>IF(Q23+P25&gt;99,P25,Q23+P25)</f>
        <v>68.499838192637469</v>
      </c>
      <c r="R25" s="136">
        <f>VLOOKUP($B25,$AC$2:$AQ$68,9,FALSE)</f>
        <v>21.646739130434781</v>
      </c>
      <c r="S25" s="137">
        <f>IF(S23+R25&gt;99,R25,S23+R25)</f>
        <v>76.658209918808467</v>
      </c>
      <c r="T25" s="136">
        <f>VLOOKUP($B25,$AC$2:$AQ$68,10,FALSE)</f>
        <v>29.358695652173914</v>
      </c>
      <c r="U25" s="137">
        <f>IF(U23+T25&gt;99,T25,U23+T25)</f>
        <v>29.358695652173914</v>
      </c>
      <c r="V25" s="136">
        <f>VLOOKUP($B25,$AC$2:$AQ$68,11,FALSE)</f>
        <v>26.663043478260871</v>
      </c>
      <c r="W25" s="137">
        <f>IF(W23+V25&gt;99,V25,W23+V25)</f>
        <v>93.197052552952357</v>
      </c>
      <c r="X25" s="136">
        <f>VLOOKUP($B25,$AC$2:$AQ$68,12,FALSE)</f>
        <v>8.75</v>
      </c>
      <c r="Y25" s="137">
        <f>IF(Y23+X25&gt;99,X25,Y23+X25)</f>
        <v>37.576820258578792</v>
      </c>
      <c r="AC25" s="134" t="str">
        <f>Reglages!CA25</f>
        <v>Indianapolis Oval</v>
      </c>
      <c r="AD25" s="135">
        <f>Reglages!CB25</f>
        <v>19.627450980392158</v>
      </c>
      <c r="AE25" s="135">
        <f>Reglages!CC25</f>
        <v>60.568627450980394</v>
      </c>
      <c r="AF25" s="135">
        <f>Reglages!CD25</f>
        <v>12.03921568627451</v>
      </c>
      <c r="AG25" s="135">
        <f>Reglages!CE25</f>
        <v>14</v>
      </c>
      <c r="AH25" s="135">
        <f>Reglages!CF25</f>
        <v>22.921568627450981</v>
      </c>
      <c r="AI25" s="135">
        <f>Reglages!CG25</f>
        <v>16.137254901960784</v>
      </c>
      <c r="AJ25" s="135">
        <f>Reglages!CH25</f>
        <v>18.549019607843139</v>
      </c>
      <c r="AK25" s="135">
        <f>Reglages!CI25</f>
        <v>11.549019607843137</v>
      </c>
      <c r="AL25" s="135">
        <f>Reglages!CJ25</f>
        <v>7.9803921568627452</v>
      </c>
      <c r="AM25" s="135">
        <f>Reglages!CK25</f>
        <v>20.235294117647058</v>
      </c>
      <c r="AN25" s="135">
        <f>Reglages!CL25</f>
        <v>13.627450980392156</v>
      </c>
      <c r="AO25" s="134">
        <f>Reglages!CM25</f>
        <v>1.05</v>
      </c>
      <c r="AP25" s="134" t="str">
        <f>Reglages!CN25</f>
        <v>tres haute</v>
      </c>
      <c r="AQ25" s="134">
        <f>Reglages!CO25</f>
        <v>51</v>
      </c>
    </row>
    <row r="26" spans="2:43" ht="13.5" thickBot="1">
      <c r="B26" s="276"/>
      <c r="C26" s="272"/>
      <c r="D26" s="273">
        <f>D25+D24</f>
        <v>208.57049043922578</v>
      </c>
      <c r="E26" s="274"/>
      <c r="F26" s="273">
        <f>F25+F24</f>
        <v>322.56851182069477</v>
      </c>
      <c r="G26" s="274"/>
      <c r="H26" s="273">
        <f>H25+H24</f>
        <v>242.65543573955227</v>
      </c>
      <c r="I26" s="274"/>
      <c r="J26" s="273">
        <f>J25+J24</f>
        <v>245.89665575295172</v>
      </c>
      <c r="K26" s="274"/>
      <c r="L26" s="273">
        <f>L25+L24</f>
        <v>196.457198927045</v>
      </c>
      <c r="M26" s="274"/>
      <c r="N26" s="273">
        <f>N25+N24</f>
        <v>146.02977670675142</v>
      </c>
      <c r="O26" s="274"/>
      <c r="P26" s="273">
        <f>P25+P24</f>
        <v>162.33797312690376</v>
      </c>
      <c r="Q26" s="274"/>
      <c r="R26" s="273">
        <f>R25+R24</f>
        <v>260.17370878462816</v>
      </c>
      <c r="S26" s="274"/>
      <c r="T26" s="273">
        <f>T25+T24</f>
        <v>353.81612117698012</v>
      </c>
      <c r="U26" s="274"/>
      <c r="V26" s="273">
        <f>V25+V24</f>
        <v>265.03353433980993</v>
      </c>
      <c r="W26" s="274"/>
      <c r="X26" s="273">
        <f>X25+X24</f>
        <v>128.40056876262349</v>
      </c>
      <c r="Y26" s="274"/>
      <c r="AC26" s="134" t="str">
        <f>Reglages!CA26</f>
        <v>Interlagos</v>
      </c>
      <c r="AD26" s="135">
        <f>Reglages!CB26</f>
        <v>26.745283018867923</v>
      </c>
      <c r="AE26" s="135">
        <f>Reglages!CC26</f>
        <v>36.009433962264154</v>
      </c>
      <c r="AF26" s="135">
        <f>Reglages!CD26</f>
        <v>21.29245283018868</v>
      </c>
      <c r="AG26" s="135">
        <f>Reglages!CE26</f>
        <v>16.018867924528301</v>
      </c>
      <c r="AH26" s="135">
        <f>Reglages!CF26</f>
        <v>30.924528301886792</v>
      </c>
      <c r="AI26" s="135">
        <f>Reglages!CG26</f>
        <v>15.69811320754717</v>
      </c>
      <c r="AJ26" s="135">
        <f>Reglages!CH26</f>
        <v>14.754716981132075</v>
      </c>
      <c r="AK26" s="135">
        <f>Reglages!CI26</f>
        <v>21.735849056603772</v>
      </c>
      <c r="AL26" s="135">
        <f>Reglages!CJ26</f>
        <v>36.962264150943398</v>
      </c>
      <c r="AM26" s="135">
        <f>Reglages!CK26</f>
        <v>27.556603773584907</v>
      </c>
      <c r="AN26" s="135">
        <f>Reglages!CL26</f>
        <v>13.971698113207546</v>
      </c>
      <c r="AO26" s="134">
        <f>Reglages!CM26</f>
        <v>1.18</v>
      </c>
      <c r="AP26" s="134" t="str">
        <f>Reglages!CN26</f>
        <v>moyen</v>
      </c>
      <c r="AQ26" s="134">
        <f>Reglages!CO26</f>
        <v>106</v>
      </c>
    </row>
    <row r="27" spans="2:43">
      <c r="B27" s="275" t="s">
        <v>64</v>
      </c>
      <c r="C27" s="271">
        <f>VLOOKUP($B27,$AC$2:$AQ$71,15,FALSE)</f>
        <v>175</v>
      </c>
      <c r="D27" s="136">
        <f>VLOOKUP($B27,$AC$2:$AQ$68,2,FALSE)</f>
        <v>11.537142857142857</v>
      </c>
      <c r="E27" s="137">
        <f>IF(E25+D27&gt;99,D27,E25+D27)</f>
        <v>54.821965723487466</v>
      </c>
      <c r="F27" s="136">
        <f>VLOOKUP($B27,$AC$2:$AQ$68,3,FALSE)</f>
        <v>21.92</v>
      </c>
      <c r="G27" s="137">
        <f>IF(G25+F27&gt;99,F27,G25+F27)</f>
        <v>21.92</v>
      </c>
      <c r="H27" s="136">
        <f>VLOOKUP($B27,$AC$2:$AQ$68,4,FALSE)</f>
        <v>14.445714285714285</v>
      </c>
      <c r="I27" s="137">
        <f>IF(I25+H27&gt;99,H27,I25+H27)</f>
        <v>81.577367364103637</v>
      </c>
      <c r="J27" s="136">
        <f>VLOOKUP($B27,$AC$2:$AQ$68,5,FALSE)</f>
        <v>18.857142857142858</v>
      </c>
      <c r="K27" s="137">
        <f>IF(K25+J27&gt;99,J27,K25+J27)</f>
        <v>90.681875740773961</v>
      </c>
      <c r="L27" s="136">
        <f>VLOOKUP($B27,$AC$2:$AQ$68,6,FALSE)</f>
        <v>15.497142857142856</v>
      </c>
      <c r="M27" s="137">
        <f>IF(M25+L27&gt;99,L27,M25+L27)</f>
        <v>31.611273291925464</v>
      </c>
      <c r="N27" s="136">
        <f>VLOOKUP($B27,$AC$2:$AQ$68,7,FALSE)</f>
        <v>10.154285714285715</v>
      </c>
      <c r="O27" s="137">
        <f>IF(O25+N27&gt;99,N27,O25+N27)</f>
        <v>61.21908173819962</v>
      </c>
      <c r="P27" s="136">
        <f>VLOOKUP($B27,$AC$2:$AQ$68,8,FALSE)</f>
        <v>9.5428571428571427</v>
      </c>
      <c r="Q27" s="137">
        <f>IF(Q25+P27&gt;99,P27,Q25+P27)</f>
        <v>78.042695335494614</v>
      </c>
      <c r="R27" s="136">
        <f>VLOOKUP($B27,$AC$2:$AQ$68,9,FALSE)</f>
        <v>24.194285714285716</v>
      </c>
      <c r="S27" s="137">
        <f>IF(S25+R27&gt;99,R27,S25+R27)</f>
        <v>24.194285714285716</v>
      </c>
      <c r="T27" s="136">
        <f>VLOOKUP($B27,$AC$2:$AQ$68,10,FALSE)</f>
        <v>18.685714285714287</v>
      </c>
      <c r="U27" s="137">
        <f>IF(U25+T27&gt;99,T27,U25+T27)</f>
        <v>48.044409937888204</v>
      </c>
      <c r="V27" s="136">
        <f>VLOOKUP($B27,$AC$2:$AQ$68,11,FALSE)</f>
        <v>21.457142857142856</v>
      </c>
      <c r="W27" s="137">
        <f>IF(W25+V27&gt;99,V27,W25+V27)</f>
        <v>21.457142857142856</v>
      </c>
      <c r="X27" s="136">
        <f>VLOOKUP($B27,$AC$2:$AQ$68,12,FALSE)</f>
        <v>10.125714285714286</v>
      </c>
      <c r="Y27" s="137">
        <f>IF(Y25+X27&gt;99,X27,Y25+X27)</f>
        <v>47.70253454429308</v>
      </c>
      <c r="AC27" s="134" t="str">
        <f>Reglages!CA27</f>
        <v>Irungattukottai</v>
      </c>
      <c r="AD27" s="135">
        <f>Reglages!CB27</f>
        <v>18.259740259740258</v>
      </c>
      <c r="AE27" s="135">
        <f>Reglages!CC27</f>
        <v>33.29220779220779</v>
      </c>
      <c r="AF27" s="135">
        <f>Reglages!CD27</f>
        <v>28.694805194805195</v>
      </c>
      <c r="AG27" s="135">
        <f>Reglages!CE27</f>
        <v>26.577922077922079</v>
      </c>
      <c r="AH27" s="135">
        <f>Reglages!CF27</f>
        <v>24.025974025974026</v>
      </c>
      <c r="AI27" s="135">
        <f>Reglages!CG27</f>
        <v>21.948051948051948</v>
      </c>
      <c r="AJ27" s="135">
        <f>Reglages!CH27</f>
        <v>23.551948051948052</v>
      </c>
      <c r="AK27" s="135">
        <f>Reglages!CI27</f>
        <v>29.727272727272727</v>
      </c>
      <c r="AL27" s="135">
        <f>Reglages!CJ27</f>
        <v>33.896103896103895</v>
      </c>
      <c r="AM27" s="135">
        <f>Reglages!CK27</f>
        <v>22.954545454545453</v>
      </c>
      <c r="AN27" s="135">
        <f>Reglages!CL27</f>
        <v>13.493506493506494</v>
      </c>
      <c r="AO27" s="134">
        <f>Reglages!CM27</f>
        <v>1.1872</v>
      </c>
      <c r="AP27" s="134" t="str">
        <f>Reglages!CN27</f>
        <v>moyen</v>
      </c>
      <c r="AQ27" s="134">
        <f>Reglages!CO27</f>
        <v>154</v>
      </c>
    </row>
    <row r="28" spans="2:43" ht="13.5" thickBot="1">
      <c r="B28" s="276"/>
      <c r="C28" s="272"/>
      <c r="D28" s="273">
        <f>D27+D26</f>
        <v>220.10763329636865</v>
      </c>
      <c r="E28" s="274"/>
      <c r="F28" s="273">
        <f>F27+F26</f>
        <v>344.48851182069478</v>
      </c>
      <c r="G28" s="274"/>
      <c r="H28" s="273">
        <f>H27+H26</f>
        <v>257.10115002526658</v>
      </c>
      <c r="I28" s="274"/>
      <c r="J28" s="273">
        <f>J27+J26</f>
        <v>264.75379861009458</v>
      </c>
      <c r="K28" s="274"/>
      <c r="L28" s="273">
        <f>L27+L26</f>
        <v>211.95434178418785</v>
      </c>
      <c r="M28" s="274"/>
      <c r="N28" s="273">
        <f>N27+N26</f>
        <v>156.18406242103714</v>
      </c>
      <c r="O28" s="274"/>
      <c r="P28" s="273">
        <f>P27+P26</f>
        <v>171.88083026976091</v>
      </c>
      <c r="Q28" s="274"/>
      <c r="R28" s="273">
        <f>R27+R26</f>
        <v>284.3679944989139</v>
      </c>
      <c r="S28" s="274"/>
      <c r="T28" s="273">
        <f>T27+T26</f>
        <v>372.50183546269443</v>
      </c>
      <c r="U28" s="274"/>
      <c r="V28" s="273">
        <f>V27+V26</f>
        <v>286.49067719695279</v>
      </c>
      <c r="W28" s="274"/>
      <c r="X28" s="273">
        <f>X27+X26</f>
        <v>138.52628304833777</v>
      </c>
      <c r="Y28" s="274"/>
      <c r="AC28" s="134" t="str">
        <f>Reglages!CA28</f>
        <v>Istanbul</v>
      </c>
      <c r="AD28" s="135">
        <f>Reglages!CB28</f>
        <v>18.264550264550266</v>
      </c>
      <c r="AE28" s="135">
        <f>Reglages!CC28</f>
        <v>19.830687830687829</v>
      </c>
      <c r="AF28" s="135">
        <f>Reglages!CD28</f>
        <v>11.619047619047619</v>
      </c>
      <c r="AG28" s="135">
        <f>Reglages!CE28</f>
        <v>12.957671957671957</v>
      </c>
      <c r="AH28" s="135">
        <f>Reglages!CF28</f>
        <v>13.555555555555555</v>
      </c>
      <c r="AI28" s="135">
        <f>Reglages!CG28</f>
        <v>13.973544973544973</v>
      </c>
      <c r="AJ28" s="135">
        <f>Reglages!CH28</f>
        <v>18.111111111111111</v>
      </c>
      <c r="AK28" s="135">
        <f>Reglages!CI28</f>
        <v>14.047619047619047</v>
      </c>
      <c r="AL28" s="135">
        <f>Reglages!CJ28</f>
        <v>29.100529100529101</v>
      </c>
      <c r="AM28" s="135">
        <f>Reglages!CK28</f>
        <v>13.19047619047619</v>
      </c>
      <c r="AN28" s="135">
        <f>Reglages!CL28</f>
        <v>11.952380952380953</v>
      </c>
      <c r="AO28" s="134">
        <f>Reglages!CM28</f>
        <v>1.1499999999999999</v>
      </c>
      <c r="AP28" s="134" t="str">
        <f>Reglages!CN28</f>
        <v>moyen</v>
      </c>
      <c r="AQ28" s="134">
        <f>Reglages!CO28</f>
        <v>189</v>
      </c>
    </row>
    <row r="29" spans="2:43">
      <c r="B29" s="275" t="s">
        <v>83</v>
      </c>
      <c r="C29" s="271">
        <f>VLOOKUP($B29,$AC$2:$AQ$71,15,FALSE)</f>
        <v>222</v>
      </c>
      <c r="D29" s="136">
        <f>VLOOKUP($B29,$AC$2:$AQ$68,2,FALSE)</f>
        <v>15.085585585585585</v>
      </c>
      <c r="E29" s="137">
        <f>IF(E27+D29&gt;99,D29,E27+D29)</f>
        <v>69.907551309073057</v>
      </c>
      <c r="F29" s="136">
        <f>VLOOKUP($B29,$AC$2:$AQ$68,3,FALSE)</f>
        <v>10.27027027027027</v>
      </c>
      <c r="G29" s="137">
        <f>IF(G27+F29&gt;99,F29,G27+F29)</f>
        <v>32.190270270270275</v>
      </c>
      <c r="H29" s="136">
        <f>VLOOKUP($B29,$AC$2:$AQ$68,4,FALSE)</f>
        <v>23.225225225225227</v>
      </c>
      <c r="I29" s="137">
        <f>IF(I27+H29&gt;99,H29,I27+H29)</f>
        <v>23.225225225225227</v>
      </c>
      <c r="J29" s="136">
        <f>VLOOKUP($B29,$AC$2:$AQ$68,5,FALSE)</f>
        <v>26.536036036036037</v>
      </c>
      <c r="K29" s="137">
        <f>IF(K27+J29&gt;99,J29,K27+J29)</f>
        <v>26.536036036036037</v>
      </c>
      <c r="L29" s="136">
        <f>VLOOKUP($B29,$AC$2:$AQ$68,6,FALSE)</f>
        <v>18.86036036036036</v>
      </c>
      <c r="M29" s="137">
        <f>IF(M27+L29&gt;99,L29,M27+L29)</f>
        <v>50.471633652285824</v>
      </c>
      <c r="N29" s="136">
        <f>VLOOKUP($B29,$AC$2:$AQ$68,7,FALSE)</f>
        <v>14.225225225225225</v>
      </c>
      <c r="O29" s="137">
        <f>IF(O27+N29&gt;99,N29,O27+N29)</f>
        <v>75.44430696342485</v>
      </c>
      <c r="P29" s="136">
        <f>VLOOKUP($B29,$AC$2:$AQ$68,8,FALSE)</f>
        <v>19.594594594594593</v>
      </c>
      <c r="Q29" s="137">
        <f>IF(Q27+P29&gt;99,P29,Q27+P29)</f>
        <v>97.63728993008921</v>
      </c>
      <c r="R29" s="136">
        <f>VLOOKUP($B29,$AC$2:$AQ$68,9,FALSE)</f>
        <v>23.256756756756758</v>
      </c>
      <c r="S29" s="137">
        <f>IF(S27+R29&gt;99,R29,S27+R29)</f>
        <v>47.45104247104247</v>
      </c>
      <c r="T29" s="136">
        <f>VLOOKUP($B29,$AC$2:$AQ$68,10,FALSE)</f>
        <v>26.63963963963964</v>
      </c>
      <c r="U29" s="137">
        <f>IF(U27+T29&gt;99,T29,U27+T29)</f>
        <v>74.684049577527844</v>
      </c>
      <c r="V29" s="136">
        <f>VLOOKUP($B29,$AC$2:$AQ$68,11,FALSE)</f>
        <v>19.995495495495497</v>
      </c>
      <c r="W29" s="137">
        <f>IF(W27+V29&gt;99,V29,W27+V29)</f>
        <v>41.452638352638353</v>
      </c>
      <c r="X29" s="136">
        <f>VLOOKUP($B29,$AC$2:$AQ$68,12,FALSE)</f>
        <v>14.22072072072072</v>
      </c>
      <c r="Y29" s="137">
        <f>IF(Y27+X29&gt;99,X29,Y27+X29)</f>
        <v>61.9232552650138</v>
      </c>
      <c r="AC29" s="134" t="str">
        <f>Reglages!CA29</f>
        <v>Jerez</v>
      </c>
      <c r="AD29" s="135">
        <f>Reglages!CB29</f>
        <v>23.766233766233768</v>
      </c>
      <c r="AE29" s="135">
        <f>Reglages!CC29</f>
        <v>37.805194805194802</v>
      </c>
      <c r="AF29" s="135">
        <f>Reglages!CD29</f>
        <v>24.584415584415584</v>
      </c>
      <c r="AG29" s="135">
        <f>Reglages!CE29</f>
        <v>26.896103896103895</v>
      </c>
      <c r="AH29" s="135">
        <f>Reglages!CF29</f>
        <v>22.025974025974026</v>
      </c>
      <c r="AI29" s="135">
        <f>Reglages!CG29</f>
        <v>19</v>
      </c>
      <c r="AJ29" s="135">
        <f>Reglages!CH29</f>
        <v>13.74025974025974</v>
      </c>
      <c r="AK29" s="135">
        <f>Reglages!CI29</f>
        <v>20.870129870129869</v>
      </c>
      <c r="AL29" s="135">
        <f>Reglages!CJ29</f>
        <v>32.831168831168831</v>
      </c>
      <c r="AM29" s="135">
        <f>Reglages!CK29</f>
        <v>30.493506493506494</v>
      </c>
      <c r="AN29" s="135">
        <f>Reglages!CL29</f>
        <v>15.285714285714286</v>
      </c>
      <c r="AO29" s="134">
        <f>Reglages!CM29</f>
        <v>1.1000000000000001</v>
      </c>
      <c r="AP29" s="134" t="str">
        <f>Reglages!CN29</f>
        <v>haute</v>
      </c>
      <c r="AQ29" s="134">
        <f>Reglages!CO29</f>
        <v>77</v>
      </c>
    </row>
    <row r="30" spans="2:43" ht="13.5" thickBot="1">
      <c r="B30" s="276"/>
      <c r="C30" s="272"/>
      <c r="D30" s="273">
        <f>D29+D28</f>
        <v>235.19321888195424</v>
      </c>
      <c r="E30" s="274"/>
      <c r="F30" s="273">
        <f>F29+F28</f>
        <v>354.75878209096504</v>
      </c>
      <c r="G30" s="274"/>
      <c r="H30" s="273">
        <f>H29+H28</f>
        <v>280.32637525049182</v>
      </c>
      <c r="I30" s="274"/>
      <c r="J30" s="273">
        <f>J29+J28</f>
        <v>291.2898346461306</v>
      </c>
      <c r="K30" s="274"/>
      <c r="L30" s="273">
        <f>L29+L28</f>
        <v>230.81470214454822</v>
      </c>
      <c r="M30" s="274"/>
      <c r="N30" s="273">
        <f>N29+N28</f>
        <v>170.40928764626236</v>
      </c>
      <c r="O30" s="274"/>
      <c r="P30" s="273">
        <f>P29+P28</f>
        <v>191.47542486435549</v>
      </c>
      <c r="Q30" s="274"/>
      <c r="R30" s="273">
        <f>R29+R28</f>
        <v>307.62475125567067</v>
      </c>
      <c r="S30" s="274"/>
      <c r="T30" s="273">
        <f>T29+T28</f>
        <v>399.14147510233408</v>
      </c>
      <c r="U30" s="274"/>
      <c r="V30" s="273">
        <f>V29+V28</f>
        <v>306.48617269244829</v>
      </c>
      <c r="W30" s="274"/>
      <c r="X30" s="273">
        <f>X29+X28</f>
        <v>152.74700376905849</v>
      </c>
      <c r="Y30" s="274"/>
      <c r="AC30" s="134" t="str">
        <f>Reglages!CA30</f>
        <v>Jyllands-Ringen</v>
      </c>
      <c r="AD30" s="135">
        <f>Reglages!CB30</f>
        <v>9.6833333333333336</v>
      </c>
      <c r="AE30" s="135">
        <f>Reglages!CC30</f>
        <v>14.566666666666666</v>
      </c>
      <c r="AF30" s="135">
        <f>Reglages!CD30</f>
        <v>19.2</v>
      </c>
      <c r="AG30" s="135">
        <f>Reglages!CE30</f>
        <v>18.399999999999999</v>
      </c>
      <c r="AH30" s="135">
        <f>Reglages!CF30</f>
        <v>9.0500000000000007</v>
      </c>
      <c r="AI30" s="135">
        <f>Reglages!CG30</f>
        <v>7.916666666666667</v>
      </c>
      <c r="AJ30" s="135">
        <f>Reglages!CH30</f>
        <v>7.15</v>
      </c>
      <c r="AK30" s="135">
        <f>Reglages!CI30</f>
        <v>15.616666666666667</v>
      </c>
      <c r="AL30" s="135">
        <f>Reglages!CJ30</f>
        <v>22.233333333333334</v>
      </c>
      <c r="AM30" s="135">
        <f>Reglages!CK30</f>
        <v>10.4</v>
      </c>
      <c r="AN30" s="135">
        <f>Reglages!CL30</f>
        <v>9.4333333333333336</v>
      </c>
      <c r="AO30" s="134">
        <f>Reglages!CM30</f>
        <v>1.2</v>
      </c>
      <c r="AP30" s="134" t="str">
        <f>Reglages!CN30</f>
        <v>basse</v>
      </c>
      <c r="AQ30" s="134">
        <f>Reglages!CO30</f>
        <v>60</v>
      </c>
    </row>
    <row r="31" spans="2:43">
      <c r="B31" s="275" t="s">
        <v>82</v>
      </c>
      <c r="C31" s="271">
        <f>VLOOKUP($B31,$AC$2:$AQ$71,15,FALSE)</f>
        <v>189</v>
      </c>
      <c r="D31" s="136">
        <f>VLOOKUP($B31,$AC$2:$AQ$68,2,FALSE)</f>
        <v>18.264550264550266</v>
      </c>
      <c r="E31" s="137">
        <f>IF(E29+D31&gt;99,D31,E29+D31)</f>
        <v>88.172101573623323</v>
      </c>
      <c r="F31" s="136">
        <f>VLOOKUP($B31,$AC$2:$AQ$68,3,FALSE)</f>
        <v>19.830687830687829</v>
      </c>
      <c r="G31" s="137">
        <f>IF(G29+F31&gt;99,F31,G29+F31)</f>
        <v>52.020958100958104</v>
      </c>
      <c r="H31" s="136">
        <f>VLOOKUP($B31,$AC$2:$AQ$68,4,FALSE)</f>
        <v>11.619047619047619</v>
      </c>
      <c r="I31" s="137">
        <f>IF(I29+H31&gt;99,H31,I29+H31)</f>
        <v>34.844272844272844</v>
      </c>
      <c r="J31" s="136">
        <f>VLOOKUP($B31,$AC$2:$AQ$68,5,FALSE)</f>
        <v>12.957671957671957</v>
      </c>
      <c r="K31" s="137">
        <f>IF(K29+J31&gt;99,J31,K29+J31)</f>
        <v>39.493707993707993</v>
      </c>
      <c r="L31" s="136">
        <f>VLOOKUP($B31,$AC$2:$AQ$68,6,FALSE)</f>
        <v>13.555555555555555</v>
      </c>
      <c r="M31" s="137">
        <f>IF(M29+L31&gt;99,L31,M29+L31)</f>
        <v>64.027189207841374</v>
      </c>
      <c r="N31" s="136">
        <f>VLOOKUP($B31,$AC$2:$AQ$68,7,FALSE)</f>
        <v>13.973544973544973</v>
      </c>
      <c r="O31" s="137">
        <f>IF(O29+N31&gt;99,N31,O29+N31)</f>
        <v>89.417851936969825</v>
      </c>
      <c r="P31" s="136">
        <f>VLOOKUP($B31,$AC$2:$AQ$68,8,FALSE)</f>
        <v>18.111111111111111</v>
      </c>
      <c r="Q31" s="137">
        <f>IF(Q29+P31&gt;99,P31,Q29+P31)</f>
        <v>18.111111111111111</v>
      </c>
      <c r="R31" s="136">
        <f>VLOOKUP($B31,$AC$2:$AQ$68,9,FALSE)</f>
        <v>14.047619047619047</v>
      </c>
      <c r="S31" s="137">
        <f>IF(S29+R31&gt;99,R31,S29+R31)</f>
        <v>61.498661518661521</v>
      </c>
      <c r="T31" s="136">
        <f>VLOOKUP($B31,$AC$2:$AQ$68,10,FALSE)</f>
        <v>29.100529100529101</v>
      </c>
      <c r="U31" s="137">
        <f>IF(U29+T31&gt;99,T31,U29+T31)</f>
        <v>29.100529100529101</v>
      </c>
      <c r="V31" s="136">
        <f>VLOOKUP($B31,$AC$2:$AQ$68,11,FALSE)</f>
        <v>13.19047619047619</v>
      </c>
      <c r="W31" s="137">
        <f>IF(W29+V31&gt;99,V31,W29+V31)</f>
        <v>54.643114543114542</v>
      </c>
      <c r="X31" s="136">
        <f>VLOOKUP($B31,$AC$2:$AQ$68,12,FALSE)</f>
        <v>11.952380952380953</v>
      </c>
      <c r="Y31" s="137">
        <f>IF(Y29+X31&gt;99,X31,Y29+X31)</f>
        <v>73.875636217394756</v>
      </c>
      <c r="AC31" s="134" t="str">
        <f>Reglages!CA31</f>
        <v>Kaunas</v>
      </c>
      <c r="AD31" s="135">
        <f>Reglages!CB31</f>
        <v>15.706349206349206</v>
      </c>
      <c r="AE31" s="135">
        <f>Reglages!CC31</f>
        <v>27.984126984126984</v>
      </c>
      <c r="AF31" s="135">
        <f>Reglages!CD31</f>
        <v>18.952380952380953</v>
      </c>
      <c r="AG31" s="135">
        <f>Reglages!CE31</f>
        <v>16.563492063492063</v>
      </c>
      <c r="AH31" s="135">
        <f>Reglages!CF31</f>
        <v>20.277777777777779</v>
      </c>
      <c r="AI31" s="135">
        <f>Reglages!CG31</f>
        <v>13.769841269841271</v>
      </c>
      <c r="AJ31" s="135">
        <f>Reglages!CH31</f>
        <v>9.3412698412698418</v>
      </c>
      <c r="AK31" s="135">
        <f>Reglages!CI31</f>
        <v>13.753968253968255</v>
      </c>
      <c r="AL31" s="135">
        <f>Reglages!CJ31</f>
        <v>7.8730158730158726</v>
      </c>
      <c r="AM31" s="135">
        <f>Reglages!CK31</f>
        <v>28.5</v>
      </c>
      <c r="AN31" s="135">
        <f>Reglages!CL31</f>
        <v>7.9444444444444446</v>
      </c>
      <c r="AO31" s="134">
        <f>Reglages!CM31</f>
        <v>1.18</v>
      </c>
      <c r="AP31" s="134" t="str">
        <f>Reglages!CN31</f>
        <v>moyen</v>
      </c>
      <c r="AQ31" s="134">
        <f>Reglages!CO31</f>
        <v>126</v>
      </c>
    </row>
    <row r="32" spans="2:43" ht="13.5" thickBot="1">
      <c r="B32" s="276"/>
      <c r="C32" s="272"/>
      <c r="D32" s="273">
        <f>D31+D30</f>
        <v>253.45776914650452</v>
      </c>
      <c r="E32" s="274"/>
      <c r="F32" s="273">
        <f>F31+F30</f>
        <v>374.58946992165289</v>
      </c>
      <c r="G32" s="274"/>
      <c r="H32" s="273">
        <f>H31+H30</f>
        <v>291.94542286953941</v>
      </c>
      <c r="I32" s="274"/>
      <c r="J32" s="273">
        <f>J31+J30</f>
        <v>304.24750660380255</v>
      </c>
      <c r="K32" s="274"/>
      <c r="L32" s="273">
        <f>L31+L30</f>
        <v>244.37025770010376</v>
      </c>
      <c r="M32" s="274"/>
      <c r="N32" s="273">
        <f>N31+N30</f>
        <v>184.38283261980732</v>
      </c>
      <c r="O32" s="274"/>
      <c r="P32" s="273">
        <f>P31+P30</f>
        <v>209.5865359754666</v>
      </c>
      <c r="Q32" s="274"/>
      <c r="R32" s="273">
        <f>R31+R30</f>
        <v>321.67237030328971</v>
      </c>
      <c r="S32" s="274"/>
      <c r="T32" s="273">
        <f>T31+T30</f>
        <v>428.2420042028632</v>
      </c>
      <c r="U32" s="274"/>
      <c r="V32" s="273">
        <f>V31+V30</f>
        <v>319.6766488829245</v>
      </c>
      <c r="W32" s="274"/>
      <c r="X32" s="273">
        <f>X31+X30</f>
        <v>164.69938472143946</v>
      </c>
      <c r="Y32" s="274"/>
      <c r="AC32" s="134" t="str">
        <f>Reglages!CA32</f>
        <v>Kyalami</v>
      </c>
      <c r="AD32" s="135">
        <f>Reglages!CB32</f>
        <v>14.913705583756345</v>
      </c>
      <c r="AE32" s="135">
        <f>Reglages!CC32</f>
        <v>21.80710659898477</v>
      </c>
      <c r="AF32" s="135">
        <f>Reglages!CD32</f>
        <v>23.583756345177665</v>
      </c>
      <c r="AG32" s="135">
        <f>Reglages!CE32</f>
        <v>26.223350253807105</v>
      </c>
      <c r="AH32" s="135">
        <f>Reglages!CF32</f>
        <v>13.17258883248731</v>
      </c>
      <c r="AI32" s="135">
        <f>Reglages!CG32</f>
        <v>12.035532994923859</v>
      </c>
      <c r="AJ32" s="135">
        <f>Reglages!CH32</f>
        <v>21.497461928934012</v>
      </c>
      <c r="AK32" s="135">
        <f>Reglages!CI32</f>
        <v>29.969543147208121</v>
      </c>
      <c r="AL32" s="135">
        <f>Reglages!CJ32</f>
        <v>18.233502538071065</v>
      </c>
      <c r="AM32" s="135">
        <f>Reglages!CK32</f>
        <v>15.517766497461929</v>
      </c>
      <c r="AN32" s="135">
        <f>Reglages!CL32</f>
        <v>14.517766497461929</v>
      </c>
      <c r="AO32" s="134">
        <f>Reglages!CM32</f>
        <v>1.3</v>
      </c>
      <c r="AP32" s="134" t="str">
        <f>Reglages!CN32</f>
        <v>tres basse</v>
      </c>
      <c r="AQ32" s="134">
        <f>Reglages!CO32</f>
        <v>197</v>
      </c>
    </row>
    <row r="33" spans="2:43">
      <c r="B33" s="275" t="s">
        <v>72</v>
      </c>
      <c r="C33" s="271">
        <f>VLOOKUP($B33,$AC$2:$AQ$71,15,FALSE)</f>
        <v>157</v>
      </c>
      <c r="D33" s="136">
        <f>VLOOKUP($B33,$AC$2:$AQ$68,2,FALSE)</f>
        <v>16.312101910828027</v>
      </c>
      <c r="E33" s="137">
        <f>IF(E31+D33&gt;99,D33,E31+D33)</f>
        <v>16.312101910828027</v>
      </c>
      <c r="F33" s="136">
        <f>VLOOKUP($B33,$AC$2:$AQ$68,3,FALSE)</f>
        <v>15.127388535031848</v>
      </c>
      <c r="G33" s="137">
        <f>IF(G31+F33&gt;99,F33,G31+F33)</f>
        <v>67.148346635989952</v>
      </c>
      <c r="H33" s="136">
        <f>VLOOKUP($B33,$AC$2:$AQ$68,4,FALSE)</f>
        <v>16.210191082802549</v>
      </c>
      <c r="I33" s="137">
        <f>IF(I31+H33&gt;99,H33,I31+H33)</f>
        <v>51.054463927075389</v>
      </c>
      <c r="J33" s="136">
        <f>VLOOKUP($B33,$AC$2:$AQ$68,5,FALSE)</f>
        <v>17.681528662420384</v>
      </c>
      <c r="K33" s="137">
        <f>IF(K31+J33&gt;99,J33,K31+J33)</f>
        <v>57.175236656128376</v>
      </c>
      <c r="L33" s="136">
        <f>VLOOKUP($B33,$AC$2:$AQ$68,6,FALSE)</f>
        <v>31.535031847133759</v>
      </c>
      <c r="M33" s="137">
        <f>IF(M31+L33&gt;99,L33,M31+L33)</f>
        <v>95.56222105497514</v>
      </c>
      <c r="N33" s="136">
        <f>VLOOKUP($B33,$AC$2:$AQ$68,7,FALSE)</f>
        <v>15.165605095541402</v>
      </c>
      <c r="O33" s="137">
        <f>IF(O31+N33&gt;99,N33,O31+N33)</f>
        <v>15.165605095541402</v>
      </c>
      <c r="P33" s="136">
        <f>VLOOKUP($B33,$AC$2:$AQ$68,8,FALSE)</f>
        <v>14.777070063694268</v>
      </c>
      <c r="Q33" s="137">
        <f>IF(Q31+P33&gt;99,P33,Q31+P33)</f>
        <v>32.888181174805382</v>
      </c>
      <c r="R33" s="136">
        <f>VLOOKUP($B33,$AC$2:$AQ$68,9,FALSE)</f>
        <v>15.286624203821656</v>
      </c>
      <c r="S33" s="137">
        <f>IF(S31+R33&gt;99,R33,S31+R33)</f>
        <v>76.785285722483181</v>
      </c>
      <c r="T33" s="136">
        <f>VLOOKUP($B33,$AC$2:$AQ$68,10,FALSE)</f>
        <v>22.477707006369428</v>
      </c>
      <c r="U33" s="137">
        <f>IF(U31+T33&gt;99,T33,U31+T33)</f>
        <v>51.57823610689853</v>
      </c>
      <c r="V33" s="136">
        <f>VLOOKUP($B33,$AC$2:$AQ$68,11,FALSE)</f>
        <v>33.337579617834393</v>
      </c>
      <c r="W33" s="137">
        <f>IF(W31+V33&gt;99,V33,W31+V33)</f>
        <v>87.980694160948929</v>
      </c>
      <c r="X33" s="136">
        <f>VLOOKUP($B33,$AC$2:$AQ$68,12,FALSE)</f>
        <v>12.382165605095542</v>
      </c>
      <c r="Y33" s="137">
        <f>IF(Y31+X33&gt;99,X33,Y31+X33)</f>
        <v>86.257801822490293</v>
      </c>
      <c r="AC33" s="134" t="str">
        <f>Reglages!CA33</f>
        <v>Laguna Seca</v>
      </c>
      <c r="AD33" s="135">
        <f>Reglages!CB33</f>
        <v>20.387387387387388</v>
      </c>
      <c r="AE33" s="135">
        <f>Reglages!CC33</f>
        <v>25.963963963963963</v>
      </c>
      <c r="AF33" s="135">
        <f>Reglages!CD33</f>
        <v>17.594594594594593</v>
      </c>
      <c r="AG33" s="135">
        <f>Reglages!CE33</f>
        <v>11.378378378378379</v>
      </c>
      <c r="AH33" s="135">
        <f>Reglages!CF33</f>
        <v>11.099099099099099</v>
      </c>
      <c r="AI33" s="135">
        <f>Reglages!CG33</f>
        <v>10.234234234234235</v>
      </c>
      <c r="AJ33" s="135">
        <f>Reglages!CH33</f>
        <v>16.603603603603602</v>
      </c>
      <c r="AK33" s="135">
        <f>Reglages!CI33</f>
        <v>26.882882882882882</v>
      </c>
      <c r="AL33" s="135">
        <f>Reglages!CJ33</f>
        <v>28.846846846846848</v>
      </c>
      <c r="AM33" s="135">
        <f>Reglages!CK33</f>
        <v>23.018018018018019</v>
      </c>
      <c r="AN33" s="135">
        <f>Reglages!CL33</f>
        <v>5.8378378378378377</v>
      </c>
      <c r="AO33" s="134">
        <f>Reglages!CM33</f>
        <v>1.0549999999999999</v>
      </c>
      <c r="AP33" s="134" t="str">
        <f>Reglages!CN33</f>
        <v>tres haute</v>
      </c>
      <c r="AQ33" s="134">
        <f>Reglages!CO33</f>
        <v>111</v>
      </c>
    </row>
    <row r="34" spans="2:43" ht="13.5" thickBot="1">
      <c r="B34" s="276"/>
      <c r="C34" s="272"/>
      <c r="D34" s="273">
        <f>D33+D32</f>
        <v>269.76987105733252</v>
      </c>
      <c r="E34" s="274"/>
      <c r="F34" s="273">
        <f>F33+F32</f>
        <v>389.71685845668475</v>
      </c>
      <c r="G34" s="274"/>
      <c r="H34" s="273">
        <f>H33+H32</f>
        <v>308.15561395234198</v>
      </c>
      <c r="I34" s="274"/>
      <c r="J34" s="273">
        <f>J33+J32</f>
        <v>321.92903526622291</v>
      </c>
      <c r="K34" s="274"/>
      <c r="L34" s="273">
        <f>L33+L32</f>
        <v>275.90528954723754</v>
      </c>
      <c r="M34" s="274"/>
      <c r="N34" s="273">
        <f>N33+N32</f>
        <v>199.54843771534871</v>
      </c>
      <c r="O34" s="274"/>
      <c r="P34" s="273">
        <f>P33+P32</f>
        <v>224.36360603916086</v>
      </c>
      <c r="Q34" s="274"/>
      <c r="R34" s="273">
        <f>R33+R32</f>
        <v>336.95899450711136</v>
      </c>
      <c r="S34" s="274"/>
      <c r="T34" s="273">
        <f>T33+T32</f>
        <v>450.71971120923263</v>
      </c>
      <c r="U34" s="274"/>
      <c r="V34" s="273">
        <f>V33+V32</f>
        <v>353.01422850075892</v>
      </c>
      <c r="W34" s="274"/>
      <c r="X34" s="273">
        <f>X33+X32</f>
        <v>177.08155032653499</v>
      </c>
      <c r="Y34" s="274"/>
      <c r="AC34" s="134" t="str">
        <f>Reglages!CA34</f>
        <v>Magny Cours</v>
      </c>
      <c r="AD34" s="135">
        <f>Reglages!CB34</f>
        <v>16.413793103448278</v>
      </c>
      <c r="AE34" s="135">
        <f>Reglages!CC34</f>
        <v>31.043103448275861</v>
      </c>
      <c r="AF34" s="135">
        <f>Reglages!CD34</f>
        <v>20.801724137931036</v>
      </c>
      <c r="AG34" s="135">
        <f>Reglages!CE34</f>
        <v>18.094827586206897</v>
      </c>
      <c r="AH34" s="135">
        <f>Reglages!CF34</f>
        <v>19.379310344827587</v>
      </c>
      <c r="AI34" s="135">
        <f>Reglages!CG34</f>
        <v>14.655172413793103</v>
      </c>
      <c r="AJ34" s="135">
        <f>Reglages!CH34</f>
        <v>14.982758620689655</v>
      </c>
      <c r="AK34" s="135">
        <f>Reglages!CI34</f>
        <v>25.655172413793103</v>
      </c>
      <c r="AL34" s="135">
        <f>Reglages!CJ34</f>
        <v>34.663793103448278</v>
      </c>
      <c r="AM34" s="135">
        <f>Reglages!CK34</f>
        <v>26.939655172413794</v>
      </c>
      <c r="AN34" s="135">
        <f>Reglages!CL34</f>
        <v>8.8793103448275854</v>
      </c>
      <c r="AO34" s="134">
        <f>Reglages!CM34</f>
        <v>1.1299999999999999</v>
      </c>
      <c r="AP34" s="134" t="str">
        <f>Reglages!CN34</f>
        <v>moyen</v>
      </c>
      <c r="AQ34" s="134">
        <f>Reglages!CO34</f>
        <v>116</v>
      </c>
    </row>
    <row r="35" spans="2:43">
      <c r="B35" s="275" t="s">
        <v>51</v>
      </c>
      <c r="C35" s="271">
        <f>VLOOKUP($B35,$AC$2:$AQ$71,15,FALSE)</f>
        <v>157</v>
      </c>
      <c r="D35" s="136">
        <f>VLOOKUP($B35,$AC$2:$AQ$68,2,FALSE)</f>
        <v>12.904458598726114</v>
      </c>
      <c r="E35" s="137">
        <f>IF(E33+D35&gt;99,D35,E33+D35)</f>
        <v>29.216560509554142</v>
      </c>
      <c r="F35" s="136">
        <f>VLOOKUP($B35,$AC$2:$AQ$68,3,FALSE)</f>
        <v>16.535031847133759</v>
      </c>
      <c r="G35" s="137">
        <f>IF(G33+F35&gt;99,F35,G33+F35)</f>
        <v>83.683378483123704</v>
      </c>
      <c r="H35" s="136">
        <f>VLOOKUP($B35,$AC$2:$AQ$68,4,FALSE)</f>
        <v>17.343949044585987</v>
      </c>
      <c r="I35" s="137">
        <f>IF(I33+H35&gt;99,H35,I33+H35)</f>
        <v>68.398412971661372</v>
      </c>
      <c r="J35" s="136">
        <f>VLOOKUP($B35,$AC$2:$AQ$68,5,FALSE)</f>
        <v>17</v>
      </c>
      <c r="K35" s="137">
        <f>IF(K33+J35&gt;99,J35,K33+J35)</f>
        <v>74.175236656128376</v>
      </c>
      <c r="L35" s="136">
        <f>VLOOKUP($B35,$AC$2:$AQ$68,6,FALSE)</f>
        <v>14.764331210191083</v>
      </c>
      <c r="M35" s="137">
        <f>IF(M33+L35&gt;99,L35,M33+L35)</f>
        <v>14.764331210191083</v>
      </c>
      <c r="N35" s="136">
        <f>VLOOKUP($B35,$AC$2:$AQ$68,7,FALSE)</f>
        <v>13.076433121019109</v>
      </c>
      <c r="O35" s="137">
        <f>IF(O33+N35&gt;99,N35,O33+N35)</f>
        <v>28.242038216560509</v>
      </c>
      <c r="P35" s="136">
        <f>VLOOKUP($B35,$AC$2:$AQ$68,8,FALSE)</f>
        <v>10.305732484076433</v>
      </c>
      <c r="Q35" s="137">
        <f>IF(Q33+P35&gt;99,P35,Q33+P35)</f>
        <v>43.193913658881812</v>
      </c>
      <c r="R35" s="136">
        <f>VLOOKUP($B35,$AC$2:$AQ$68,9,FALSE)</f>
        <v>15.904458598726114</v>
      </c>
      <c r="S35" s="137">
        <f>IF(S33+R35&gt;99,R35,S33+R35)</f>
        <v>92.68974432120929</v>
      </c>
      <c r="T35" s="136">
        <f>VLOOKUP($B35,$AC$2:$AQ$68,10,FALSE)</f>
        <v>19.738853503184714</v>
      </c>
      <c r="U35" s="137">
        <f>IF(U33+T35&gt;99,T35,U33+T35)</f>
        <v>71.317089610083244</v>
      </c>
      <c r="V35" s="136">
        <f>VLOOKUP($B35,$AC$2:$AQ$68,11,FALSE)</f>
        <v>15.019108280254777</v>
      </c>
      <c r="W35" s="137">
        <f>IF(W33+V35&gt;99,V35,W33+V35)</f>
        <v>15.019108280254777</v>
      </c>
      <c r="X35" s="136">
        <f>VLOOKUP($B35,$AC$2:$AQ$68,12,FALSE)</f>
        <v>8.0382165605095537</v>
      </c>
      <c r="Y35" s="137">
        <f>IF(Y33+X35&gt;99,X35,Y33+X35)</f>
        <v>94.296018382999847</v>
      </c>
      <c r="AC35" s="134" t="str">
        <f>Reglages!CA35</f>
        <v>Melbourne</v>
      </c>
      <c r="AD35" s="135">
        <f>Reglages!CB35</f>
        <v>15.21311475409836</v>
      </c>
      <c r="AE35" s="135">
        <f>Reglages!CC35</f>
        <v>32.065573770491802</v>
      </c>
      <c r="AF35" s="135">
        <f>Reglages!CD35</f>
        <v>18.114754098360656</v>
      </c>
      <c r="AG35" s="135">
        <f>Reglages!CE35</f>
        <v>19.934426229508198</v>
      </c>
      <c r="AH35" s="135">
        <f>Reglages!CF35</f>
        <v>15.024590163934427</v>
      </c>
      <c r="AI35" s="135">
        <f>Reglages!CG35</f>
        <v>14.60655737704918</v>
      </c>
      <c r="AJ35" s="135">
        <f>Reglages!CH35</f>
        <v>13.60655737704918</v>
      </c>
      <c r="AK35" s="135">
        <f>Reglages!CI35</f>
        <v>21.409836065573771</v>
      </c>
      <c r="AL35" s="135">
        <f>Reglages!CJ35</f>
        <v>24.860655737704917</v>
      </c>
      <c r="AM35" s="135">
        <f>Reglages!CK35</f>
        <v>14.983606557377049</v>
      </c>
      <c r="AN35" s="135">
        <f>Reglages!CL35</f>
        <v>11.852459016393443</v>
      </c>
      <c r="AO35" s="134">
        <f>Reglages!CM35</f>
        <v>1.1499999999999999</v>
      </c>
      <c r="AP35" s="134" t="str">
        <f>Reglages!CN35</f>
        <v>moyen</v>
      </c>
      <c r="AQ35" s="134">
        <f>Reglages!CO35</f>
        <v>122</v>
      </c>
    </row>
    <row r="36" spans="2:43" ht="13.5" thickBot="1">
      <c r="B36" s="276"/>
      <c r="C36" s="272"/>
      <c r="D36" s="273">
        <f>D35+D34</f>
        <v>282.67432965605866</v>
      </c>
      <c r="E36" s="274"/>
      <c r="F36" s="273">
        <f>F35+F34</f>
        <v>406.25189030381853</v>
      </c>
      <c r="G36" s="274"/>
      <c r="H36" s="273">
        <f>H35+H34</f>
        <v>325.49956299692798</v>
      </c>
      <c r="I36" s="274"/>
      <c r="J36" s="273">
        <f>J35+J34</f>
        <v>338.92903526622291</v>
      </c>
      <c r="K36" s="274"/>
      <c r="L36" s="273">
        <f>L35+L34</f>
        <v>290.66962075742862</v>
      </c>
      <c r="M36" s="274"/>
      <c r="N36" s="273">
        <f>N35+N34</f>
        <v>212.62487083636782</v>
      </c>
      <c r="O36" s="274"/>
      <c r="P36" s="273">
        <f>P35+P34</f>
        <v>234.66933852323729</v>
      </c>
      <c r="Q36" s="274"/>
      <c r="R36" s="273">
        <f>R35+R34</f>
        <v>352.86345310583749</v>
      </c>
      <c r="S36" s="274"/>
      <c r="T36" s="273">
        <f>T35+T34</f>
        <v>470.45856471241734</v>
      </c>
      <c r="U36" s="274"/>
      <c r="V36" s="273">
        <f>V35+V34</f>
        <v>368.0333367810137</v>
      </c>
      <c r="W36" s="274"/>
      <c r="X36" s="273">
        <f>X35+X34</f>
        <v>185.11976688704453</v>
      </c>
      <c r="Y36" s="274"/>
      <c r="AC36" s="134" t="str">
        <f>Reglages!CA36</f>
        <v>Mexico City</v>
      </c>
      <c r="AD36" s="135">
        <f>Reglages!CB36</f>
        <v>8.8680203045685282</v>
      </c>
      <c r="AE36" s="135">
        <f>Reglages!CC36</f>
        <v>16.847715736040609</v>
      </c>
      <c r="AF36" s="135">
        <f>Reglages!CD36</f>
        <v>11.258883248730964</v>
      </c>
      <c r="AG36" s="135">
        <f>Reglages!CE36</f>
        <v>10.045685279187817</v>
      </c>
      <c r="AH36" s="135">
        <f>Reglages!CF36</f>
        <v>13.898477157360405</v>
      </c>
      <c r="AI36" s="135">
        <f>Reglages!CG36</f>
        <v>9.7411167512690362</v>
      </c>
      <c r="AJ36" s="135">
        <f>Reglages!CH36</f>
        <v>13.578680203045685</v>
      </c>
      <c r="AK36" s="135">
        <f>Reglages!CI36</f>
        <v>21.076142131979694</v>
      </c>
      <c r="AL36" s="135">
        <f>Reglages!CJ36</f>
        <v>9.2233502538071068</v>
      </c>
      <c r="AM36" s="135">
        <f>Reglages!CK36</f>
        <v>25.238578680203045</v>
      </c>
      <c r="AN36" s="135">
        <f>Reglages!CL36</f>
        <v>12.086294416243655</v>
      </c>
      <c r="AO36" s="134">
        <f>Reglages!CM36</f>
        <v>1.21</v>
      </c>
      <c r="AP36" s="134" t="str">
        <f>Reglages!CN36</f>
        <v>basse</v>
      </c>
      <c r="AQ36" s="134">
        <f>Reglages!CO36</f>
        <v>197</v>
      </c>
    </row>
    <row r="37" spans="2:43">
      <c r="B37" s="275" t="s">
        <v>53</v>
      </c>
      <c r="C37" s="271">
        <f>VLOOKUP($B37,$AC$2:$AQ$71,15,FALSE)</f>
        <v>137</v>
      </c>
      <c r="D37" s="136">
        <f>VLOOKUP($B37,$AC$2:$AQ$68,2,FALSE)</f>
        <v>18.233576642335766</v>
      </c>
      <c r="E37" s="137">
        <f>IF(E35+D37&gt;99,D37,E35+D37)</f>
        <v>47.450137151889905</v>
      </c>
      <c r="F37" s="136">
        <f>VLOOKUP($B37,$AC$2:$AQ$68,3,FALSE)</f>
        <v>40.642335766423358</v>
      </c>
      <c r="G37" s="137">
        <f>IF(G35+F37&gt;99,F37,G35+F37)</f>
        <v>40.642335766423358</v>
      </c>
      <c r="H37" s="136">
        <f>VLOOKUP($B37,$AC$2:$AQ$68,4,FALSE)</f>
        <v>18.832116788321169</v>
      </c>
      <c r="I37" s="137">
        <f>IF(I35+H37&gt;99,H37,I35+H37)</f>
        <v>87.230529759982545</v>
      </c>
      <c r="J37" s="136">
        <f>VLOOKUP($B37,$AC$2:$AQ$68,5,FALSE)</f>
        <v>24.072992700729927</v>
      </c>
      <c r="K37" s="137">
        <f>IF(K35+J37&gt;99,J37,K35+J37)</f>
        <v>98.248229356858303</v>
      </c>
      <c r="L37" s="136">
        <f>VLOOKUP($B37,$AC$2:$AQ$68,6,FALSE)</f>
        <v>21.883211678832115</v>
      </c>
      <c r="M37" s="137">
        <f>IF(M35+L37&gt;99,L37,M35+L37)</f>
        <v>36.6475428890232</v>
      </c>
      <c r="N37" s="136">
        <f>VLOOKUP($B37,$AC$2:$AQ$68,7,FALSE)</f>
        <v>11.014598540145986</v>
      </c>
      <c r="O37" s="137">
        <f>IF(O35+N37&gt;99,N37,O35+N37)</f>
        <v>39.256636756706499</v>
      </c>
      <c r="P37" s="136">
        <f>VLOOKUP($B37,$AC$2:$AQ$68,8,FALSE)</f>
        <v>13.204379562043796</v>
      </c>
      <c r="Q37" s="137">
        <f>IF(Q35+P37&gt;99,P37,Q35+P37)</f>
        <v>56.398293220925609</v>
      </c>
      <c r="R37" s="136">
        <f>VLOOKUP($B37,$AC$2:$AQ$68,9,FALSE)</f>
        <v>20.416058394160583</v>
      </c>
      <c r="S37" s="137">
        <f>IF(S35+R37&gt;99,R37,S35+R37)</f>
        <v>20.416058394160583</v>
      </c>
      <c r="T37" s="136">
        <f>VLOOKUP($B37,$AC$2:$AQ$68,10,FALSE)</f>
        <v>34.313868613138688</v>
      </c>
      <c r="U37" s="137">
        <f>IF(U35+T37&gt;99,T37,U35+T37)</f>
        <v>34.313868613138688</v>
      </c>
      <c r="V37" s="136">
        <f>VLOOKUP($B37,$AC$2:$AQ$68,11,FALSE)</f>
        <v>17.233576642335766</v>
      </c>
      <c r="W37" s="137">
        <f>IF(W35+V37&gt;99,V37,W35+V37)</f>
        <v>32.252684922590547</v>
      </c>
      <c r="X37" s="136">
        <f>VLOOKUP($B37,$AC$2:$AQ$68,12,FALSE)</f>
        <v>8.4160583941605847</v>
      </c>
      <c r="Y37" s="137">
        <f>IF(Y35+X37&gt;99,X37,Y35+X37)</f>
        <v>8.4160583941605847</v>
      </c>
      <c r="AC37" s="134" t="str">
        <f>Reglages!CA37</f>
        <v>Monte Carlo</v>
      </c>
      <c r="AD37" s="135">
        <f>Reglages!CB37</f>
        <v>10.656626506024097</v>
      </c>
      <c r="AE37" s="135">
        <f>Reglages!CC37</f>
        <v>12.831325301204819</v>
      </c>
      <c r="AF37" s="135">
        <f>Reglages!CD37</f>
        <v>37.879518072289159</v>
      </c>
      <c r="AG37" s="135">
        <f>Reglages!CE37</f>
        <v>37.542168674698793</v>
      </c>
      <c r="AH37" s="135">
        <f>Reglages!CF37</f>
        <v>19.656626506024097</v>
      </c>
      <c r="AI37" s="135">
        <f>Reglages!CG37</f>
        <v>7.5662650602409638</v>
      </c>
      <c r="AJ37" s="135">
        <f>Reglages!CH37</f>
        <v>10.849397590361447</v>
      </c>
      <c r="AK37" s="135">
        <f>Reglages!CI37</f>
        <v>20.463855421686748</v>
      </c>
      <c r="AL37" s="135">
        <f>Reglages!CJ37</f>
        <v>33.578313253012048</v>
      </c>
      <c r="AM37" s="135">
        <f>Reglages!CK37</f>
        <v>26.58433734939759</v>
      </c>
      <c r="AN37" s="135">
        <f>Reglages!CL37</f>
        <v>9.4638554216867465</v>
      </c>
      <c r="AO37" s="134">
        <f>Reglages!CM37</f>
        <v>1.23</v>
      </c>
      <c r="AP37" s="134" t="str">
        <f>Reglages!CN37</f>
        <v>basse</v>
      </c>
      <c r="AQ37" s="134">
        <f>Reglages!CO37</f>
        <v>166</v>
      </c>
    </row>
    <row r="38" spans="2:43" ht="13.5" thickBot="1">
      <c r="B38" s="276"/>
      <c r="C38" s="272"/>
      <c r="D38" s="273">
        <f>D37+D36</f>
        <v>300.90790629839444</v>
      </c>
      <c r="E38" s="274"/>
      <c r="F38" s="273">
        <f>F37+F36</f>
        <v>446.89422607024187</v>
      </c>
      <c r="G38" s="274"/>
      <c r="H38" s="273">
        <f>H37+H36</f>
        <v>344.33167978524915</v>
      </c>
      <c r="I38" s="274"/>
      <c r="J38" s="273">
        <f>J37+J36</f>
        <v>363.00202796695282</v>
      </c>
      <c r="K38" s="274"/>
      <c r="L38" s="273">
        <f>L37+L36</f>
        <v>312.55283243626076</v>
      </c>
      <c r="M38" s="274"/>
      <c r="N38" s="273">
        <f>N37+N36</f>
        <v>223.6394693765138</v>
      </c>
      <c r="O38" s="274"/>
      <c r="P38" s="273">
        <f>P37+P36</f>
        <v>247.87371808528107</v>
      </c>
      <c r="Q38" s="274"/>
      <c r="R38" s="273">
        <f>R37+R36</f>
        <v>373.27951149999808</v>
      </c>
      <c r="S38" s="274"/>
      <c r="T38" s="273">
        <f>T37+T36</f>
        <v>504.77243332555605</v>
      </c>
      <c r="U38" s="274"/>
      <c r="V38" s="273">
        <f>V37+V36</f>
        <v>385.26691342334948</v>
      </c>
      <c r="W38" s="274"/>
      <c r="X38" s="273">
        <f>X37+X36</f>
        <v>193.53582528120512</v>
      </c>
      <c r="Y38" s="274"/>
      <c r="AC38" s="134" t="str">
        <f>Reglages!CA38</f>
        <v>Montreal</v>
      </c>
      <c r="AD38" s="135">
        <f>Reglages!CB38</f>
        <v>18.028571428571428</v>
      </c>
      <c r="AE38" s="135">
        <f>Reglages!CC38</f>
        <v>32.428571428571431</v>
      </c>
      <c r="AF38" s="135">
        <f>Reglages!CD38</f>
        <v>18.542857142857144</v>
      </c>
      <c r="AG38" s="135">
        <f>Reglages!CE38</f>
        <v>11.457142857142857</v>
      </c>
      <c r="AH38" s="135">
        <f>Reglages!CF38</f>
        <v>17.52</v>
      </c>
      <c r="AI38" s="135">
        <f>Reglages!CG38</f>
        <v>12.794285714285714</v>
      </c>
      <c r="AJ38" s="135">
        <f>Reglages!CH38</f>
        <v>9.2285714285714278</v>
      </c>
      <c r="AK38" s="135">
        <f>Reglages!CI38</f>
        <v>25.297142857142855</v>
      </c>
      <c r="AL38" s="135">
        <f>Reglages!CJ38</f>
        <v>34.125714285714288</v>
      </c>
      <c r="AM38" s="135">
        <f>Reglages!CK38</f>
        <v>30.114285714285714</v>
      </c>
      <c r="AN38" s="135">
        <f>Reglages!CL38</f>
        <v>9.2057142857142864</v>
      </c>
      <c r="AO38" s="134">
        <f>Reglages!CM38</f>
        <v>1.1499999999999999</v>
      </c>
      <c r="AP38" s="134" t="str">
        <f>Reglages!CN38</f>
        <v>moyen</v>
      </c>
      <c r="AQ38" s="134">
        <f>Reglages!CO38</f>
        <v>175</v>
      </c>
    </row>
    <row r="39" spans="2:43">
      <c r="B39" s="278"/>
      <c r="AC39" s="134" t="str">
        <f>Reglages!CA39</f>
        <v>Monza</v>
      </c>
      <c r="AD39" s="135">
        <f>Reglages!CB39</f>
        <v>19.748148148148147</v>
      </c>
      <c r="AE39" s="135">
        <f>Reglages!CC39</f>
        <v>38.214814814814815</v>
      </c>
      <c r="AF39" s="135">
        <f>Reglages!CD39</f>
        <v>13.02962962962963</v>
      </c>
      <c r="AG39" s="135">
        <f>Reglages!CE39</f>
        <v>9.9777777777777779</v>
      </c>
      <c r="AH39" s="135">
        <f>Reglages!CF39</f>
        <v>18.081481481481482</v>
      </c>
      <c r="AI39" s="135">
        <f>Reglages!CG39</f>
        <v>15.940740740740742</v>
      </c>
      <c r="AJ39" s="135">
        <f>Reglages!CH39</f>
        <v>12.266666666666667</v>
      </c>
      <c r="AK39" s="135">
        <f>Reglages!CI39</f>
        <v>28.125925925925927</v>
      </c>
      <c r="AL39" s="135">
        <f>Reglages!CJ39</f>
        <v>34.94814814814815</v>
      </c>
      <c r="AM39" s="135">
        <f>Reglages!CK39</f>
        <v>19.162962962962961</v>
      </c>
      <c r="AN39" s="135">
        <f>Reglages!CL39</f>
        <v>13.703703703703704</v>
      </c>
      <c r="AO39" s="134">
        <f>Reglages!CM39</f>
        <v>1.04</v>
      </c>
      <c r="AP39" s="134" t="str">
        <f>Reglages!CN39</f>
        <v>tres haute</v>
      </c>
      <c r="AQ39" s="134">
        <f>Reglages!CO39</f>
        <v>135</v>
      </c>
    </row>
    <row r="40" spans="2:43">
      <c r="B40" s="278"/>
      <c r="AC40" s="134" t="str">
        <f>Reglages!CA40</f>
        <v>Mugello</v>
      </c>
      <c r="AD40" s="135">
        <f>Reglages!CB40</f>
        <v>14.992700729927007</v>
      </c>
      <c r="AE40" s="135">
        <f>Reglages!CC40</f>
        <v>14.532846715328468</v>
      </c>
      <c r="AF40" s="135">
        <f>Reglages!CD40</f>
        <v>17.649635036496349</v>
      </c>
      <c r="AG40" s="135">
        <f>Reglages!CE40</f>
        <v>12.642335766423358</v>
      </c>
      <c r="AH40" s="135">
        <f>Reglages!CF40</f>
        <v>18.576642335766422</v>
      </c>
      <c r="AI40" s="135">
        <f>Reglages!CG40</f>
        <v>21.321167883211679</v>
      </c>
      <c r="AJ40" s="135">
        <f>Reglages!CH40</f>
        <v>22.394160583941606</v>
      </c>
      <c r="AK40" s="135">
        <f>Reglages!CI40</f>
        <v>24.554744525547445</v>
      </c>
      <c r="AL40" s="135">
        <f>Reglages!CJ40</f>
        <v>21.854014598540147</v>
      </c>
      <c r="AM40" s="135">
        <f>Reglages!CK40</f>
        <v>18.678832116788321</v>
      </c>
      <c r="AN40" s="135">
        <f>Reglages!CL40</f>
        <v>12.072992700729927</v>
      </c>
      <c r="AO40" s="134">
        <f>Reglages!CM40</f>
        <v>1.1499999999999999</v>
      </c>
      <c r="AP40" s="134" t="str">
        <f>Reglages!CN40</f>
        <v>moyen</v>
      </c>
      <c r="AQ40" s="134">
        <f>Reglages!CO40</f>
        <v>137</v>
      </c>
    </row>
    <row r="41" spans="2:43">
      <c r="F41" s="139"/>
      <c r="H41" s="139"/>
      <c r="J41" s="139"/>
      <c r="L41" s="139"/>
      <c r="T41" s="139"/>
      <c r="X41" s="139"/>
      <c r="AC41" s="134" t="str">
        <f>Reglages!CA41</f>
        <v>New Delhi</v>
      </c>
      <c r="AD41" s="135">
        <f>Reglages!CB41</f>
        <v>17.766304347826086</v>
      </c>
      <c r="AE41" s="135">
        <f>Reglages!CC41</f>
        <v>29.271739130434781</v>
      </c>
      <c r="AF41" s="135">
        <f>Reglages!CD41</f>
        <v>24.510869565217391</v>
      </c>
      <c r="AG41" s="135">
        <f>Reglages!CE41</f>
        <v>21.233695652173914</v>
      </c>
      <c r="AH41" s="135">
        <f>Reglages!CF41</f>
        <v>16.114130434782609</v>
      </c>
      <c r="AI41" s="135">
        <f>Reglages!CG41</f>
        <v>10.706521739130435</v>
      </c>
      <c r="AJ41" s="135">
        <f>Reglages!CH41</f>
        <v>13.760869565217391</v>
      </c>
      <c r="AK41" s="135">
        <f>Reglages!CI41</f>
        <v>21.646739130434781</v>
      </c>
      <c r="AL41" s="135">
        <f>Reglages!CJ41</f>
        <v>29.358695652173914</v>
      </c>
      <c r="AM41" s="135">
        <f>Reglages!CK41</f>
        <v>26.663043478260871</v>
      </c>
      <c r="AN41" s="135">
        <f>Reglages!CL41</f>
        <v>8.75</v>
      </c>
      <c r="AO41" s="134">
        <f>Reglages!CM41</f>
        <v>1.19</v>
      </c>
      <c r="AP41" s="134" t="str">
        <f>Reglages!CN41</f>
        <v>moyen</v>
      </c>
      <c r="AQ41" s="134">
        <f>Reglages!CO41</f>
        <v>184</v>
      </c>
    </row>
    <row r="42" spans="2:43">
      <c r="AC42" s="134" t="str">
        <f>Reglages!CA42</f>
        <v>Nurburgring</v>
      </c>
      <c r="AD42" s="135">
        <f>Reglages!CB42</f>
        <v>20.968085106382979</v>
      </c>
      <c r="AE42" s="135">
        <f>Reglages!CC42</f>
        <v>31.797872340425531</v>
      </c>
      <c r="AF42" s="135">
        <f>Reglages!CD42</f>
        <v>17.74468085106383</v>
      </c>
      <c r="AG42" s="135">
        <f>Reglages!CE42</f>
        <v>23.382978723404257</v>
      </c>
      <c r="AH42" s="135">
        <f>Reglages!CF42</f>
        <v>19.946808510638299</v>
      </c>
      <c r="AI42" s="135">
        <f>Reglages!CG42</f>
        <v>11.095744680851064</v>
      </c>
      <c r="AJ42" s="135">
        <f>Reglages!CH42</f>
        <v>11.627659574468085</v>
      </c>
      <c r="AK42" s="135">
        <f>Reglages!CI42</f>
        <v>20.627659574468087</v>
      </c>
      <c r="AL42" s="135">
        <f>Reglages!CJ42</f>
        <v>33.882978723404257</v>
      </c>
      <c r="AM42" s="135">
        <f>Reglages!CK42</f>
        <v>31.042553191489361</v>
      </c>
      <c r="AN42" s="135">
        <f>Reglages!CL42</f>
        <v>7.9680851063829783</v>
      </c>
      <c r="AO42" s="134">
        <f>Reglages!CM42</f>
        <v>1.3049999999999999</v>
      </c>
      <c r="AP42" s="134" t="str">
        <f>Reglages!CN42</f>
        <v>tres basse</v>
      </c>
      <c r="AQ42" s="134">
        <f>Reglages!CO42</f>
        <v>94</v>
      </c>
    </row>
    <row r="43" spans="2:43">
      <c r="AC43" s="134" t="str">
        <f>Reglages!CA43</f>
        <v>Oesterreichring</v>
      </c>
      <c r="AD43" s="135">
        <f>Reglages!CB43</f>
        <v>14.4921875</v>
      </c>
      <c r="AE43" s="135">
        <f>Reglages!CC43</f>
        <v>31.7109375</v>
      </c>
      <c r="AF43" s="135">
        <f>Reglages!CD43</f>
        <v>17.9609375</v>
      </c>
      <c r="AG43" s="135">
        <f>Reglages!CE43</f>
        <v>20.6171875</v>
      </c>
      <c r="AH43" s="135">
        <f>Reglages!CF43</f>
        <v>15.8046875</v>
      </c>
      <c r="AI43" s="135">
        <f>Reglages!CG43</f>
        <v>13.4140625</v>
      </c>
      <c r="AJ43" s="135">
        <f>Reglages!CH43</f>
        <v>15.34375</v>
      </c>
      <c r="AK43" s="135">
        <f>Reglages!CI43</f>
        <v>17.5625</v>
      </c>
      <c r="AL43" s="135">
        <f>Reglages!CJ43</f>
        <v>24.7734375</v>
      </c>
      <c r="AM43" s="135">
        <f>Reglages!CK43</f>
        <v>15.25</v>
      </c>
      <c r="AN43" s="135">
        <f>Reglages!CL43</f>
        <v>9.0234375</v>
      </c>
      <c r="AO43" s="134">
        <f>Reglages!CM43</f>
        <v>1.1200000000000001</v>
      </c>
      <c r="AP43" s="134" t="str">
        <f>Reglages!CN43</f>
        <v>haute</v>
      </c>
      <c r="AQ43" s="134">
        <f>Reglages!CO43</f>
        <v>128</v>
      </c>
    </row>
    <row r="44" spans="2:43">
      <c r="AC44" s="134" t="str">
        <f>Reglages!CA44</f>
        <v>Paul Ricard</v>
      </c>
      <c r="AD44" s="135">
        <f>Reglages!CB44</f>
        <v>18.233576642335766</v>
      </c>
      <c r="AE44" s="135">
        <f>Reglages!CC44</f>
        <v>40.642335766423358</v>
      </c>
      <c r="AF44" s="135">
        <f>Reglages!CD44</f>
        <v>18.832116788321169</v>
      </c>
      <c r="AG44" s="135">
        <f>Reglages!CE44</f>
        <v>24.072992700729927</v>
      </c>
      <c r="AH44" s="135">
        <f>Reglages!CF44</f>
        <v>21.883211678832115</v>
      </c>
      <c r="AI44" s="135">
        <f>Reglages!CG44</f>
        <v>11.014598540145986</v>
      </c>
      <c r="AJ44" s="135">
        <f>Reglages!CH44</f>
        <v>13.204379562043796</v>
      </c>
      <c r="AK44" s="135">
        <f>Reglages!CI44</f>
        <v>20.416058394160583</v>
      </c>
      <c r="AL44" s="135">
        <f>Reglages!CJ44</f>
        <v>34.313868613138688</v>
      </c>
      <c r="AM44" s="135">
        <f>Reglages!CK44</f>
        <v>17.233576642335766</v>
      </c>
      <c r="AN44" s="135">
        <f>Reglages!CL44</f>
        <v>8.4160583941605847</v>
      </c>
      <c r="AO44" s="134">
        <f>Reglages!CM44</f>
        <v>1.07</v>
      </c>
      <c r="AP44" s="134" t="str">
        <f>Reglages!CN44</f>
        <v>haute</v>
      </c>
      <c r="AQ44" s="134">
        <f>Reglages!CO44</f>
        <v>137</v>
      </c>
    </row>
    <row r="45" spans="2:43">
      <c r="AC45" s="134" t="str">
        <f>Reglages!CA45</f>
        <v>Portimao</v>
      </c>
      <c r="AD45" s="135">
        <f>Reglages!CB45</f>
        <v>16.312101910828027</v>
      </c>
      <c r="AE45" s="135">
        <f>Reglages!CC45</f>
        <v>15.127388535031848</v>
      </c>
      <c r="AF45" s="135">
        <f>Reglages!CD45</f>
        <v>16.210191082802549</v>
      </c>
      <c r="AG45" s="135">
        <f>Reglages!CE45</f>
        <v>17.681528662420384</v>
      </c>
      <c r="AH45" s="135">
        <f>Reglages!CF45</f>
        <v>31.535031847133759</v>
      </c>
      <c r="AI45" s="135">
        <f>Reglages!CG45</f>
        <v>15.165605095541402</v>
      </c>
      <c r="AJ45" s="135">
        <f>Reglages!CH45</f>
        <v>14.777070063694268</v>
      </c>
      <c r="AK45" s="135">
        <f>Reglages!CI45</f>
        <v>15.286624203821656</v>
      </c>
      <c r="AL45" s="135">
        <f>Reglages!CJ45</f>
        <v>22.477707006369428</v>
      </c>
      <c r="AM45" s="135">
        <f>Reglages!CK45</f>
        <v>33.337579617834393</v>
      </c>
      <c r="AN45" s="135">
        <f>Reglages!CL45</f>
        <v>12.382165605095542</v>
      </c>
      <c r="AO45" s="134">
        <f>Reglages!CM45</f>
        <v>1.18</v>
      </c>
      <c r="AP45" s="134" t="str">
        <f>Reglages!CN45</f>
        <v>moyen</v>
      </c>
      <c r="AQ45" s="134">
        <f>Reglages!CO45</f>
        <v>157</v>
      </c>
    </row>
    <row r="46" spans="2:43">
      <c r="AC46" s="134" t="str">
        <f>Reglages!CA46</f>
        <v>Poznan</v>
      </c>
      <c r="AD46" s="135">
        <f>Reglages!CB46</f>
        <v>19.274999999999999</v>
      </c>
      <c r="AE46" s="135">
        <f>Reglages!CC46</f>
        <v>27.308333333333334</v>
      </c>
      <c r="AF46" s="135">
        <f>Reglages!CD46</f>
        <v>22.625</v>
      </c>
      <c r="AG46" s="135">
        <f>Reglages!CE46</f>
        <v>26.908333333333335</v>
      </c>
      <c r="AH46" s="135">
        <f>Reglages!CF46</f>
        <v>23.691666666666666</v>
      </c>
      <c r="AI46" s="135">
        <f>Reglages!CG46</f>
        <v>19.475000000000001</v>
      </c>
      <c r="AJ46" s="135">
        <f>Reglages!CH46</f>
        <v>16.875</v>
      </c>
      <c r="AK46" s="135">
        <f>Reglages!CI46</f>
        <v>20.125</v>
      </c>
      <c r="AL46" s="135">
        <f>Reglages!CJ46</f>
        <v>21.375</v>
      </c>
      <c r="AM46" s="135">
        <f>Reglages!CK46</f>
        <v>17.225000000000001</v>
      </c>
      <c r="AN46" s="135">
        <f>Reglages!CL46</f>
        <v>14.516666666666667</v>
      </c>
      <c r="AO46" s="134">
        <f>Reglages!CM46</f>
        <v>1.23</v>
      </c>
      <c r="AP46" s="134" t="str">
        <f>Reglages!CN46</f>
        <v>basse</v>
      </c>
      <c r="AQ46" s="134">
        <f>Reglages!CO46</f>
        <v>120</v>
      </c>
    </row>
    <row r="47" spans="2:43">
      <c r="AC47" s="134" t="str">
        <f>Reglages!CA47</f>
        <v>Rafaela Oval</v>
      </c>
      <c r="AD47" s="135">
        <f>Reglages!CB47</f>
        <v>15.862068965517242</v>
      </c>
      <c r="AE47" s="135">
        <f>Reglages!CC47</f>
        <v>58.78448275862069</v>
      </c>
      <c r="AF47" s="135">
        <f>Reglages!CD47</f>
        <v>8.9396551724137936</v>
      </c>
      <c r="AG47" s="135">
        <f>Reglages!CE47</f>
        <v>10.586206896551724</v>
      </c>
      <c r="AH47" s="135">
        <f>Reglages!CF47</f>
        <v>19.603448275862068</v>
      </c>
      <c r="AI47" s="135">
        <f>Reglages!CG47</f>
        <v>11.181034482758621</v>
      </c>
      <c r="AJ47" s="135">
        <f>Reglages!CH47</f>
        <v>15.043103448275861</v>
      </c>
      <c r="AK47" s="135">
        <f>Reglages!CI47</f>
        <v>16.767241379310345</v>
      </c>
      <c r="AL47" s="135">
        <f>Reglages!CJ47</f>
        <v>16.043103448275861</v>
      </c>
      <c r="AM47" s="135">
        <f>Reglages!CK47</f>
        <v>23.431034482758619</v>
      </c>
      <c r="AN47" s="135">
        <f>Reglages!CL47</f>
        <v>11.258620689655173</v>
      </c>
      <c r="AO47" s="134">
        <f>Reglages!CM47</f>
        <v>1.0375000000000001</v>
      </c>
      <c r="AP47" s="134" t="str">
        <f>Reglages!CN47</f>
        <v>tres haute</v>
      </c>
      <c r="AQ47" s="134">
        <f>Reglages!CO47</f>
        <v>116</v>
      </c>
    </row>
    <row r="48" spans="2:43">
      <c r="AC48" s="134" t="str">
        <f>Reglages!CA48</f>
        <v>Sakhir</v>
      </c>
      <c r="AD48" s="135">
        <f>Reglages!CB48</f>
        <v>18.856249999999999</v>
      </c>
      <c r="AE48" s="135">
        <f>Reglages!CC48</f>
        <v>41.287500000000001</v>
      </c>
      <c r="AF48" s="135">
        <f>Reglages!CD48</f>
        <v>22.331250000000001</v>
      </c>
      <c r="AG48" s="135">
        <f>Reglages!CE48</f>
        <v>17.45</v>
      </c>
      <c r="AH48" s="135">
        <f>Reglages!CF48</f>
        <v>17.606249999999999</v>
      </c>
      <c r="AI48" s="135">
        <f>Reglages!CG48</f>
        <v>21.293749999999999</v>
      </c>
      <c r="AJ48" s="135">
        <f>Reglages!CH48</f>
        <v>24.318750000000001</v>
      </c>
      <c r="AK48" s="135">
        <f>Reglages!CI48</f>
        <v>20.631250000000001</v>
      </c>
      <c r="AL48" s="135">
        <f>Reglages!CJ48</f>
        <v>23.756250000000001</v>
      </c>
      <c r="AM48" s="135">
        <f>Reglages!CK48</f>
        <v>24.3</v>
      </c>
      <c r="AN48" s="135">
        <f>Reglages!CL48</f>
        <v>11.9625</v>
      </c>
      <c r="AO48" s="134">
        <f>Reglages!CM48</f>
        <v>1.0345</v>
      </c>
      <c r="AP48" s="134" t="str">
        <f>Reglages!CN48</f>
        <v>tres haute</v>
      </c>
      <c r="AQ48" s="134">
        <f>Reglages!CO48</f>
        <v>160</v>
      </c>
    </row>
    <row r="49" spans="29:43">
      <c r="AC49" s="134" t="str">
        <f>Reglages!CA49</f>
        <v>Sepang</v>
      </c>
      <c r="AD49" s="135">
        <f>Reglages!CB49</f>
        <v>16.828125</v>
      </c>
      <c r="AE49" s="135">
        <f>Reglages!CC49</f>
        <v>31.130208333333332</v>
      </c>
      <c r="AF49" s="135">
        <f>Reglages!CD49</f>
        <v>21.947916666666668</v>
      </c>
      <c r="AG49" s="135">
        <f>Reglages!CE49</f>
        <v>17.567708333333332</v>
      </c>
      <c r="AH49" s="135">
        <f>Reglages!CF49</f>
        <v>22.270833333333332</v>
      </c>
      <c r="AI49" s="135">
        <f>Reglages!CG49</f>
        <v>12.203125</v>
      </c>
      <c r="AJ49" s="135">
        <f>Reglages!CH49</f>
        <v>21.802083333333332</v>
      </c>
      <c r="AK49" s="135">
        <f>Reglages!CI49</f>
        <v>24.802083333333332</v>
      </c>
      <c r="AL49" s="135">
        <f>Reglages!CJ49</f>
        <v>28.791666666666668</v>
      </c>
      <c r="AM49" s="135">
        <f>Reglages!CK49</f>
        <v>17.208333333333332</v>
      </c>
      <c r="AN49" s="135">
        <f>Reglages!CL49</f>
        <v>12.6875</v>
      </c>
      <c r="AO49" s="134">
        <f>Reglages!CM49</f>
        <v>1.1850000000000001</v>
      </c>
      <c r="AP49" s="134" t="str">
        <f>Reglages!CN49</f>
        <v>moyen</v>
      </c>
      <c r="AQ49" s="134">
        <f>Reglages!CO49</f>
        <v>192</v>
      </c>
    </row>
    <row r="50" spans="29:43">
      <c r="AC50" s="134" t="str">
        <f>Reglages!CA50</f>
        <v>Serres</v>
      </c>
      <c r="AD50" s="135">
        <f>Reglages!CB50</f>
        <v>16.318181818181817</v>
      </c>
      <c r="AE50" s="135">
        <f>Reglages!CC50</f>
        <v>20.424242424242426</v>
      </c>
      <c r="AF50" s="135">
        <f>Reglages!CD50</f>
        <v>16.371212121212121</v>
      </c>
      <c r="AG50" s="135">
        <f>Reglages!CE50</f>
        <v>18.053030303030305</v>
      </c>
      <c r="AH50" s="135">
        <f>Reglages!CF50</f>
        <v>15.840909090909092</v>
      </c>
      <c r="AI50" s="135">
        <f>Reglages!CG50</f>
        <v>13.113636363636363</v>
      </c>
      <c r="AJ50" s="135">
        <f>Reglages!CH50</f>
        <v>15.696969696969697</v>
      </c>
      <c r="AK50" s="135">
        <f>Reglages!CI50</f>
        <v>22.515151515151516</v>
      </c>
      <c r="AL50" s="135">
        <f>Reglages!CJ50</f>
        <v>19.189393939393938</v>
      </c>
      <c r="AM50" s="135">
        <f>Reglages!CK50</f>
        <v>19.727272727272727</v>
      </c>
      <c r="AN50" s="135">
        <f>Reglages!CL50</f>
        <v>13.674242424242424</v>
      </c>
      <c r="AO50" s="134">
        <f>Reglages!CM50</f>
        <v>1.18</v>
      </c>
      <c r="AP50" s="134" t="str">
        <f>Reglages!CN50</f>
        <v>moyen</v>
      </c>
      <c r="AQ50" s="134">
        <f>Reglages!CO50</f>
        <v>132</v>
      </c>
    </row>
    <row r="51" spans="29:43">
      <c r="AC51" s="134" t="str">
        <f>Reglages!CA51</f>
        <v>Shanghai</v>
      </c>
      <c r="AD51" s="135">
        <f>Reglages!CB51</f>
        <v>13.50609756097561</v>
      </c>
      <c r="AE51" s="135">
        <f>Reglages!CC51</f>
        <v>38.292682926829265</v>
      </c>
      <c r="AF51" s="135">
        <f>Reglages!CD51</f>
        <v>22.402439024390244</v>
      </c>
      <c r="AG51" s="135">
        <f>Reglages!CE51</f>
        <v>25.652439024390244</v>
      </c>
      <c r="AH51" s="135">
        <f>Reglages!CF51</f>
        <v>22.792682926829269</v>
      </c>
      <c r="AI51" s="135">
        <f>Reglages!CG51</f>
        <v>18.341463414634145</v>
      </c>
      <c r="AJ51" s="135">
        <f>Reglages!CH51</f>
        <v>17.5</v>
      </c>
      <c r="AK51" s="135">
        <f>Reglages!CI51</f>
        <v>25.164634146341463</v>
      </c>
      <c r="AL51" s="135">
        <f>Reglages!CJ51</f>
        <v>28.810975609756099</v>
      </c>
      <c r="AM51" s="135">
        <f>Reglages!CK51</f>
        <v>31.743902439024389</v>
      </c>
      <c r="AN51" s="135">
        <f>Reglages!CL51</f>
        <v>12.378048780487806</v>
      </c>
      <c r="AO51" s="134">
        <f>Reglages!CM51</f>
        <v>1.0149999999999999</v>
      </c>
      <c r="AP51" s="134" t="str">
        <f>Reglages!CN51</f>
        <v>tres haute</v>
      </c>
      <c r="AQ51" s="134">
        <f>Reglages!CO51</f>
        <v>164</v>
      </c>
    </row>
    <row r="52" spans="29:43">
      <c r="AC52" s="134" t="str">
        <f>Reglages!CA52</f>
        <v>Silverstone</v>
      </c>
      <c r="AD52" s="135">
        <f>Reglages!CB52</f>
        <v>17.01418439716312</v>
      </c>
      <c r="AE52" s="135">
        <f>Reglages!CC52</f>
        <v>35.560283687943262</v>
      </c>
      <c r="AF52" s="135">
        <f>Reglages!CD52</f>
        <v>14.829787234042554</v>
      </c>
      <c r="AG52" s="135">
        <f>Reglages!CE52</f>
        <v>17.929078014184398</v>
      </c>
      <c r="AH52" s="135">
        <f>Reglages!CF52</f>
        <v>19.390070921985817</v>
      </c>
      <c r="AI52" s="135">
        <f>Reglages!CG52</f>
        <v>11.695035460992909</v>
      </c>
      <c r="AJ52" s="135">
        <f>Reglages!CH52</f>
        <v>11.652482269503546</v>
      </c>
      <c r="AK52" s="135">
        <f>Reglages!CI52</f>
        <v>25.269503546099291</v>
      </c>
      <c r="AL52" s="135">
        <f>Reglages!CJ52</f>
        <v>18.26241134751773</v>
      </c>
      <c r="AM52" s="135">
        <f>Reglages!CK52</f>
        <v>15.070921985815604</v>
      </c>
      <c r="AN52" s="135">
        <f>Reglages!CL52</f>
        <v>8.8581560283687946</v>
      </c>
      <c r="AO52" s="134">
        <f>Reglages!CM52</f>
        <v>1.1200000000000001</v>
      </c>
      <c r="AP52" s="134" t="str">
        <f>Reglages!CN52</f>
        <v>haute</v>
      </c>
      <c r="AQ52" s="134">
        <f>Reglages!CO52</f>
        <v>141</v>
      </c>
    </row>
    <row r="53" spans="29:43">
      <c r="AC53" s="134" t="str">
        <f>Reglages!CA53</f>
        <v>Singapore</v>
      </c>
      <c r="AD53" s="135">
        <f>Reglages!CB53</f>
        <v>19.08839779005525</v>
      </c>
      <c r="AE53" s="135">
        <f>Reglages!CC53</f>
        <v>14.502762430939226</v>
      </c>
      <c r="AF53" s="135">
        <f>Reglages!CD53</f>
        <v>22.740331491712706</v>
      </c>
      <c r="AG53" s="135">
        <f>Reglages!CE53</f>
        <v>19.939226519337016</v>
      </c>
      <c r="AH53" s="135">
        <f>Reglages!CF53</f>
        <v>22.425414364640883</v>
      </c>
      <c r="AI53" s="135">
        <f>Reglages!CG53</f>
        <v>15.6353591160221</v>
      </c>
      <c r="AJ53" s="135">
        <f>Reglages!CH53</f>
        <v>19.055248618784532</v>
      </c>
      <c r="AK53" s="135">
        <f>Reglages!CI53</f>
        <v>18.745856353591162</v>
      </c>
      <c r="AL53" s="135">
        <f>Reglages!CJ53</f>
        <v>28.928176795580111</v>
      </c>
      <c r="AM53" s="135">
        <f>Reglages!CK53</f>
        <v>17.546961325966851</v>
      </c>
      <c r="AN53" s="135">
        <f>Reglages!CL53</f>
        <v>17.077348066298342</v>
      </c>
      <c r="AO53" s="134">
        <f>Reglages!CM53</f>
        <v>1.17</v>
      </c>
      <c r="AP53" s="134" t="str">
        <f>Reglages!CN53</f>
        <v>moyen</v>
      </c>
      <c r="AQ53" s="134">
        <f>Reglages!CO53</f>
        <v>181</v>
      </c>
    </row>
    <row r="54" spans="29:43">
      <c r="AC54" s="134" t="str">
        <f>Reglages!CA54</f>
        <v>Slovakiaring</v>
      </c>
      <c r="AD54" s="135">
        <f>Reglages!CB54</f>
        <v>13.291338582677165</v>
      </c>
      <c r="AE54" s="135">
        <f>Reglages!CC54</f>
        <v>30.275590551181104</v>
      </c>
      <c r="AF54" s="135">
        <f>Reglages!CD54</f>
        <v>15.803149606299213</v>
      </c>
      <c r="AG54" s="135">
        <f>Reglages!CE54</f>
        <v>18.023622047244096</v>
      </c>
      <c r="AH54" s="135">
        <f>Reglages!CF54</f>
        <v>23.944881889763778</v>
      </c>
      <c r="AI54" s="135">
        <f>Reglages!CG54</f>
        <v>11.5748031496063</v>
      </c>
      <c r="AJ54" s="135">
        <f>Reglages!CH54</f>
        <v>10.102362204724409</v>
      </c>
      <c r="AK54" s="135">
        <f>Reglages!CI54</f>
        <v>28.724409448818896</v>
      </c>
      <c r="AL54" s="135">
        <f>Reglages!CJ54</f>
        <v>19.346456692913385</v>
      </c>
      <c r="AM54" s="135">
        <f>Reglages!CK54</f>
        <v>25.929133858267715</v>
      </c>
      <c r="AN54" s="135">
        <f>Reglages!CL54</f>
        <v>9.6929133858267722</v>
      </c>
      <c r="AO54" s="134">
        <f>Reglages!CM54</f>
        <v>1.1100000000000001</v>
      </c>
      <c r="AP54" s="134" t="str">
        <f>Reglages!CN54</f>
        <v>haute</v>
      </c>
      <c r="AQ54" s="134">
        <f>Reglages!CO54</f>
        <v>127</v>
      </c>
    </row>
    <row r="55" spans="29:43">
      <c r="AC55" s="134" t="str">
        <f>Reglages!CA55</f>
        <v>Sochi</v>
      </c>
      <c r="AD55" s="135">
        <f>Reglages!CB55</f>
        <v>13.408450704225352</v>
      </c>
      <c r="AE55" s="135">
        <f>Reglages!CC55</f>
        <v>29.901408450704224</v>
      </c>
      <c r="AF55" s="135">
        <f>Reglages!CD55</f>
        <v>17.323943661971832</v>
      </c>
      <c r="AG55" s="135">
        <f>Reglages!CE55</f>
        <v>16.746478873239436</v>
      </c>
      <c r="AH55" s="135">
        <f>Reglages!CF55</f>
        <v>16.295774647887324</v>
      </c>
      <c r="AI55" s="135">
        <f>Reglages!CG55</f>
        <v>10.091549295774648</v>
      </c>
      <c r="AJ55" s="135">
        <f>Reglages!CH55</f>
        <v>12.429577464788732</v>
      </c>
      <c r="AK55" s="135">
        <f>Reglages!CI55</f>
        <v>19.612676056338028</v>
      </c>
      <c r="AL55" s="135">
        <f>Reglages!CJ55</f>
        <v>26.464788732394368</v>
      </c>
      <c r="AM55" s="135">
        <f>Reglages!CK55</f>
        <v>13.908450704225352</v>
      </c>
      <c r="AN55" s="135">
        <f>Reglages!CL55</f>
        <v>10.661971830985916</v>
      </c>
      <c r="AO55" s="134">
        <f>Reglages!CM55</f>
        <v>1.23</v>
      </c>
      <c r="AP55" s="134" t="str">
        <f>Reglages!CN55</f>
        <v>basse</v>
      </c>
      <c r="AQ55" s="134">
        <f>Reglages!CO55</f>
        <v>142</v>
      </c>
    </row>
    <row r="56" spans="29:43">
      <c r="AC56" s="134" t="str">
        <f>Reglages!CA56</f>
        <v>Spa</v>
      </c>
      <c r="AD56" s="135">
        <f>Reglages!CB56</f>
        <v>18.686274509803923</v>
      </c>
      <c r="AE56" s="135">
        <f>Reglages!CC56</f>
        <v>34.401960784313722</v>
      </c>
      <c r="AF56" s="135">
        <f>Reglages!CD56</f>
        <v>18.205882352941178</v>
      </c>
      <c r="AG56" s="135">
        <f>Reglages!CE56</f>
        <v>21.009803921568629</v>
      </c>
      <c r="AH56" s="135">
        <f>Reglages!CF56</f>
        <v>21.470588235294116</v>
      </c>
      <c r="AI56" s="135">
        <f>Reglages!CG56</f>
        <v>13.284313725490197</v>
      </c>
      <c r="AJ56" s="135">
        <f>Reglages!CH56</f>
        <v>11.303921568627452</v>
      </c>
      <c r="AK56" s="135">
        <f>Reglages!CI56</f>
        <v>25.637254901960784</v>
      </c>
      <c r="AL56" s="135">
        <f>Reglages!CJ56</f>
        <v>28.588235294117649</v>
      </c>
      <c r="AM56" s="135">
        <f>Reglages!CK56</f>
        <v>32.235294117647058</v>
      </c>
      <c r="AN56" s="135">
        <f>Reglages!CL56</f>
        <v>10.666666666666666</v>
      </c>
      <c r="AO56" s="134">
        <f>Reglages!CM56</f>
        <v>1.1000000000000001</v>
      </c>
      <c r="AP56" s="134" t="str">
        <f>Reglages!CN56</f>
        <v>haute</v>
      </c>
      <c r="AQ56" s="134">
        <f>Reglages!CO56</f>
        <v>102</v>
      </c>
    </row>
    <row r="57" spans="29:43">
      <c r="AC57" s="134" t="str">
        <f>Reglages!CA57</f>
        <v>Suzuka</v>
      </c>
      <c r="AD57" s="135">
        <f>Reglages!CB57</f>
        <v>11.537142857142857</v>
      </c>
      <c r="AE57" s="135">
        <f>Reglages!CC57</f>
        <v>21.92</v>
      </c>
      <c r="AF57" s="135">
        <f>Reglages!CD57</f>
        <v>14.445714285714285</v>
      </c>
      <c r="AG57" s="135">
        <f>Reglages!CE57</f>
        <v>18.857142857142858</v>
      </c>
      <c r="AH57" s="135">
        <f>Reglages!CF57</f>
        <v>15.497142857142856</v>
      </c>
      <c r="AI57" s="135">
        <f>Reglages!CG57</f>
        <v>10.154285714285715</v>
      </c>
      <c r="AJ57" s="135">
        <f>Reglages!CH57</f>
        <v>9.5428571428571427</v>
      </c>
      <c r="AK57" s="135">
        <f>Reglages!CI57</f>
        <v>24.194285714285716</v>
      </c>
      <c r="AL57" s="135">
        <f>Reglages!CJ57</f>
        <v>18.685714285714287</v>
      </c>
      <c r="AM57" s="135">
        <f>Reglages!CK57</f>
        <v>21.457142857142856</v>
      </c>
      <c r="AN57" s="135">
        <f>Reglages!CL57</f>
        <v>10.125714285714286</v>
      </c>
      <c r="AO57" s="134">
        <f>Reglages!CM57</f>
        <v>1.145</v>
      </c>
      <c r="AP57" s="134" t="str">
        <f>Reglages!CN57</f>
        <v>moyen</v>
      </c>
      <c r="AQ57" s="134">
        <f>Reglages!CO57</f>
        <v>175</v>
      </c>
    </row>
    <row r="58" spans="29:43">
      <c r="AC58" s="134" t="str">
        <f>Reglages!CA58</f>
        <v>Valencia</v>
      </c>
      <c r="AD58" s="135">
        <f>Reglages!CB58</f>
        <v>17.645669291338582</v>
      </c>
      <c r="AE58" s="135">
        <f>Reglages!CC58</f>
        <v>17.960629921259841</v>
      </c>
      <c r="AF58" s="135">
        <f>Reglages!CD58</f>
        <v>30.440944881889763</v>
      </c>
      <c r="AG58" s="135">
        <f>Reglages!CE58</f>
        <v>30.464566929133859</v>
      </c>
      <c r="AH58" s="135">
        <f>Reglages!CF58</f>
        <v>14.716535433070867</v>
      </c>
      <c r="AI58" s="135">
        <f>Reglages!CG58</f>
        <v>21.228346456692915</v>
      </c>
      <c r="AJ58" s="135">
        <f>Reglages!CH58</f>
        <v>11.094488188976378</v>
      </c>
      <c r="AK58" s="135">
        <f>Reglages!CI58</f>
        <v>17.464566929133859</v>
      </c>
      <c r="AL58" s="135">
        <f>Reglages!CJ58</f>
        <v>20.811023622047244</v>
      </c>
      <c r="AM58" s="135">
        <f>Reglages!CK58</f>
        <v>24.007874015748033</v>
      </c>
      <c r="AN58" s="135">
        <f>Reglages!CL58</f>
        <v>14.590551181102363</v>
      </c>
      <c r="AO58" s="134">
        <f>Reglages!CM58</f>
        <v>1.19</v>
      </c>
      <c r="AP58" s="134" t="str">
        <f>Reglages!CN58</f>
        <v>moyen</v>
      </c>
      <c r="AQ58" s="134">
        <f>Reglages!CO58</f>
        <v>127</v>
      </c>
    </row>
    <row r="59" spans="29:43">
      <c r="AC59" s="134" t="str">
        <f>Reglages!CA59</f>
        <v>Yas Marina</v>
      </c>
      <c r="AD59" s="135">
        <f>Reglages!CB59</f>
        <v>15.085585585585585</v>
      </c>
      <c r="AE59" s="135">
        <f>Reglages!CC59</f>
        <v>10.27027027027027</v>
      </c>
      <c r="AF59" s="135">
        <f>Reglages!CD59</f>
        <v>23.225225225225227</v>
      </c>
      <c r="AG59" s="135">
        <f>Reglages!CE59</f>
        <v>26.536036036036037</v>
      </c>
      <c r="AH59" s="135">
        <f>Reglages!CF59</f>
        <v>18.86036036036036</v>
      </c>
      <c r="AI59" s="135">
        <f>Reglages!CG59</f>
        <v>14.225225225225225</v>
      </c>
      <c r="AJ59" s="135">
        <f>Reglages!CH59</f>
        <v>19.594594594594593</v>
      </c>
      <c r="AK59" s="135">
        <f>Reglages!CI59</f>
        <v>23.256756756756758</v>
      </c>
      <c r="AL59" s="135">
        <f>Reglages!CJ59</f>
        <v>26.63963963963964</v>
      </c>
      <c r="AM59" s="135">
        <f>Reglages!CK59</f>
        <v>19.995495495495497</v>
      </c>
      <c r="AN59" s="135">
        <f>Reglages!CL59</f>
        <v>14.22072072072072</v>
      </c>
      <c r="AO59" s="134">
        <f>Reglages!CM59</f>
        <v>1.24</v>
      </c>
      <c r="AP59" s="134" t="str">
        <f>Reglages!CN59</f>
        <v>basse</v>
      </c>
      <c r="AQ59" s="134">
        <f>Reglages!CO59</f>
        <v>222</v>
      </c>
    </row>
    <row r="60" spans="29:43">
      <c r="AC60" s="134" t="str">
        <f>Reglages!CA60</f>
        <v>Yeongam</v>
      </c>
      <c r="AD60" s="134">
        <f>Reglages!CB60</f>
        <v>18.70204081632653</v>
      </c>
      <c r="AE60" s="134">
        <f>Reglages!CC60</f>
        <v>28.759183673469387</v>
      </c>
      <c r="AF60" s="134">
        <f>Reglages!CD60</f>
        <v>19.693877551020407</v>
      </c>
      <c r="AG60" s="134">
        <f>Reglages!CE60</f>
        <v>21.844897959183672</v>
      </c>
      <c r="AH60" s="134">
        <f>Reglages!CF60</f>
        <v>13.685714285714285</v>
      </c>
      <c r="AI60" s="134">
        <f>Reglages!CG60</f>
        <v>14.771428571428572</v>
      </c>
      <c r="AJ60" s="134">
        <f>Reglages!CH60</f>
        <v>15.326530612244898</v>
      </c>
      <c r="AK60" s="134">
        <f>Reglages!CI60</f>
        <v>16.367346938775512</v>
      </c>
      <c r="AL60" s="134">
        <f>Reglages!CJ60</f>
        <v>21.33061224489796</v>
      </c>
      <c r="AM60" s="134">
        <f>Reglages!CK60</f>
        <v>18.216326530612246</v>
      </c>
      <c r="AN60" s="134">
        <f>Reglages!CL60</f>
        <v>12.538775510204081</v>
      </c>
      <c r="AO60" s="134">
        <f>Reglages!CM60</f>
        <v>1.18</v>
      </c>
      <c r="AP60" s="134" t="str">
        <f>Reglages!CN60</f>
        <v>moyen</v>
      </c>
      <c r="AQ60" s="134">
        <f>Reglages!CO60</f>
        <v>245</v>
      </c>
    </row>
    <row r="61" spans="29:43">
      <c r="AC61" s="134" t="str">
        <f>Reglages!CA61</f>
        <v>Zandvoort</v>
      </c>
      <c r="AD61" s="134">
        <f>Reglages!CB61</f>
        <v>26.704545454545453</v>
      </c>
      <c r="AE61" s="134">
        <f>Reglages!CC61</f>
        <v>43.340909090909093</v>
      </c>
      <c r="AF61" s="134">
        <f>Reglages!CD61</f>
        <v>32.136363636363633</v>
      </c>
      <c r="AG61" s="134">
        <f>Reglages!CE61</f>
        <v>25.556818181818183</v>
      </c>
      <c r="AH61" s="134">
        <f>Reglages!CF61</f>
        <v>22.727272727272727</v>
      </c>
      <c r="AI61" s="134">
        <f>Reglages!CG61</f>
        <v>19.420454545454547</v>
      </c>
      <c r="AJ61" s="134">
        <f>Reglages!CH61</f>
        <v>17.488636363636363</v>
      </c>
      <c r="AK61" s="134">
        <f>Reglages!CI61</f>
        <v>24.488636363636363</v>
      </c>
      <c r="AL61" s="134">
        <f>Reglages!CJ61</f>
        <v>46.238636363636367</v>
      </c>
      <c r="AM61" s="134">
        <f>Reglages!CK61</f>
        <v>36.43181818181818</v>
      </c>
      <c r="AN61" s="134">
        <f>Reglages!CL61</f>
        <v>15.431818181818182</v>
      </c>
      <c r="AO61" s="134">
        <f>Reglages!CM61</f>
        <v>1.22</v>
      </c>
      <c r="AP61" s="134" t="str">
        <f>Reglages!CN61</f>
        <v>basse</v>
      </c>
      <c r="AQ61" s="134">
        <f>Reglages!CO61</f>
        <v>88</v>
      </c>
    </row>
    <row r="62" spans="29:43">
      <c r="AC62" s="134" t="str">
        <f>Reglages!CA62</f>
        <v>Zolder</v>
      </c>
      <c r="AD62" s="134">
        <f>Reglages!CB62</f>
        <v>11.717948717948717</v>
      </c>
      <c r="AE62" s="134">
        <f>Reglages!CC62</f>
        <v>13.596153846153847</v>
      </c>
      <c r="AF62" s="134">
        <f>Reglages!CD62</f>
        <v>17.121794871794872</v>
      </c>
      <c r="AG62" s="134">
        <f>Reglages!CE62</f>
        <v>15.51923076923077</v>
      </c>
      <c r="AH62" s="134">
        <f>Reglages!CF62</f>
        <v>13.884615384615385</v>
      </c>
      <c r="AI62" s="134">
        <f>Reglages!CG62</f>
        <v>15.666666666666666</v>
      </c>
      <c r="AJ62" s="134">
        <f>Reglages!CH62</f>
        <v>14.416666666666666</v>
      </c>
      <c r="AK62" s="134">
        <f>Reglages!CI62</f>
        <v>27.166666666666668</v>
      </c>
      <c r="AL62" s="134">
        <f>Reglages!CJ62</f>
        <v>19.115384615384617</v>
      </c>
      <c r="AM62" s="134">
        <f>Reglages!CK62</f>
        <v>21.5</v>
      </c>
      <c r="AN62" s="134">
        <f>Reglages!CL62</f>
        <v>12.807692307692308</v>
      </c>
      <c r="AO62" s="134">
        <f>Reglages!CM62</f>
        <v>1.21</v>
      </c>
      <c r="AP62" s="134" t="str">
        <f>Reglages!CN62</f>
        <v>basse</v>
      </c>
      <c r="AQ62" s="134">
        <f>Reglages!CO62</f>
        <v>156</v>
      </c>
    </row>
    <row r="63" spans="29:43">
      <c r="AC63" s="134">
        <f>Reglages!CA63</f>
        <v>0</v>
      </c>
      <c r="AD63" s="134">
        <f>Reglages!CB63</f>
        <v>0</v>
      </c>
      <c r="AE63" s="134">
        <f>Reglages!CC63</f>
        <v>0</v>
      </c>
      <c r="AF63" s="134">
        <f>Reglages!CD63</f>
        <v>0</v>
      </c>
      <c r="AG63" s="134">
        <f>Reglages!CE63</f>
        <v>0</v>
      </c>
      <c r="AH63" s="134">
        <f>Reglages!CF63</f>
        <v>0</v>
      </c>
      <c r="AI63" s="134">
        <f>Reglages!CG63</f>
        <v>0</v>
      </c>
      <c r="AJ63" s="134">
        <f>Reglages!CH63</f>
        <v>0</v>
      </c>
      <c r="AK63" s="134">
        <f>Reglages!CI63</f>
        <v>0</v>
      </c>
      <c r="AL63" s="134">
        <f>Reglages!CJ63</f>
        <v>0</v>
      </c>
      <c r="AM63" s="134">
        <f>Reglages!CK63</f>
        <v>0</v>
      </c>
      <c r="AN63" s="134">
        <f>Reglages!CL63</f>
        <v>0</v>
      </c>
      <c r="AO63" s="134">
        <f>Reglages!CM63</f>
        <v>0</v>
      </c>
      <c r="AP63" s="134">
        <f>Reglages!CN63</f>
        <v>0</v>
      </c>
      <c r="AQ63" s="134">
        <f>Reglages!CO63</f>
        <v>0</v>
      </c>
    </row>
    <row r="64" spans="29:43">
      <c r="AC64" s="134">
        <f>Reglages!CA64</f>
        <v>0</v>
      </c>
      <c r="AD64" s="134">
        <f>Reglages!CB64</f>
        <v>0</v>
      </c>
      <c r="AE64" s="134">
        <f>Reglages!CC64</f>
        <v>0</v>
      </c>
      <c r="AF64" s="134">
        <f>Reglages!CD64</f>
        <v>0</v>
      </c>
      <c r="AG64" s="134">
        <f>Reglages!CE64</f>
        <v>0</v>
      </c>
      <c r="AH64" s="134">
        <f>Reglages!CF64</f>
        <v>0</v>
      </c>
      <c r="AI64" s="134">
        <f>Reglages!CG64</f>
        <v>0</v>
      </c>
      <c r="AJ64" s="134">
        <f>Reglages!CH64</f>
        <v>0</v>
      </c>
      <c r="AK64" s="134">
        <f>Reglages!CI64</f>
        <v>0</v>
      </c>
      <c r="AL64" s="134">
        <f>Reglages!CJ64</f>
        <v>0</v>
      </c>
      <c r="AM64" s="134">
        <f>Reglages!CK64</f>
        <v>0</v>
      </c>
      <c r="AN64" s="134">
        <f>Reglages!CL64</f>
        <v>0</v>
      </c>
      <c r="AO64" s="134">
        <f>Reglages!CM64</f>
        <v>0</v>
      </c>
      <c r="AP64" s="134">
        <f>Reglages!CN64</f>
        <v>0</v>
      </c>
      <c r="AQ64" s="134">
        <f>Reglages!CO64</f>
        <v>0</v>
      </c>
    </row>
    <row r="65" spans="29:43">
      <c r="AC65" s="134">
        <f>Reglages!CA65</f>
        <v>0</v>
      </c>
      <c r="AD65" s="134">
        <f>Reglages!CB65</f>
        <v>0</v>
      </c>
      <c r="AE65" s="134">
        <f>Reglages!CC65</f>
        <v>0</v>
      </c>
      <c r="AF65" s="134">
        <f>Reglages!CD65</f>
        <v>0</v>
      </c>
      <c r="AG65" s="134">
        <f>Reglages!CE65</f>
        <v>0</v>
      </c>
      <c r="AH65" s="134">
        <f>Reglages!CF65</f>
        <v>0</v>
      </c>
      <c r="AI65" s="134">
        <f>Reglages!CG65</f>
        <v>0</v>
      </c>
      <c r="AJ65" s="134">
        <f>Reglages!CH65</f>
        <v>0</v>
      </c>
      <c r="AK65" s="134">
        <f>Reglages!CI65</f>
        <v>0</v>
      </c>
      <c r="AL65" s="134">
        <f>Reglages!CJ65</f>
        <v>0</v>
      </c>
      <c r="AM65" s="134">
        <f>Reglages!CK65</f>
        <v>0</v>
      </c>
      <c r="AN65" s="134">
        <f>Reglages!CL65</f>
        <v>0</v>
      </c>
      <c r="AO65" s="134">
        <f>Reglages!CM65</f>
        <v>0</v>
      </c>
      <c r="AP65" s="134">
        <f>Reglages!CN65</f>
        <v>0</v>
      </c>
      <c r="AQ65" s="134">
        <f>Reglages!CO65</f>
        <v>0</v>
      </c>
    </row>
    <row r="66" spans="29:43">
      <c r="AC66" s="134">
        <f>Reglages!CA66</f>
        <v>0</v>
      </c>
      <c r="AD66" s="134">
        <f>Reglages!CB66</f>
        <v>0</v>
      </c>
      <c r="AE66" s="134">
        <f>Reglages!CC66</f>
        <v>0</v>
      </c>
      <c r="AF66" s="134">
        <f>Reglages!CD66</f>
        <v>0</v>
      </c>
      <c r="AG66" s="134">
        <f>Reglages!CE66</f>
        <v>0</v>
      </c>
      <c r="AH66" s="134">
        <f>Reglages!CF66</f>
        <v>0</v>
      </c>
      <c r="AI66" s="134">
        <f>Reglages!CG66</f>
        <v>0</v>
      </c>
      <c r="AJ66" s="134">
        <f>Reglages!CH66</f>
        <v>0</v>
      </c>
      <c r="AK66" s="134">
        <f>Reglages!CI66</f>
        <v>0</v>
      </c>
      <c r="AL66" s="134">
        <f>Reglages!CJ66</f>
        <v>0</v>
      </c>
      <c r="AM66" s="134">
        <f>Reglages!CK66</f>
        <v>0</v>
      </c>
      <c r="AN66" s="134">
        <f>Reglages!CL66</f>
        <v>0</v>
      </c>
      <c r="AO66" s="134">
        <f>Reglages!CM66</f>
        <v>0</v>
      </c>
      <c r="AP66" s="134">
        <f>Reglages!CN66</f>
        <v>0</v>
      </c>
      <c r="AQ66" s="134">
        <f>Reglages!CO66</f>
        <v>0</v>
      </c>
    </row>
    <row r="67" spans="29:43">
      <c r="AC67" s="134">
        <f>Reglages!CA67</f>
        <v>0</v>
      </c>
      <c r="AD67" s="134">
        <f>Reglages!CB67</f>
        <v>0</v>
      </c>
      <c r="AE67" s="134">
        <f>Reglages!CC67</f>
        <v>0</v>
      </c>
      <c r="AF67" s="134">
        <f>Reglages!CD67</f>
        <v>0</v>
      </c>
      <c r="AG67" s="134">
        <f>Reglages!CE67</f>
        <v>0</v>
      </c>
      <c r="AH67" s="134">
        <f>Reglages!CF67</f>
        <v>0</v>
      </c>
      <c r="AI67" s="134">
        <f>Reglages!CG67</f>
        <v>0</v>
      </c>
      <c r="AJ67" s="134">
        <f>Reglages!CH67</f>
        <v>0</v>
      </c>
      <c r="AK67" s="134">
        <f>Reglages!CI67</f>
        <v>0</v>
      </c>
      <c r="AL67" s="134">
        <f>Reglages!CJ67</f>
        <v>0</v>
      </c>
      <c r="AM67" s="134">
        <f>Reglages!CK67</f>
        <v>0</v>
      </c>
      <c r="AN67" s="134">
        <f>Reglages!CL67</f>
        <v>0</v>
      </c>
      <c r="AO67" s="134">
        <f>Reglages!CM67</f>
        <v>0</v>
      </c>
      <c r="AP67" s="134">
        <f>Reglages!CN67</f>
        <v>0</v>
      </c>
      <c r="AQ67" s="134">
        <f>Reglages!CO67</f>
        <v>0</v>
      </c>
    </row>
    <row r="68" spans="29:43">
      <c r="AC68" s="134">
        <f>Reglages!CA68</f>
        <v>0</v>
      </c>
      <c r="AD68" s="134">
        <f>Reglages!CB68</f>
        <v>0</v>
      </c>
      <c r="AE68" s="134">
        <f>Reglages!CC68</f>
        <v>0</v>
      </c>
      <c r="AF68" s="134">
        <f>Reglages!CD68</f>
        <v>0</v>
      </c>
      <c r="AG68" s="134">
        <f>Reglages!CE68</f>
        <v>0</v>
      </c>
      <c r="AH68" s="134">
        <f>Reglages!CF68</f>
        <v>0</v>
      </c>
      <c r="AI68" s="134">
        <f>Reglages!CG68</f>
        <v>0</v>
      </c>
      <c r="AJ68" s="134">
        <f>Reglages!CH68</f>
        <v>0</v>
      </c>
      <c r="AK68" s="134">
        <f>Reglages!CI68</f>
        <v>0</v>
      </c>
      <c r="AL68" s="134">
        <f>Reglages!CJ68</f>
        <v>0</v>
      </c>
      <c r="AM68" s="134">
        <f>Reglages!CK68</f>
        <v>0</v>
      </c>
      <c r="AN68" s="134">
        <f>Reglages!CL68</f>
        <v>0</v>
      </c>
      <c r="AO68" s="134">
        <f>Reglages!CM68</f>
        <v>0</v>
      </c>
      <c r="AP68" s="134">
        <f>Reglages!CN68</f>
        <v>0</v>
      </c>
      <c r="AQ68" s="134">
        <f>Reglages!CO68</f>
        <v>0</v>
      </c>
    </row>
    <row r="69" spans="29:43">
      <c r="AC69" s="134">
        <f>Reglages!CA69</f>
        <v>0</v>
      </c>
      <c r="AD69" s="134">
        <f>Reglages!CB69</f>
        <v>0</v>
      </c>
      <c r="AE69" s="134">
        <f>Reglages!CC69</f>
        <v>0</v>
      </c>
      <c r="AF69" s="134">
        <f>Reglages!CD69</f>
        <v>0</v>
      </c>
      <c r="AG69" s="134">
        <f>Reglages!CE69</f>
        <v>0</v>
      </c>
      <c r="AH69" s="134">
        <f>Reglages!CF69</f>
        <v>0</v>
      </c>
      <c r="AI69" s="134">
        <f>Reglages!CG69</f>
        <v>0</v>
      </c>
      <c r="AJ69" s="134">
        <f>Reglages!CH69</f>
        <v>0</v>
      </c>
      <c r="AK69" s="134">
        <f>Reglages!CI69</f>
        <v>0</v>
      </c>
      <c r="AL69" s="134">
        <f>Reglages!CJ69</f>
        <v>0</v>
      </c>
      <c r="AM69" s="134">
        <f>Reglages!CK69</f>
        <v>0</v>
      </c>
      <c r="AN69" s="134">
        <f>Reglages!CL69</f>
        <v>0</v>
      </c>
      <c r="AO69" s="134">
        <f>Reglages!CM69</f>
        <v>0</v>
      </c>
      <c r="AP69" s="134">
        <f>Reglages!CN69</f>
        <v>0</v>
      </c>
      <c r="AQ69" s="134">
        <f>Reglages!CO69</f>
        <v>0</v>
      </c>
    </row>
    <row r="70" spans="29:43">
      <c r="AC70" s="134">
        <f>Reglages!CA70</f>
        <v>0</v>
      </c>
      <c r="AD70" s="134">
        <f>Reglages!CB70</f>
        <v>0</v>
      </c>
      <c r="AE70" s="134">
        <f>Reglages!CC70</f>
        <v>0</v>
      </c>
      <c r="AF70" s="134">
        <f>Reglages!CD70</f>
        <v>0</v>
      </c>
      <c r="AG70" s="134">
        <f>Reglages!CE70</f>
        <v>0</v>
      </c>
      <c r="AH70" s="134">
        <f>Reglages!CF70</f>
        <v>0</v>
      </c>
      <c r="AI70" s="134">
        <f>Reglages!CG70</f>
        <v>0</v>
      </c>
      <c r="AJ70" s="134">
        <f>Reglages!CH70</f>
        <v>0</v>
      </c>
      <c r="AK70" s="134">
        <f>Reglages!CI70</f>
        <v>0</v>
      </c>
      <c r="AL70" s="134">
        <f>Reglages!CJ70</f>
        <v>0</v>
      </c>
      <c r="AM70" s="134">
        <f>Reglages!CK70</f>
        <v>0</v>
      </c>
      <c r="AN70" s="134">
        <f>Reglages!CL70</f>
        <v>0</v>
      </c>
      <c r="AO70" s="134">
        <f>Reglages!CM70</f>
        <v>0</v>
      </c>
      <c r="AP70" s="134">
        <f>Reglages!CN70</f>
        <v>0</v>
      </c>
      <c r="AQ70" s="134">
        <f>Reglages!CO70</f>
        <v>0</v>
      </c>
    </row>
  </sheetData>
  <mergeCells count="235">
    <mergeCell ref="V3:W3"/>
    <mergeCell ref="X3:Y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N6:O6"/>
    <mergeCell ref="D8:E8"/>
    <mergeCell ref="F8:G8"/>
    <mergeCell ref="H8:I8"/>
    <mergeCell ref="J8:K8"/>
    <mergeCell ref="L8:M8"/>
    <mergeCell ref="D6:E6"/>
    <mergeCell ref="F6:G6"/>
    <mergeCell ref="B39:B40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5:B6"/>
    <mergeCell ref="B7:B8"/>
    <mergeCell ref="B9:B10"/>
    <mergeCell ref="B11:B12"/>
    <mergeCell ref="B13:B14"/>
    <mergeCell ref="B15:B16"/>
    <mergeCell ref="H6:I6"/>
    <mergeCell ref="J6:K6"/>
    <mergeCell ref="L6:M6"/>
    <mergeCell ref="X8:Y8"/>
    <mergeCell ref="P6:Q6"/>
    <mergeCell ref="R6:S6"/>
    <mergeCell ref="T6:U6"/>
    <mergeCell ref="V6:W6"/>
    <mergeCell ref="X6:Y6"/>
    <mergeCell ref="N10:O10"/>
    <mergeCell ref="N8:O8"/>
    <mergeCell ref="P8:Q8"/>
    <mergeCell ref="R8:S8"/>
    <mergeCell ref="T8:U8"/>
    <mergeCell ref="V8:W8"/>
    <mergeCell ref="D12:E12"/>
    <mergeCell ref="F12:G12"/>
    <mergeCell ref="H12:I12"/>
    <mergeCell ref="J12:K12"/>
    <mergeCell ref="L12:M12"/>
    <mergeCell ref="D10:E10"/>
    <mergeCell ref="F10:G10"/>
    <mergeCell ref="H10:I10"/>
    <mergeCell ref="J10:K10"/>
    <mergeCell ref="L10:M10"/>
    <mergeCell ref="X12:Y12"/>
    <mergeCell ref="P10:Q10"/>
    <mergeCell ref="R10:S10"/>
    <mergeCell ref="T10:U10"/>
    <mergeCell ref="V10:W10"/>
    <mergeCell ref="X10:Y10"/>
    <mergeCell ref="N12:O12"/>
    <mergeCell ref="P12:Q12"/>
    <mergeCell ref="R12:S12"/>
    <mergeCell ref="T12:U12"/>
    <mergeCell ref="V12:W12"/>
    <mergeCell ref="D16:E16"/>
    <mergeCell ref="F16:G16"/>
    <mergeCell ref="H16:I16"/>
    <mergeCell ref="J16:K16"/>
    <mergeCell ref="L16:M16"/>
    <mergeCell ref="D14:E14"/>
    <mergeCell ref="F14:G14"/>
    <mergeCell ref="H14:I14"/>
    <mergeCell ref="J14:K14"/>
    <mergeCell ref="L14:M14"/>
    <mergeCell ref="X16:Y16"/>
    <mergeCell ref="P14:Q14"/>
    <mergeCell ref="R14:S14"/>
    <mergeCell ref="T14:U14"/>
    <mergeCell ref="V14:W14"/>
    <mergeCell ref="X14:Y14"/>
    <mergeCell ref="N18:O18"/>
    <mergeCell ref="N16:O16"/>
    <mergeCell ref="P16:Q16"/>
    <mergeCell ref="R16:S16"/>
    <mergeCell ref="T16:U16"/>
    <mergeCell ref="V16:W16"/>
    <mergeCell ref="N14:O14"/>
    <mergeCell ref="D20:E20"/>
    <mergeCell ref="F20:G20"/>
    <mergeCell ref="H20:I20"/>
    <mergeCell ref="J20:K20"/>
    <mergeCell ref="L20:M20"/>
    <mergeCell ref="D18:E18"/>
    <mergeCell ref="F18:G18"/>
    <mergeCell ref="H18:I18"/>
    <mergeCell ref="J18:K18"/>
    <mergeCell ref="L18:M18"/>
    <mergeCell ref="X20:Y20"/>
    <mergeCell ref="P18:Q18"/>
    <mergeCell ref="R18:S18"/>
    <mergeCell ref="T18:U18"/>
    <mergeCell ref="V18:W18"/>
    <mergeCell ref="X18:Y18"/>
    <mergeCell ref="N22:O22"/>
    <mergeCell ref="N20:O20"/>
    <mergeCell ref="P20:Q20"/>
    <mergeCell ref="R20:S20"/>
    <mergeCell ref="T20:U20"/>
    <mergeCell ref="V20:W20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X24:Y24"/>
    <mergeCell ref="P22:Q22"/>
    <mergeCell ref="R22:S22"/>
    <mergeCell ref="T22:U22"/>
    <mergeCell ref="V22:W22"/>
    <mergeCell ref="X22:Y22"/>
    <mergeCell ref="N26:O26"/>
    <mergeCell ref="N24:O24"/>
    <mergeCell ref="P24:Q24"/>
    <mergeCell ref="R24:S24"/>
    <mergeCell ref="T24:U24"/>
    <mergeCell ref="V24:W24"/>
    <mergeCell ref="D28:E28"/>
    <mergeCell ref="F28:G28"/>
    <mergeCell ref="H28:I28"/>
    <mergeCell ref="J28:K28"/>
    <mergeCell ref="L28:M28"/>
    <mergeCell ref="D26:E26"/>
    <mergeCell ref="F26:G26"/>
    <mergeCell ref="H26:I26"/>
    <mergeCell ref="J26:K26"/>
    <mergeCell ref="L26:M26"/>
    <mergeCell ref="X28:Y28"/>
    <mergeCell ref="P26:Q26"/>
    <mergeCell ref="R26:S26"/>
    <mergeCell ref="T26:U26"/>
    <mergeCell ref="V26:W26"/>
    <mergeCell ref="X26:Y26"/>
    <mergeCell ref="N30:O30"/>
    <mergeCell ref="N28:O28"/>
    <mergeCell ref="P28:Q28"/>
    <mergeCell ref="R28:S28"/>
    <mergeCell ref="T28:U28"/>
    <mergeCell ref="V28:W28"/>
    <mergeCell ref="T32:U32"/>
    <mergeCell ref="V32:W32"/>
    <mergeCell ref="D32:E32"/>
    <mergeCell ref="F32:G32"/>
    <mergeCell ref="H32:I32"/>
    <mergeCell ref="J32:K32"/>
    <mergeCell ref="L32:M32"/>
    <mergeCell ref="D30:E30"/>
    <mergeCell ref="F30:G30"/>
    <mergeCell ref="H30:I30"/>
    <mergeCell ref="J30:K30"/>
    <mergeCell ref="L30:M30"/>
    <mergeCell ref="X38:Y38"/>
    <mergeCell ref="D36:E36"/>
    <mergeCell ref="F36:G36"/>
    <mergeCell ref="H36:I36"/>
    <mergeCell ref="J36:K36"/>
    <mergeCell ref="L36:M36"/>
    <mergeCell ref="D34:E34"/>
    <mergeCell ref="F34:G34"/>
    <mergeCell ref="H34:I34"/>
    <mergeCell ref="J34:K34"/>
    <mergeCell ref="L34:M34"/>
    <mergeCell ref="N34:O34"/>
    <mergeCell ref="C37:C38"/>
    <mergeCell ref="C15:C16"/>
    <mergeCell ref="C17:C18"/>
    <mergeCell ref="C19:C20"/>
    <mergeCell ref="C21:C22"/>
    <mergeCell ref="C23:C24"/>
    <mergeCell ref="C25:C26"/>
    <mergeCell ref="V36:W36"/>
    <mergeCell ref="X36:Y36"/>
    <mergeCell ref="P34:Q34"/>
    <mergeCell ref="R34:S34"/>
    <mergeCell ref="T34:U34"/>
    <mergeCell ref="V34:W34"/>
    <mergeCell ref="X34:Y34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B1:Y2"/>
    <mergeCell ref="C27:C28"/>
    <mergeCell ref="C29:C30"/>
    <mergeCell ref="C31:C32"/>
    <mergeCell ref="C33:C34"/>
    <mergeCell ref="C35:C36"/>
    <mergeCell ref="N36:O36"/>
    <mergeCell ref="P36:Q36"/>
    <mergeCell ref="R36:S36"/>
    <mergeCell ref="T36:U36"/>
    <mergeCell ref="C5:C6"/>
    <mergeCell ref="C7:C8"/>
    <mergeCell ref="C9:C10"/>
    <mergeCell ref="C11:C12"/>
    <mergeCell ref="C13:C14"/>
    <mergeCell ref="X32:Y32"/>
    <mergeCell ref="P30:Q30"/>
    <mergeCell ref="R30:S30"/>
    <mergeCell ref="T30:U30"/>
    <mergeCell ref="V30:W30"/>
    <mergeCell ref="X30:Y30"/>
    <mergeCell ref="N32:O32"/>
    <mergeCell ref="P32:Q32"/>
    <mergeCell ref="R32:S32"/>
  </mergeCells>
  <dataValidations count="1">
    <dataValidation type="list" allowBlank="1" showInputMessage="1" showErrorMessage="1" sqref="B5:B38">
      <formula1>$AC$3:$AC$66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Reglages</vt:lpstr>
      <vt:lpstr>usure saison</vt:lpstr>
      <vt:lpstr>Météo</vt:lpstr>
      <vt:lpstr>Reglages!Zone_d_impression</vt:lpstr>
    </vt:vector>
  </TitlesOfParts>
  <Company>GP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PAGES</dc:creator>
  <cp:lastModifiedBy>User</cp:lastModifiedBy>
  <cp:lastPrinted>2014-05-10T07:41:49Z</cp:lastPrinted>
  <dcterms:created xsi:type="dcterms:W3CDTF">2013-11-24T15:08:07Z</dcterms:created>
  <dcterms:modified xsi:type="dcterms:W3CDTF">2019-08-29T16:44:02Z</dcterms:modified>
</cp:coreProperties>
</file>