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805" tabRatio="951" activeTab="2"/>
  </bookViews>
  <sheets>
    <sheet name="Identification" sheetId="1" r:id="rId1"/>
    <sheet name="Convertisseurs" sheetId="2" r:id="rId2"/>
    <sheet name="BS 01" sheetId="3" r:id="rId3"/>
  </sheets>
  <definedNames>
    <definedName name="_xlfn.IFERROR" hidden="1">#NAME?</definedName>
    <definedName name="_xlfn.SUMIFS" hidden="1">#NAME?</definedName>
    <definedName name="Alsace">#REF!</definedName>
    <definedName name="_xlnm.Print_Titles" localSheetId="2">'BS 01'!$1:$13</definedName>
    <definedName name="Tous">#REF!</definedName>
    <definedName name="_xlnm.Print_Area" localSheetId="2">'BS 01'!$A$1:$AV$110</definedName>
  </definedNames>
  <calcPr fullCalcOnLoad="1"/>
</workbook>
</file>

<file path=xl/comments2.xml><?xml version="1.0" encoding="utf-8"?>
<comments xmlns="http://schemas.openxmlformats.org/spreadsheetml/2006/main">
  <authors>
    <author>Oph?lie</author>
    <author>Oph?lie </author>
  </authors>
  <commentList>
    <comment ref="I9" authorId="0">
      <text>
        <r>
          <rPr>
            <sz val="8"/>
            <rFont val="Tahoma"/>
            <family val="2"/>
          </rPr>
          <t xml:space="preserve">Saisir les minutes sans les virgules
</t>
        </r>
      </text>
    </comment>
    <comment ref="AI9" authorId="0">
      <text>
        <r>
          <rPr>
            <sz val="8"/>
            <rFont val="Tahoma"/>
            <family val="2"/>
          </rPr>
          <t xml:space="preserve">Saisir les minutes sans les virgules
</t>
        </r>
      </text>
    </comment>
    <comment ref="F17" authorId="1">
      <text>
        <r>
          <rPr>
            <sz val="8"/>
            <rFont val="Tahoma"/>
            <family val="2"/>
          </rPr>
          <t>Au 1</t>
        </r>
        <r>
          <rPr>
            <vertAlign val="superscript"/>
            <sz val="8"/>
            <rFont val="Tahoma"/>
            <family val="2"/>
          </rPr>
          <t>er</t>
        </r>
        <r>
          <rPr>
            <sz val="8"/>
            <rFont val="Tahoma"/>
            <family val="2"/>
          </rPr>
          <t xml:space="preserve"> janvier 2018
</t>
        </r>
      </text>
    </comment>
    <comment ref="AF17" authorId="1">
      <text>
        <r>
          <rPr>
            <sz val="8"/>
            <rFont val="Tahoma"/>
            <family val="2"/>
          </rPr>
          <t>Au 1</t>
        </r>
        <r>
          <rPr>
            <vertAlign val="superscript"/>
            <sz val="8"/>
            <rFont val="Tahoma"/>
            <family val="2"/>
          </rPr>
          <t>er</t>
        </r>
        <r>
          <rPr>
            <sz val="8"/>
            <rFont val="Tahoma"/>
            <family val="2"/>
          </rPr>
          <t xml:space="preserve"> janvier 2018
</t>
        </r>
      </text>
    </comment>
    <comment ref="F28" authorId="1">
      <text>
        <r>
          <rPr>
            <sz val="8"/>
            <rFont val="Tahoma"/>
            <family val="2"/>
          </rPr>
          <t>Au 1</t>
        </r>
        <r>
          <rPr>
            <vertAlign val="superscript"/>
            <sz val="8"/>
            <rFont val="Tahoma"/>
            <family val="2"/>
          </rPr>
          <t>er</t>
        </r>
        <r>
          <rPr>
            <sz val="8"/>
            <rFont val="Tahoma"/>
            <family val="2"/>
          </rPr>
          <t xml:space="preserve"> janvier 2018
</t>
        </r>
      </text>
    </comment>
    <comment ref="AF28" authorId="1">
      <text>
        <r>
          <rPr>
            <sz val="8"/>
            <rFont val="Tahoma"/>
            <family val="2"/>
          </rPr>
          <t>Au 1</t>
        </r>
        <r>
          <rPr>
            <vertAlign val="superscript"/>
            <sz val="8"/>
            <rFont val="Tahoma"/>
            <family val="2"/>
          </rPr>
          <t>er</t>
        </r>
        <r>
          <rPr>
            <sz val="8"/>
            <rFont val="Tahoma"/>
            <family val="2"/>
          </rPr>
          <t xml:space="preserve"> janvier 2018
</t>
        </r>
      </text>
    </comment>
  </commentList>
</comments>
</file>

<file path=xl/comments3.xml><?xml version="1.0" encoding="utf-8"?>
<comments xmlns="http://schemas.openxmlformats.org/spreadsheetml/2006/main">
  <authors>
    <author>Oph?lie</author>
    <author>FO SECRETARIAT</author>
  </authors>
  <commentList>
    <comment ref="D16" authorId="0">
      <text>
        <r>
          <rPr>
            <sz val="8"/>
            <rFont val="Tahoma"/>
            <family val="2"/>
          </rPr>
          <t xml:space="preserve">Indiquer l'heure d'arrivée prévue au contrat sous le format 00:00
</t>
        </r>
      </text>
    </comment>
    <comment ref="R14" authorId="0">
      <text>
        <r>
          <rPr>
            <sz val="9"/>
            <rFont val="Tahoma"/>
            <family val="2"/>
          </rPr>
          <t xml:space="preserve">1) Le montant des indemnités d'entretien </t>
        </r>
        <r>
          <rPr>
            <b/>
            <sz val="9"/>
            <rFont val="Tahoma"/>
            <family val="2"/>
          </rPr>
          <t xml:space="preserve">pour les journées de 8h ou moins </t>
        </r>
        <r>
          <rPr>
            <sz val="9"/>
            <rFont val="Tahoma"/>
            <family val="2"/>
          </rPr>
          <t>ne peut être inférieur à 2,65€ et n'est pas proratisable.
2) Le montant des indemnités d'entretien pour les journées de plus de 8h ne peut être inférieur à 85% du minimum garanti, soit 3,08€ au 1</t>
        </r>
        <r>
          <rPr>
            <vertAlign val="superscript"/>
            <sz val="9"/>
            <rFont val="Tahoma"/>
            <family val="2"/>
          </rPr>
          <t xml:space="preserve">er </t>
        </r>
        <r>
          <rPr>
            <sz val="9"/>
            <rFont val="Tahoma"/>
            <family val="2"/>
          </rPr>
          <t>janvier 2019.
Pour les journées de plus de 8h, le montant de l'indemnité sera : 
3,08€ / 9 x nombre d'heures réelles d'accueil</t>
        </r>
      </text>
    </comment>
    <comment ref="AD101" authorId="0">
      <text>
        <r>
          <rPr>
            <sz val="9"/>
            <rFont val="Tahoma"/>
            <family val="2"/>
          </rPr>
          <t xml:space="preserve">L'indemnité est égale à 1/120ème de </t>
        </r>
        <r>
          <rPr>
            <b/>
            <sz val="9"/>
            <rFont val="Tahoma"/>
            <family val="2"/>
          </rPr>
          <t xml:space="preserve">tous </t>
        </r>
        <r>
          <rPr>
            <sz val="9"/>
            <rFont val="Tahoma"/>
            <family val="2"/>
          </rPr>
          <t xml:space="preserve">les salaires nets perçus sans les indemnités d'entretien, de repas, kilométriques.
</t>
        </r>
      </text>
    </comment>
    <comment ref="AP14" authorId="0">
      <text>
        <r>
          <rPr>
            <b/>
            <u val="single"/>
            <sz val="9"/>
            <rFont val="Tahoma"/>
            <family val="2"/>
          </rPr>
          <t>Codes des motifs à saisir</t>
        </r>
        <r>
          <rPr>
            <sz val="9"/>
            <rFont val="Tahoma"/>
            <family val="2"/>
          </rPr>
          <t xml:space="preserve"> :
AND : Accueil non débuté
ANJE : Absence Non Justifiée de l'Enfant
AT : Accident du Travail
CEF : Congé Evénement Familial
CM : Congé Maternité
CP : Congés Payés
CSS : Congés Sans Solde
FINC : Fin du Contrat
FORM : formation de l'assistant(e) maternel(le)
JDE : Jour Déduit Employeur (RTT) 
JEMR : Jour Enfant Malade Rémunéré
JF : Jour Férié
JFNA : Jour Férié </t>
        </r>
        <r>
          <rPr>
            <b/>
            <sz val="9"/>
            <rFont val="Tahoma"/>
            <family val="2"/>
          </rPr>
          <t>Non Acquis</t>
        </r>
        <r>
          <rPr>
            <sz val="9"/>
            <rFont val="Tahoma"/>
            <family val="2"/>
          </rPr>
          <t xml:space="preserve">
MASM : Maladie Assistant(e) Maternel(e)
ME : Maladie Enfant
SDAM : Semaine déduite Assistant(e) Maternel(le)
SDE : Semaine Déduite Employeurs
</t>
        </r>
        <r>
          <rPr>
            <b/>
            <u val="single"/>
            <sz val="9"/>
            <rFont val="Tahoma"/>
            <family val="2"/>
          </rPr>
          <t>ATTENTION</t>
        </r>
        <r>
          <rPr>
            <b/>
            <sz val="9"/>
            <rFont val="Tahoma"/>
            <family val="2"/>
          </rPr>
          <t xml:space="preserve"> : </t>
        </r>
        <r>
          <rPr>
            <sz val="9"/>
            <rFont val="Tahoma"/>
            <family val="2"/>
          </rPr>
          <t>en cas d'absence de l'enfant pour maladie, si l'employeur a accepté la clause contractuelle donnant lieu au maintien de salaire avec ou sans certificat médical, vous devrez saisir le code JEMR</t>
        </r>
      </text>
    </comment>
    <comment ref="P88" authorId="1">
      <text>
        <r>
          <rPr>
            <b/>
            <sz val="20"/>
            <rFont val="Tahoma"/>
            <family val="2"/>
          </rPr>
          <t xml:space="preserve"> REPORTER 
</t>
        </r>
        <r>
          <rPr>
            <b/>
            <sz val="20"/>
            <color indexed="10"/>
            <rFont val="Tahoma"/>
            <family val="2"/>
          </rPr>
          <t xml:space="preserve">EN BRUT </t>
        </r>
        <r>
          <rPr>
            <b/>
            <sz val="20"/>
            <rFont val="Tahoma"/>
            <family val="2"/>
          </rPr>
          <t xml:space="preserve">
LE MONTANT
  DE L'INDEMNITÉ </t>
        </r>
        <r>
          <rPr>
            <sz val="9"/>
            <rFont val="Tahoma"/>
            <family val="2"/>
          </rPr>
          <t xml:space="preserve">
</t>
        </r>
      </text>
    </comment>
    <comment ref="L89" authorId="1">
      <text>
        <r>
          <rPr>
            <b/>
            <sz val="20"/>
            <rFont val="Tahoma"/>
            <family val="2"/>
          </rPr>
          <t xml:space="preserve"> REPORTER 
</t>
        </r>
        <r>
          <rPr>
            <b/>
            <sz val="20"/>
            <color indexed="10"/>
            <rFont val="Tahoma"/>
            <family val="2"/>
          </rPr>
          <t xml:space="preserve">EN BRUT </t>
        </r>
        <r>
          <rPr>
            <b/>
            <sz val="20"/>
            <rFont val="Tahoma"/>
            <family val="2"/>
          </rPr>
          <t xml:space="preserve">
LE MONTANT
  DE L'INDEMNITÉ </t>
        </r>
        <r>
          <rPr>
            <sz val="9"/>
            <rFont val="Tahoma"/>
            <family val="2"/>
          </rPr>
          <t xml:space="preserve">
</t>
        </r>
      </text>
    </comment>
    <comment ref="L90" authorId="1">
      <text>
        <r>
          <rPr>
            <b/>
            <sz val="20"/>
            <rFont val="Tahoma"/>
            <family val="2"/>
          </rPr>
          <t xml:space="preserve"> REPORTER 
</t>
        </r>
        <r>
          <rPr>
            <b/>
            <sz val="20"/>
            <color indexed="10"/>
            <rFont val="Tahoma"/>
            <family val="2"/>
          </rPr>
          <t xml:space="preserve">EN BRUT </t>
        </r>
        <r>
          <rPr>
            <b/>
            <sz val="20"/>
            <rFont val="Tahoma"/>
            <family val="2"/>
          </rPr>
          <t xml:space="preserve">
LE MONTANT
  DE L'INDEMNITÉ 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sz val="8"/>
            <rFont val="Tahoma"/>
            <family val="2"/>
          </rPr>
          <t xml:space="preserve">Indiquer l'heure de départ prévue au contrat sous le format 00:00
</t>
        </r>
      </text>
    </comment>
    <comment ref="F16" authorId="0">
      <text>
        <r>
          <rPr>
            <sz val="8"/>
            <rFont val="Tahoma"/>
            <family val="2"/>
          </rPr>
          <t xml:space="preserve">Indiquer l'heure d'arrivée prévue au contrat sous le format 00:00
</t>
        </r>
      </text>
    </comment>
    <comment ref="G16" authorId="0">
      <text>
        <r>
          <rPr>
            <sz val="8"/>
            <rFont val="Tahoma"/>
            <family val="2"/>
          </rPr>
          <t xml:space="preserve">Indiquer l'heure de départ prévue au contrat sous le format 00:00
</t>
        </r>
      </text>
    </comment>
    <comment ref="H16" authorId="0">
      <text>
        <r>
          <rPr>
            <sz val="8"/>
            <rFont val="Tahoma"/>
            <family val="2"/>
          </rPr>
          <t xml:space="preserve">Indiquer l'heure d'arrivée prévue au contrat sous le format 00:00
</t>
        </r>
      </text>
    </comment>
    <comment ref="I16" authorId="0">
      <text>
        <r>
          <rPr>
            <sz val="8"/>
            <rFont val="Tahoma"/>
            <family val="2"/>
          </rPr>
          <t xml:space="preserve">Indiquer l'heure de départ prévue au contrat sous le format 00:00
</t>
        </r>
      </text>
    </comment>
    <comment ref="K16" authorId="0">
      <text>
        <r>
          <rPr>
            <sz val="8"/>
            <rFont val="Tahoma"/>
            <family val="2"/>
          </rPr>
          <t xml:space="preserve">Indiquer l'heure d'arrivée prévue au contrat sous le format 00:00
</t>
        </r>
      </text>
    </comment>
    <comment ref="L16" authorId="0">
      <text>
        <r>
          <rPr>
            <sz val="8"/>
            <rFont val="Tahoma"/>
            <family val="2"/>
          </rPr>
          <t xml:space="preserve">Indiquer l'heure de départ prévue au contrat sous le format 00:00
</t>
        </r>
      </text>
    </comment>
    <comment ref="M16" authorId="0">
      <text>
        <r>
          <rPr>
            <sz val="8"/>
            <rFont val="Tahoma"/>
            <family val="2"/>
          </rPr>
          <t xml:space="preserve">Indiquer l'heure d'arrivée prévue au contrat sous le format 00:00
</t>
        </r>
      </text>
    </comment>
    <comment ref="N16" authorId="0">
      <text>
        <r>
          <rPr>
            <sz val="8"/>
            <rFont val="Tahoma"/>
            <family val="2"/>
          </rPr>
          <t xml:space="preserve">Indiquer l'heure de départ prévue au contrat sous le format 00:00
</t>
        </r>
      </text>
    </comment>
    <comment ref="O16" authorId="0">
      <text>
        <r>
          <rPr>
            <sz val="8"/>
            <rFont val="Tahoma"/>
            <family val="2"/>
          </rPr>
          <t xml:space="preserve">Indiquer l'heure d'arrivée prévue au contrat sous le format 00:00
</t>
        </r>
      </text>
    </comment>
    <comment ref="P16" authorId="0">
      <text>
        <r>
          <rPr>
            <sz val="8"/>
            <rFont val="Tahoma"/>
            <family val="2"/>
          </rPr>
          <t xml:space="preserve">Indiquer l'heure de départ prévue au contrat sous le format 00:00
</t>
        </r>
      </text>
    </comment>
  </commentList>
</comments>
</file>

<file path=xl/sharedStrings.xml><?xml version="1.0" encoding="utf-8"?>
<sst xmlns="http://schemas.openxmlformats.org/spreadsheetml/2006/main" count="182" uniqueCount="123">
  <si>
    <t>Arrivée</t>
  </si>
  <si>
    <t>Départ</t>
  </si>
  <si>
    <t>TOTAL</t>
  </si>
  <si>
    <t>SEMAINE 1</t>
  </si>
  <si>
    <t>SEMAINE 2</t>
  </si>
  <si>
    <t>SEMAINE 3</t>
  </si>
  <si>
    <t>SEMAINE 4</t>
  </si>
  <si>
    <t>SEMAINE 5</t>
  </si>
  <si>
    <t>Goûter</t>
  </si>
  <si>
    <t>Petit déj.</t>
  </si>
  <si>
    <t>Heures 
complémentaires</t>
  </si>
  <si>
    <t>MATIN</t>
  </si>
  <si>
    <t>MIDI</t>
  </si>
  <si>
    <t>SOIR</t>
  </si>
  <si>
    <t>Kms</t>
  </si>
  <si>
    <t>Motifs absence</t>
  </si>
  <si>
    <t>Indemnité entretien</t>
  </si>
  <si>
    <t>Repas</t>
  </si>
  <si>
    <t>Autres indemnités</t>
  </si>
  <si>
    <t>Heures supplémentaires contractuelles travaillées</t>
  </si>
  <si>
    <t>Heures supplémentaires non contractuelles travaillées</t>
  </si>
  <si>
    <t xml:space="preserve">EMPLOYEUR </t>
  </si>
  <si>
    <t xml:space="preserve">SALARIÉ </t>
  </si>
  <si>
    <t xml:space="preserve">Nom - Prénom : </t>
  </si>
  <si>
    <t xml:space="preserve">Adresse : </t>
  </si>
  <si>
    <t xml:space="preserve">Code postal : </t>
  </si>
  <si>
    <t xml:space="preserve">Ville : </t>
  </si>
  <si>
    <t xml:space="preserve">N° PAJEMPLOI ou URSSAF : </t>
  </si>
  <si>
    <t xml:space="preserve">N° sécurité sociale : </t>
  </si>
  <si>
    <t>N° salarié PAJEMPLOI :</t>
  </si>
  <si>
    <t xml:space="preserve">Nom - Prénom de l'enfant : </t>
  </si>
  <si>
    <t xml:space="preserve">Date d'embauche : </t>
  </si>
  <si>
    <t>JOURS</t>
  </si>
  <si>
    <t>METTEZ UNE X CORRESPONDANT À VOTRE SITUATION</t>
  </si>
  <si>
    <r>
      <rPr>
        <b/>
        <u val="single"/>
        <sz val="14"/>
        <rFont val="Calibri"/>
        <family val="2"/>
      </rPr>
      <t>TYPE DE CONTRAT</t>
    </r>
    <r>
      <rPr>
        <b/>
        <sz val="14"/>
        <rFont val="Calibri"/>
        <family val="2"/>
      </rPr>
      <t xml:space="preserve"> :</t>
    </r>
  </si>
  <si>
    <t xml:space="preserve"> C.D.I</t>
  </si>
  <si>
    <t>C.D.D</t>
  </si>
  <si>
    <t xml:space="preserve"> C.D.D inférieur ou égal à 1 mois</t>
  </si>
  <si>
    <t xml:space="preserve"> C.D.D supérieur à 1 mois MAIS inférieur à 12 mois</t>
  </si>
  <si>
    <t xml:space="preserve"> C.D.D supérieur ou égal à 12 mois</t>
  </si>
  <si>
    <r>
      <rPr>
        <b/>
        <u val="single"/>
        <sz val="14"/>
        <rFont val="Calibri"/>
        <family val="2"/>
      </rPr>
      <t xml:space="preserve">LIEU DE RÉSIDENCE </t>
    </r>
    <r>
      <rPr>
        <b/>
        <sz val="14"/>
        <rFont val="Calibri"/>
        <family val="2"/>
      </rPr>
      <t>:</t>
    </r>
  </si>
  <si>
    <t xml:space="preserve"> Tous départements sauf l'Alsace et la Moselle</t>
  </si>
  <si>
    <t xml:space="preserve"> Alsace et Moselle</t>
  </si>
  <si>
    <t>EMPLOYEUR</t>
  </si>
  <si>
    <t>SALARIÉ</t>
  </si>
  <si>
    <t>ÉLÉMENT(S) DU CONTRAT</t>
  </si>
  <si>
    <t>Adresse :</t>
  </si>
  <si>
    <t xml:space="preserve">CP et ville : </t>
  </si>
  <si>
    <t>N° employeur :</t>
  </si>
  <si>
    <t xml:space="preserve">N° salarié PAJEMPLOI : </t>
  </si>
  <si>
    <t>Convention collective des assistants maternels 
du particulier employeur - Code NAF 8891.A</t>
  </si>
  <si>
    <t xml:space="preserve">Type de contrat : </t>
  </si>
  <si>
    <t xml:space="preserve">Qualification : </t>
  </si>
  <si>
    <t>Assistant(e) maternel(le)</t>
  </si>
  <si>
    <t>x</t>
  </si>
  <si>
    <t>COMMENTAIRES DU MOIS</t>
  </si>
  <si>
    <t>CP : congés payés</t>
  </si>
  <si>
    <t>SDE : semaine déduite employeur</t>
  </si>
  <si>
    <t>CSS : congés sans solde</t>
  </si>
  <si>
    <t xml:space="preserve">JF : jour férié </t>
  </si>
  <si>
    <t>ME : maladie enfant</t>
  </si>
  <si>
    <t>MASM : maladie assistant(e) maternel(le)</t>
  </si>
  <si>
    <t>SDAM : semaine déduite assistant(e) maternel(le)</t>
  </si>
  <si>
    <t>FORM : formation de l'assistant(e) maternel(le)</t>
  </si>
  <si>
    <t>CEF : congé pour événement familial</t>
  </si>
  <si>
    <t>CM : congé maternité</t>
  </si>
  <si>
    <t>AT : accident de travail</t>
  </si>
  <si>
    <t>MOTIFS ABSENCE(S)</t>
  </si>
  <si>
    <t>% MAJORATION</t>
  </si>
  <si>
    <t>BASE</t>
  </si>
  <si>
    <t>TAUX</t>
  </si>
  <si>
    <t>MONTANT</t>
  </si>
  <si>
    <t>ÉLÉMENTS POUR LES IMPÔTS</t>
  </si>
  <si>
    <t xml:space="preserve">Indemnités entretien : </t>
  </si>
  <si>
    <t xml:space="preserve">Indemnités repas : </t>
  </si>
  <si>
    <t xml:space="preserve">Indemnités kilométriques : </t>
  </si>
  <si>
    <t>Net imposable mensuel :</t>
  </si>
  <si>
    <t xml:space="preserve">Nbre de jours de 8h ou + : </t>
  </si>
  <si>
    <t xml:space="preserve">Nbre d'heures / jours - de 8 h : </t>
  </si>
  <si>
    <t>Date de paiement :</t>
  </si>
  <si>
    <t xml:space="preserve">Banque : </t>
  </si>
  <si>
    <t>COTISATIONS SOCIALES</t>
  </si>
  <si>
    <t>Signature de l'employeur :</t>
  </si>
  <si>
    <t xml:space="preserve">Signature du salarié : </t>
  </si>
  <si>
    <t xml:space="preserve"> 100% DU SALAIRE BRUT</t>
  </si>
  <si>
    <t>98,25% DU SALAIRE BRUT</t>
  </si>
  <si>
    <t>TOTAL NET À PAYER</t>
  </si>
  <si>
    <t>Horaires contrat / planning 
au contrat</t>
  </si>
  <si>
    <t>JDE : Jour Déduit Employeur (RTT)</t>
  </si>
  <si>
    <t>ANJE : Absence Non Justifiée de l'Enfant</t>
  </si>
  <si>
    <t>JEMR : Jour Enfant Malade Rémunéré (clause contrat)</t>
  </si>
  <si>
    <t>FINC : fin du contrat</t>
  </si>
  <si>
    <r>
      <t xml:space="preserve">JFNA : jour férié </t>
    </r>
    <r>
      <rPr>
        <b/>
        <sz val="10"/>
        <rFont val="Calibri"/>
        <family val="2"/>
      </rPr>
      <t>non acquis</t>
    </r>
  </si>
  <si>
    <t>AND :  Accueil non débuté</t>
  </si>
  <si>
    <r>
      <t>CONGÉS PAYÉS DU 
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JUIN 2018 AU 31 MAI 2019 (ANNÉE N)</t>
    </r>
  </si>
  <si>
    <r>
      <t>Nombre de semaines travaillées ou assimilées travaillées depuis le 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</rPr>
      <t xml:space="preserve"> juin 2018</t>
    </r>
  </si>
  <si>
    <r>
      <t>Total jours acquis depuis 
le 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</rPr>
      <t xml:space="preserve"> juin 2018</t>
    </r>
  </si>
  <si>
    <r>
      <t>Nombre de jours pris depuis le 1</t>
    </r>
    <r>
      <rPr>
        <vertAlign val="superscript"/>
        <sz val="10"/>
        <rFont val="Calibri"/>
        <family val="2"/>
      </rPr>
      <t>er</t>
    </r>
    <r>
      <rPr>
        <sz val="10"/>
        <rFont val="Calibri"/>
        <family val="2"/>
      </rPr>
      <t xml:space="preserve"> juin 2018 </t>
    </r>
    <r>
      <rPr>
        <b/>
        <sz val="10"/>
        <rFont val="Calibri"/>
        <family val="2"/>
      </rPr>
      <t>uniquement</t>
    </r>
    <r>
      <rPr>
        <sz val="10"/>
        <rFont val="Calibri"/>
        <family val="2"/>
      </rPr>
      <t xml:space="preserve"> pour les contrats année complète</t>
    </r>
  </si>
  <si>
    <r>
      <t>CONGÉS PAYÉS DU 
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JUIN 2017 AU 31 MAI 2018 (ANNÉE N-1)</t>
    </r>
  </si>
  <si>
    <r>
      <t xml:space="preserve">Taux horaire </t>
    </r>
    <r>
      <rPr>
        <b/>
        <sz val="11"/>
        <rFont val="Calibri"/>
        <family val="2"/>
      </rPr>
      <t>BRUT</t>
    </r>
    <r>
      <rPr>
        <sz val="11"/>
        <rFont val="Calibri"/>
        <family val="2"/>
      </rPr>
      <t xml:space="preserve"> : </t>
    </r>
  </si>
  <si>
    <t>SALAIRE BRUT AVEC HEURES DÉSOCIALISÉES</t>
  </si>
  <si>
    <t>TOTAL SALAIRE BRUT</t>
  </si>
  <si>
    <r>
      <rPr>
        <b/>
        <u val="single"/>
        <sz val="14"/>
        <color indexed="56"/>
        <rFont val="Calibri"/>
        <family val="2"/>
      </rPr>
      <t xml:space="preserve">SALAIRE NET </t>
    </r>
    <r>
      <rPr>
        <b/>
        <sz val="14"/>
        <color indexed="56"/>
        <rFont val="Calibri"/>
        <family val="2"/>
      </rPr>
      <t>avant la restitution des heures désocialisées</t>
    </r>
  </si>
  <si>
    <t>TOTAL SALAIRE NET À DÉCLARER À PAJEMPLOI</t>
  </si>
  <si>
    <r>
      <t>Reporter le nombre total de congés acquis du bulletin de paie du mois de mai 2018 "Congés payés acquis du 1</t>
    </r>
    <r>
      <rPr>
        <b/>
        <vertAlign val="superscript"/>
        <sz val="10.5"/>
        <rFont val="Calibri"/>
        <family val="2"/>
      </rPr>
      <t>er</t>
    </r>
    <r>
      <rPr>
        <b/>
        <sz val="10.5"/>
        <rFont val="Calibri"/>
        <family val="2"/>
      </rPr>
      <t xml:space="preserve"> juin 2017 au 31 mai 2018 </t>
    </r>
  </si>
  <si>
    <r>
      <t>Indiquer le nombre de jours de congés pris depuis le 1</t>
    </r>
    <r>
      <rPr>
        <b/>
        <vertAlign val="superscript"/>
        <sz val="11"/>
        <rFont val="Calibri"/>
        <family val="2"/>
      </rPr>
      <t>er</t>
    </r>
    <r>
      <rPr>
        <b/>
        <sz val="11"/>
        <rFont val="Calibri"/>
        <family val="2"/>
      </rPr>
      <t xml:space="preserve"> juin 2018</t>
    </r>
  </si>
  <si>
    <t>Montant des heures défiscalisées  :</t>
  </si>
  <si>
    <t>TAUX BRUT</t>
  </si>
  <si>
    <t>Horaires réels d'accueil</t>
  </si>
  <si>
    <t>DUMAS-MANIGAULT Ilenzo</t>
  </si>
  <si>
    <t>CONVERTISSEURS  1ER JANVIER 2019</t>
  </si>
  <si>
    <t>CONVERTISSEURS  31 DECEMBRE 2018</t>
  </si>
  <si>
    <t>Ne remplir que les cellules en rose selon vos critères</t>
  </si>
  <si>
    <t>CONVERTISSEUR DE MINUTES EN CENTIÈMES</t>
  </si>
  <si>
    <t>Minutes</t>
  </si>
  <si>
    <t>Centièmes</t>
  </si>
  <si>
    <t xml:space="preserve">CONVERTISSEUR SALAIRE MÉTROPOLE </t>
  </si>
  <si>
    <t xml:space="preserve">SMIC horaire brut : </t>
  </si>
  <si>
    <t xml:space="preserve">SMIC horaire net : </t>
  </si>
  <si>
    <t>Coefficient de conversion</t>
  </si>
  <si>
    <t xml:space="preserve">Salaire brut : </t>
  </si>
  <si>
    <t xml:space="preserve">Salaire net : </t>
  </si>
  <si>
    <t>CONVERTISSEUR ALSACE MOSELLE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</si>
</sst>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[$-40C]dddd\ d\ mmmm\ yyyy"/>
    <numFmt numFmtId="166" formatCode="[$-40C]mmm\-yy;@"/>
    <numFmt numFmtId="167" formatCode="#,##0.00\ &quot;€&quot;"/>
    <numFmt numFmtId="168" formatCode="dd/mm/yy;@"/>
    <numFmt numFmtId="169" formatCode="[$-40C]mmmm\-yy;@"/>
    <numFmt numFmtId="170" formatCode="0.0"/>
    <numFmt numFmtId="171" formatCode="[&gt;=3000000000000]#&quot; &quot;##&quot; &quot;##&quot; &quot;##&quot; &quot;###&quot; &quot;###&quot; | &quot;##;#&quot; &quot;##&quot; &quot;##&quot; &quot;##&quot; &quot;###&quot; &quot;###"/>
    <numFmt numFmtId="172" formatCode="#,##0\ &quot;€&quot;"/>
    <numFmt numFmtId="173" formatCode="#,##0.00\ _€"/>
    <numFmt numFmtId="174" formatCode="0&quot; jrs&quot;"/>
    <numFmt numFmtId="175" formatCode="0.00&quot; hrs&quot;"/>
    <numFmt numFmtId="176" formatCode="#,##0.0"/>
    <numFmt numFmtId="177" formatCode="0&quot; semaines &quot;"/>
    <numFmt numFmtId="178" formatCode="00000000000000"/>
    <numFmt numFmtId="179" formatCode="0&quot; jours&quot;"/>
    <numFmt numFmtId="180" formatCode="0.00&quot; heures&quot;"/>
    <numFmt numFmtId="181" formatCode="0&quot; heures&quot;"/>
    <numFmt numFmtId="182" formatCode="[h]:mm"/>
    <numFmt numFmtId="183" formatCode="0&quot; semaines&quot;"/>
    <numFmt numFmtId="184" formatCode="0.00&quot; jours&quot;"/>
    <numFmt numFmtId="185" formatCode="#,##0.00&quot; €&quot;"/>
    <numFmt numFmtId="186" formatCode="0.00&quot; heure(s)&quot;"/>
    <numFmt numFmtId="187" formatCode="0&quot; % &quot;"/>
    <numFmt numFmtId="188" formatCode="0&quot; jour(s)&quot;"/>
    <numFmt numFmtId="189" formatCode="0.0&quot; mois&quot;"/>
    <numFmt numFmtId="190" formatCode="0&quot; enfant(s) &quot;"/>
    <numFmt numFmtId="191" formatCode="0.00&quot; sem.&quot;"/>
    <numFmt numFmtId="192" formatCode="h:mm;@"/>
    <numFmt numFmtId="193" formatCode="0.00;[Red]0.00"/>
    <numFmt numFmtId="194" formatCode="dddd\-dd"/>
    <numFmt numFmtId="195" formatCode="[$-F800]dddd\,\ mmmm\ dd\,\ yyyy"/>
    <numFmt numFmtId="196" formatCode="0&quot; mois&quot;"/>
    <numFmt numFmtId="197" formatCode="0&quot; enfant(s)&quot;"/>
    <numFmt numFmtId="198" formatCode="0000000000000000"/>
    <numFmt numFmtId="199" formatCode="0.000%"/>
    <numFmt numFmtId="200" formatCode="0.0&quot; jours&quot;"/>
    <numFmt numFmtId="201" formatCode="mmm\-yyyy"/>
    <numFmt numFmtId="202" formatCode="#,##0.000\ &quot;€&quot;"/>
    <numFmt numFmtId="203" formatCode="0.00&quot; semaines &quot;"/>
    <numFmt numFmtId="204" formatCode="0&quot; min&quot;"/>
  </numFmts>
  <fonts count="11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22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Calibri"/>
      <family val="2"/>
    </font>
    <font>
      <b/>
      <u val="single"/>
      <sz val="9"/>
      <name val="Tahoma"/>
      <family val="2"/>
    </font>
    <font>
      <b/>
      <sz val="16"/>
      <name val="Calibri"/>
      <family val="2"/>
    </font>
    <font>
      <sz val="14"/>
      <name val="Calibri"/>
      <family val="2"/>
    </font>
    <font>
      <vertAlign val="superscript"/>
      <sz val="11"/>
      <name val="Calibri"/>
      <family val="2"/>
    </font>
    <font>
      <b/>
      <sz val="9"/>
      <name val="Calibri"/>
      <family val="2"/>
    </font>
    <font>
      <vertAlign val="superscript"/>
      <sz val="9"/>
      <name val="Tahoma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sz val="10.5"/>
      <name val="Calibri"/>
      <family val="2"/>
    </font>
    <font>
      <sz val="6"/>
      <name val="Calibri"/>
      <family val="2"/>
    </font>
    <font>
      <b/>
      <vertAlign val="superscript"/>
      <sz val="10"/>
      <name val="Calibri"/>
      <family val="2"/>
    </font>
    <font>
      <b/>
      <vertAlign val="superscript"/>
      <sz val="11"/>
      <name val="Calibri"/>
      <family val="2"/>
    </font>
    <font>
      <vertAlign val="superscript"/>
      <sz val="10"/>
      <name val="Calibri"/>
      <family val="2"/>
    </font>
    <font>
      <i/>
      <sz val="11"/>
      <name val="Calibri"/>
      <family val="2"/>
    </font>
    <font>
      <b/>
      <sz val="10.5"/>
      <name val="Calibri"/>
      <family val="2"/>
    </font>
    <font>
      <b/>
      <vertAlign val="superscript"/>
      <sz val="10.5"/>
      <name val="Calibri"/>
      <family val="2"/>
    </font>
    <font>
      <b/>
      <sz val="20"/>
      <name val="Tahoma"/>
      <family val="2"/>
    </font>
    <font>
      <b/>
      <sz val="20"/>
      <color indexed="10"/>
      <name val="Tahoma"/>
      <family val="2"/>
    </font>
    <font>
      <b/>
      <u val="single"/>
      <sz val="14"/>
      <color indexed="56"/>
      <name val="Calibri"/>
      <family val="2"/>
    </font>
    <font>
      <b/>
      <sz val="14"/>
      <color indexed="56"/>
      <name val="Calibri"/>
      <family val="2"/>
    </font>
    <font>
      <i/>
      <u val="single"/>
      <sz val="11"/>
      <name val="Calibri"/>
      <family val="2"/>
    </font>
    <font>
      <vertAlign val="superscript"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Calibri"/>
      <family val="2"/>
    </font>
    <font>
      <b/>
      <sz val="14"/>
      <color indexed="63"/>
      <name val="Calibri"/>
      <family val="2"/>
    </font>
    <font>
      <sz val="11"/>
      <color indexed="63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0.5"/>
      <color indexed="10"/>
      <name val="Calibri"/>
      <family val="2"/>
    </font>
    <font>
      <sz val="10.5"/>
      <color indexed="9"/>
      <name val="Calibri"/>
      <family val="2"/>
    </font>
    <font>
      <sz val="8"/>
      <color indexed="9"/>
      <name val="Calibri"/>
      <family val="2"/>
    </font>
    <font>
      <sz val="7"/>
      <color indexed="9"/>
      <name val="Calibri"/>
      <family val="2"/>
    </font>
    <font>
      <sz val="11"/>
      <color indexed="45"/>
      <name val="Calibri"/>
      <family val="2"/>
    </font>
    <font>
      <b/>
      <sz val="14"/>
      <color indexed="9"/>
      <name val="Calibri"/>
      <family val="2"/>
    </font>
    <font>
      <b/>
      <sz val="8"/>
      <color indexed="63"/>
      <name val="Arial"/>
      <family val="2"/>
    </font>
    <font>
      <sz val="10"/>
      <color indexed="63"/>
      <name val="Calibri"/>
      <family val="2"/>
    </font>
    <font>
      <b/>
      <sz val="14"/>
      <color indexed="10"/>
      <name val="Calibri"/>
      <family val="2"/>
    </font>
    <font>
      <b/>
      <sz val="13"/>
      <color indexed="9"/>
      <name val="Calibri"/>
      <family val="2"/>
    </font>
    <font>
      <b/>
      <sz val="9"/>
      <color indexed="10"/>
      <name val="Calibri"/>
      <family val="2"/>
    </font>
    <font>
      <sz val="10"/>
      <color indexed="10"/>
      <name val="Calibri"/>
      <family val="2"/>
    </font>
    <font>
      <sz val="9"/>
      <color indexed="9"/>
      <name val="Calibri"/>
      <family val="2"/>
    </font>
    <font>
      <b/>
      <sz val="14"/>
      <color indexed="14"/>
      <name val="Calibri"/>
      <family val="2"/>
    </font>
    <font>
      <b/>
      <i/>
      <sz val="14"/>
      <color indexed="10"/>
      <name val="Calibri"/>
      <family val="2"/>
    </font>
    <font>
      <b/>
      <sz val="15"/>
      <color indexed="10"/>
      <name val="Calibri"/>
      <family val="2"/>
    </font>
    <font>
      <b/>
      <sz val="10"/>
      <color indexed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0.5"/>
      <color rgb="FFFF0000"/>
      <name val="Calibri"/>
      <family val="2"/>
    </font>
    <font>
      <b/>
      <sz val="11"/>
      <color theme="0"/>
      <name val="Calibri"/>
      <family val="2"/>
    </font>
    <font>
      <sz val="10.5"/>
      <color theme="0"/>
      <name val="Calibri"/>
      <family val="2"/>
    </font>
    <font>
      <sz val="8"/>
      <color theme="0"/>
      <name val="Calibri"/>
      <family val="2"/>
    </font>
    <font>
      <sz val="7"/>
      <color theme="0"/>
      <name val="Calibri"/>
      <family val="2"/>
    </font>
    <font>
      <b/>
      <sz val="14"/>
      <color theme="0"/>
      <name val="Calibri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3"/>
      <color theme="0"/>
      <name val="Calibri"/>
      <family val="2"/>
    </font>
    <font>
      <b/>
      <sz val="9"/>
      <color rgb="FFFF0000"/>
      <name val="Calibri"/>
      <family val="2"/>
    </font>
    <font>
      <sz val="11"/>
      <color rgb="FFF9ADDA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9"/>
      <color theme="0"/>
      <name val="Calibri"/>
      <family val="2"/>
    </font>
    <font>
      <b/>
      <sz val="14"/>
      <color rgb="FF002060"/>
      <name val="Calibri"/>
      <family val="2"/>
    </font>
    <font>
      <b/>
      <sz val="14"/>
      <color rgb="FFFF3399"/>
      <name val="Calibri"/>
      <family val="2"/>
    </font>
    <font>
      <b/>
      <i/>
      <sz val="14"/>
      <color rgb="FFFF0000"/>
      <name val="Calibri"/>
      <family val="2"/>
    </font>
    <font>
      <b/>
      <sz val="15"/>
      <color rgb="FFFF0000"/>
      <name val="Calibri"/>
      <family val="2"/>
    </font>
    <font>
      <b/>
      <sz val="15"/>
      <color rgb="FF002060"/>
      <name val="Calibri"/>
      <family val="2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9ADDA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ADDA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CCFF"/>
        <bgColor indexed="64"/>
      </patternFill>
    </fill>
    <fill>
      <patternFill patternType="gray0625"/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CC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574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80" fillId="0" borderId="0" xfId="0" applyFont="1" applyAlignment="1">
      <alignment/>
    </xf>
    <xf numFmtId="0" fontId="80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3" fillId="24" borderId="11" xfId="0" applyFont="1" applyFill="1" applyBorder="1" applyAlignment="1">
      <alignment/>
    </xf>
    <xf numFmtId="0" fontId="83" fillId="0" borderId="12" xfId="0" applyFont="1" applyBorder="1" applyAlignment="1" applyProtection="1">
      <alignment/>
      <protection locked="0"/>
    </xf>
    <xf numFmtId="0" fontId="83" fillId="24" borderId="13" xfId="0" applyFont="1" applyFill="1" applyBorder="1" applyAlignment="1">
      <alignment/>
    </xf>
    <xf numFmtId="0" fontId="83" fillId="0" borderId="0" xfId="0" applyFont="1" applyAlignment="1" applyProtection="1">
      <alignment/>
      <protection locked="0"/>
    </xf>
    <xf numFmtId="164" fontId="83" fillId="0" borderId="0" xfId="0" applyNumberFormat="1" applyFont="1" applyAlignment="1" applyProtection="1">
      <alignment horizontal="left" vertical="center"/>
      <protection locked="0"/>
    </xf>
    <xf numFmtId="178" fontId="83" fillId="0" borderId="0" xfId="0" applyNumberFormat="1" applyFont="1" applyAlignment="1" applyProtection="1">
      <alignment horizontal="left" vertical="center"/>
      <protection locked="0"/>
    </xf>
    <xf numFmtId="0" fontId="83" fillId="24" borderId="14" xfId="0" applyFont="1" applyFill="1" applyBorder="1" applyAlignment="1">
      <alignment/>
    </xf>
    <xf numFmtId="0" fontId="83" fillId="0" borderId="15" xfId="0" applyFont="1" applyBorder="1" applyAlignment="1" applyProtection="1">
      <alignment/>
      <protection locked="0"/>
    </xf>
    <xf numFmtId="14" fontId="83" fillId="0" borderId="15" xfId="0" applyNumberFormat="1" applyFont="1" applyBorder="1" applyAlignment="1" applyProtection="1">
      <alignment horizontal="left" vertical="center"/>
      <protection locked="0"/>
    </xf>
    <xf numFmtId="0" fontId="84" fillId="0" borderId="0" xfId="0" applyFont="1" applyAlignment="1">
      <alignment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37" fillId="0" borderId="0" xfId="0" applyFont="1" applyAlignment="1">
      <alignment/>
    </xf>
    <xf numFmtId="0" fontId="26" fillId="25" borderId="0" xfId="0" applyFont="1" applyFill="1" applyAlignment="1">
      <alignment vertical="center"/>
    </xf>
    <xf numFmtId="0" fontId="39" fillId="25" borderId="0" xfId="0" applyFont="1" applyFill="1" applyAlignment="1">
      <alignment vertical="center"/>
    </xf>
    <xf numFmtId="0" fontId="26" fillId="25" borderId="0" xfId="0" applyFont="1" applyFill="1" applyAlignment="1">
      <alignment horizontal="center" vertical="center"/>
    </xf>
    <xf numFmtId="0" fontId="22" fillId="26" borderId="16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left" vertical="center"/>
    </xf>
    <xf numFmtId="0" fontId="81" fillId="0" borderId="0" xfId="0" applyFont="1" applyAlignment="1">
      <alignment/>
    </xf>
    <xf numFmtId="0" fontId="23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88" fillId="0" borderId="0" xfId="0" applyFont="1" applyAlignment="1" applyProtection="1">
      <alignment horizontal="center" vertical="center"/>
      <protection locked="0"/>
    </xf>
    <xf numFmtId="0" fontId="26" fillId="25" borderId="0" xfId="0" applyFont="1" applyFill="1" applyAlignment="1">
      <alignment horizontal="left" vertical="center"/>
    </xf>
    <xf numFmtId="0" fontId="81" fillId="0" borderId="0" xfId="0" applyFont="1" applyAlignment="1">
      <alignment/>
    </xf>
    <xf numFmtId="0" fontId="3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85" fontId="22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164" fontId="20" fillId="0" borderId="0" xfId="0" applyNumberFormat="1" applyFont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171" fontId="20" fillId="0" borderId="0" xfId="0" applyNumberFormat="1" applyFont="1" applyAlignment="1">
      <alignment horizontal="left" vertical="center"/>
    </xf>
    <xf numFmtId="14" fontId="20" fillId="0" borderId="0" xfId="0" applyNumberFormat="1" applyFont="1" applyAlignment="1">
      <alignment horizontal="left" vertical="center"/>
    </xf>
    <xf numFmtId="179" fontId="22" fillId="0" borderId="0" xfId="0" applyNumberFormat="1" applyFont="1" applyAlignment="1">
      <alignment horizontal="center" vertical="center"/>
    </xf>
    <xf numFmtId="0" fontId="80" fillId="0" borderId="17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/>
    </xf>
    <xf numFmtId="0" fontId="22" fillId="0" borderId="21" xfId="0" applyFont="1" applyBorder="1" applyAlignment="1">
      <alignment horizontal="left" vertical="center"/>
    </xf>
    <xf numFmtId="179" fontId="22" fillId="0" borderId="21" xfId="0" applyNumberFormat="1" applyFont="1" applyBorder="1" applyAlignment="1">
      <alignment horizontal="center" vertical="center"/>
    </xf>
    <xf numFmtId="0" fontId="37" fillId="0" borderId="21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0" fillId="0" borderId="17" xfId="0" applyFont="1" applyBorder="1" applyAlignment="1">
      <alignment/>
    </xf>
    <xf numFmtId="183" fontId="20" fillId="0" borderId="0" xfId="0" applyNumberFormat="1" applyFont="1" applyAlignment="1" applyProtection="1">
      <alignment horizontal="center" vertical="center"/>
      <protection locked="0"/>
    </xf>
    <xf numFmtId="180" fontId="89" fillId="0" borderId="0" xfId="0" applyNumberFormat="1" applyFont="1" applyAlignment="1" applyProtection="1">
      <alignment horizontal="center" vertical="center"/>
      <protection locked="0"/>
    </xf>
    <xf numFmtId="180" fontId="89" fillId="0" borderId="0" xfId="0" applyNumberFormat="1" applyFont="1" applyAlignment="1">
      <alignment horizontal="center" vertical="center"/>
    </xf>
    <xf numFmtId="0" fontId="80" fillId="0" borderId="0" xfId="0" applyFont="1" applyAlignment="1">
      <alignment/>
    </xf>
    <xf numFmtId="180" fontId="90" fillId="0" borderId="0" xfId="0" applyNumberFormat="1" applyFont="1" applyAlignment="1">
      <alignment horizontal="center" vertical="center"/>
    </xf>
    <xf numFmtId="180" fontId="9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40" fillId="0" borderId="17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17" xfId="0" applyFont="1" applyBorder="1" applyAlignment="1">
      <alignment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185" fontId="20" fillId="0" borderId="0" xfId="0" applyNumberFormat="1" applyFont="1" applyAlignment="1" applyProtection="1">
      <alignment horizontal="center" vertical="center"/>
      <protection locked="0"/>
    </xf>
    <xf numFmtId="187" fontId="20" fillId="0" borderId="17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83" fillId="0" borderId="22" xfId="0" applyFont="1" applyBorder="1" applyAlignment="1" applyProtection="1">
      <alignment/>
      <protection locked="0"/>
    </xf>
    <xf numFmtId="0" fontId="83" fillId="0" borderId="23" xfId="0" applyFont="1" applyBorder="1" applyAlignment="1" applyProtection="1">
      <alignment/>
      <protection locked="0"/>
    </xf>
    <xf numFmtId="0" fontId="93" fillId="0" borderId="0" xfId="0" applyFont="1" applyAlignment="1" applyProtection="1">
      <alignment/>
      <protection locked="0"/>
    </xf>
    <xf numFmtId="0" fontId="83" fillId="0" borderId="24" xfId="0" applyFont="1" applyBorder="1" applyAlignment="1" applyProtection="1">
      <alignment/>
      <protection locked="0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4" fillId="0" borderId="18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80" fillId="0" borderId="18" xfId="0" applyFont="1" applyBorder="1" applyAlignment="1">
      <alignment vertical="center"/>
    </xf>
    <xf numFmtId="0" fontId="20" fillId="0" borderId="17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19" xfId="0" applyFont="1" applyBorder="1" applyAlignment="1" applyProtection="1">
      <alignment/>
      <protection locked="0"/>
    </xf>
    <xf numFmtId="0" fontId="20" fillId="0" borderId="20" xfId="0" applyFont="1" applyBorder="1" applyAlignment="1" applyProtection="1">
      <alignment/>
      <protection locked="0"/>
    </xf>
    <xf numFmtId="0" fontId="20" fillId="0" borderId="2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27" borderId="16" xfId="0" applyFont="1" applyFill="1" applyBorder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6" fillId="28" borderId="18" xfId="0" applyFont="1" applyFill="1" applyBorder="1" applyAlignment="1">
      <alignment horizontal="center" vertical="center"/>
    </xf>
    <xf numFmtId="0" fontId="26" fillId="28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7" fontId="20" fillId="0" borderId="0" xfId="0" applyNumberFormat="1" applyFont="1" applyAlignment="1" applyProtection="1">
      <alignment vertical="center"/>
      <protection locked="0"/>
    </xf>
    <xf numFmtId="167" fontId="90" fillId="0" borderId="0" xfId="0" applyNumberFormat="1" applyFont="1" applyAlignment="1">
      <alignment/>
    </xf>
    <xf numFmtId="0" fontId="97" fillId="0" borderId="0" xfId="0" applyFont="1" applyAlignment="1">
      <alignment vertical="center" wrapText="1"/>
    </xf>
    <xf numFmtId="0" fontId="86" fillId="0" borderId="0" xfId="0" applyFont="1" applyAlignment="1">
      <alignment vertical="center" wrapText="1"/>
    </xf>
    <xf numFmtId="0" fontId="98" fillId="0" borderId="17" xfId="0" applyFont="1" applyBorder="1" applyAlignment="1">
      <alignment/>
    </xf>
    <xf numFmtId="182" fontId="20" fillId="0" borderId="0" xfId="0" applyNumberFormat="1" applyFont="1" applyAlignment="1" applyProtection="1">
      <alignment horizontal="center" vertical="center"/>
      <protection locked="0"/>
    </xf>
    <xf numFmtId="182" fontId="20" fillId="0" borderId="19" xfId="0" applyNumberFormat="1" applyFont="1" applyBorder="1" applyAlignment="1" applyProtection="1">
      <alignment horizontal="center" vertical="center"/>
      <protection locked="0"/>
    </xf>
    <xf numFmtId="182" fontId="20" fillId="0" borderId="27" xfId="0" applyNumberFormat="1" applyFont="1" applyBorder="1" applyAlignment="1" applyProtection="1">
      <alignment horizontal="center" vertical="center"/>
      <protection locked="0"/>
    </xf>
    <xf numFmtId="182" fontId="20" fillId="0" borderId="18" xfId="0" applyNumberFormat="1" applyFont="1" applyBorder="1" applyAlignment="1" applyProtection="1">
      <alignment horizontal="center" vertical="center"/>
      <protection locked="0"/>
    </xf>
    <xf numFmtId="0" fontId="20" fillId="27" borderId="28" xfId="0" applyFont="1" applyFill="1" applyBorder="1" applyAlignment="1">
      <alignment horizontal="center" vertical="center"/>
    </xf>
    <xf numFmtId="182" fontId="20" fillId="0" borderId="17" xfId="0" applyNumberFormat="1" applyFont="1" applyBorder="1" applyAlignment="1" applyProtection="1">
      <alignment vertical="center"/>
      <protection locked="0"/>
    </xf>
    <xf numFmtId="182" fontId="20" fillId="0" borderId="0" xfId="0" applyNumberFormat="1" applyFont="1" applyAlignment="1" applyProtection="1">
      <alignment vertical="center"/>
      <protection locked="0"/>
    </xf>
    <xf numFmtId="182" fontId="20" fillId="0" borderId="19" xfId="0" applyNumberFormat="1" applyFont="1" applyBorder="1" applyAlignment="1" applyProtection="1">
      <alignment vertical="center"/>
      <protection locked="0"/>
    </xf>
    <xf numFmtId="182" fontId="20" fillId="0" borderId="20" xfId="0" applyNumberFormat="1" applyFont="1" applyBorder="1" applyAlignment="1" applyProtection="1">
      <alignment vertical="center"/>
      <protection locked="0"/>
    </xf>
    <xf numFmtId="182" fontId="20" fillId="0" borderId="21" xfId="0" applyNumberFormat="1" applyFont="1" applyBorder="1" applyAlignment="1" applyProtection="1">
      <alignment vertical="center"/>
      <protection locked="0"/>
    </xf>
    <xf numFmtId="182" fontId="20" fillId="0" borderId="25" xfId="0" applyNumberFormat="1" applyFont="1" applyBorder="1" applyAlignment="1" applyProtection="1">
      <alignment vertical="center"/>
      <protection locked="0"/>
    </xf>
    <xf numFmtId="0" fontId="99" fillId="0" borderId="0" xfId="0" applyFont="1" applyAlignment="1">
      <alignment/>
    </xf>
    <xf numFmtId="0" fontId="99" fillId="0" borderId="21" xfId="0" applyFont="1" applyBorder="1" applyAlignment="1">
      <alignment vertical="center"/>
    </xf>
    <xf numFmtId="0" fontId="100" fillId="0" borderId="0" xfId="0" applyFont="1" applyAlignment="1">
      <alignment/>
    </xf>
    <xf numFmtId="0" fontId="100" fillId="0" borderId="0" xfId="0" applyFont="1" applyAlignment="1">
      <alignment/>
    </xf>
    <xf numFmtId="2" fontId="20" fillId="29" borderId="0" xfId="0" applyNumberFormat="1" applyFont="1" applyFill="1" applyAlignment="1">
      <alignment horizontal="center" vertical="center"/>
    </xf>
    <xf numFmtId="2" fontId="20" fillId="29" borderId="18" xfId="0" applyNumberFormat="1" applyFont="1" applyFill="1" applyBorder="1" applyAlignment="1">
      <alignment horizontal="center" vertical="center"/>
    </xf>
    <xf numFmtId="2" fontId="22" fillId="29" borderId="21" xfId="0" applyNumberFormat="1" applyFont="1" applyFill="1" applyBorder="1" applyAlignment="1">
      <alignment horizontal="center" vertical="center"/>
    </xf>
    <xf numFmtId="2" fontId="20" fillId="29" borderId="18" xfId="0" applyNumberFormat="1" applyFont="1" applyFill="1" applyBorder="1" applyAlignment="1">
      <alignment horizontal="center" vertical="center"/>
    </xf>
    <xf numFmtId="2" fontId="20" fillId="29" borderId="17" xfId="0" applyNumberFormat="1" applyFont="1" applyFill="1" applyBorder="1" applyAlignment="1">
      <alignment horizontal="center" vertical="center"/>
    </xf>
    <xf numFmtId="182" fontId="20" fillId="0" borderId="17" xfId="0" applyNumberFormat="1" applyFont="1" applyBorder="1" applyAlignment="1" applyProtection="1">
      <alignment horizontal="center" vertical="center"/>
      <protection locked="0"/>
    </xf>
    <xf numFmtId="2" fontId="99" fillId="0" borderId="10" xfId="0" applyNumberFormat="1" applyFont="1" applyBorder="1" applyAlignment="1">
      <alignment horizontal="center" vertical="center"/>
    </xf>
    <xf numFmtId="2" fontId="22" fillId="29" borderId="20" xfId="0" applyNumberFormat="1" applyFont="1" applyFill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2" fontId="20" fillId="29" borderId="17" xfId="0" applyNumberFormat="1" applyFont="1" applyFill="1" applyBorder="1" applyAlignment="1">
      <alignment horizontal="center" vertical="center"/>
    </xf>
    <xf numFmtId="2" fontId="20" fillId="29" borderId="0" xfId="0" applyNumberFormat="1" applyFont="1" applyFill="1" applyAlignment="1">
      <alignment horizontal="center" vertical="center"/>
    </xf>
    <xf numFmtId="0" fontId="21" fillId="28" borderId="0" xfId="0" applyFont="1" applyFill="1" applyAlignment="1">
      <alignment horizontal="left" vertical="center"/>
    </xf>
    <xf numFmtId="0" fontId="21" fillId="28" borderId="19" xfId="0" applyFont="1" applyFill="1" applyBorder="1" applyAlignment="1">
      <alignment horizontal="left" vertical="center"/>
    </xf>
    <xf numFmtId="2" fontId="20" fillId="29" borderId="18" xfId="0" applyNumberFormat="1" applyFont="1" applyFill="1" applyBorder="1" applyAlignment="1">
      <alignment horizontal="center" vertical="center"/>
    </xf>
    <xf numFmtId="194" fontId="20" fillId="27" borderId="19" xfId="0" applyNumberFormat="1" applyFont="1" applyFill="1" applyBorder="1" applyAlignment="1">
      <alignment horizontal="left" vertical="center"/>
    </xf>
    <xf numFmtId="194" fontId="20" fillId="27" borderId="26" xfId="0" applyNumberFormat="1" applyFont="1" applyFill="1" applyBorder="1" applyAlignment="1">
      <alignment horizontal="left" vertical="center"/>
    </xf>
    <xf numFmtId="182" fontId="20" fillId="0" borderId="26" xfId="0" applyNumberFormat="1" applyFont="1" applyBorder="1" applyAlignment="1" applyProtection="1">
      <alignment horizontal="center" vertical="center"/>
      <protection locked="0"/>
    </xf>
    <xf numFmtId="182" fontId="20" fillId="0" borderId="20" xfId="0" applyNumberFormat="1" applyFont="1" applyBorder="1" applyAlignment="1" applyProtection="1">
      <alignment horizontal="center" vertical="center"/>
      <protection locked="0"/>
    </xf>
    <xf numFmtId="182" fontId="20" fillId="0" borderId="21" xfId="0" applyNumberFormat="1" applyFont="1" applyBorder="1" applyAlignment="1" applyProtection="1">
      <alignment horizontal="center" vertical="center"/>
      <protection locked="0"/>
    </xf>
    <xf numFmtId="182" fontId="20" fillId="0" borderId="25" xfId="0" applyNumberFormat="1" applyFont="1" applyBorder="1" applyAlignment="1" applyProtection="1">
      <alignment horizontal="center" vertical="center"/>
      <protection locked="0"/>
    </xf>
    <xf numFmtId="0" fontId="80" fillId="0" borderId="10" xfId="0" applyFont="1" applyBorder="1" applyAlignment="1">
      <alignment horizontal="center" vertical="center"/>
    </xf>
    <xf numFmtId="2" fontId="22" fillId="29" borderId="20" xfId="0" applyNumberFormat="1" applyFont="1" applyFill="1" applyBorder="1" applyAlignment="1">
      <alignment horizontal="center" vertical="center"/>
    </xf>
    <xf numFmtId="2" fontId="20" fillId="29" borderId="20" xfId="0" applyNumberFormat="1" applyFont="1" applyFill="1" applyBorder="1" applyAlignment="1">
      <alignment horizontal="center" vertical="center"/>
    </xf>
    <xf numFmtId="2" fontId="20" fillId="29" borderId="21" xfId="0" applyNumberFormat="1" applyFont="1" applyFill="1" applyBorder="1" applyAlignment="1">
      <alignment horizontal="center" vertical="center"/>
    </xf>
    <xf numFmtId="2" fontId="22" fillId="29" borderId="21" xfId="0" applyNumberFormat="1" applyFont="1" applyFill="1" applyBorder="1" applyAlignment="1">
      <alignment horizontal="center" vertical="center"/>
    </xf>
    <xf numFmtId="194" fontId="20" fillId="27" borderId="25" xfId="0" applyNumberFormat="1" applyFont="1" applyFill="1" applyBorder="1" applyAlignment="1">
      <alignment horizontal="left" vertical="center"/>
    </xf>
    <xf numFmtId="2" fontId="80" fillId="0" borderId="10" xfId="0" applyNumberFormat="1" applyFont="1" applyBorder="1" applyAlignment="1">
      <alignment horizontal="center" vertical="center"/>
    </xf>
    <xf numFmtId="194" fontId="20" fillId="30" borderId="19" xfId="0" applyNumberFormat="1" applyFont="1" applyFill="1" applyBorder="1" applyAlignment="1">
      <alignment horizontal="left" vertical="center"/>
    </xf>
    <xf numFmtId="180" fontId="23" fillId="0" borderId="0" xfId="0" applyNumberFormat="1" applyFont="1" applyAlignment="1">
      <alignment horizontal="center" vertical="center"/>
    </xf>
    <xf numFmtId="180" fontId="101" fillId="0" borderId="0" xfId="0" applyNumberFormat="1" applyFont="1" applyAlignment="1">
      <alignment horizontal="center" vertical="center"/>
    </xf>
    <xf numFmtId="0" fontId="21" fillId="28" borderId="21" xfId="0" applyFont="1" applyFill="1" applyBorder="1" applyAlignment="1">
      <alignment horizontal="left" vertical="center"/>
    </xf>
    <xf numFmtId="0" fontId="21" fillId="28" borderId="25" xfId="0" applyFont="1" applyFill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 wrapText="1"/>
    </xf>
    <xf numFmtId="2" fontId="94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0" fontId="99" fillId="0" borderId="18" xfId="0" applyFont="1" applyBorder="1" applyAlignment="1">
      <alignment vertical="center"/>
    </xf>
    <xf numFmtId="0" fontId="94" fillId="0" borderId="0" xfId="0" applyFont="1" applyAlignment="1">
      <alignment vertical="center"/>
    </xf>
    <xf numFmtId="180" fontId="23" fillId="0" borderId="0" xfId="0" applyNumberFormat="1" applyFont="1" applyAlignment="1">
      <alignment vertical="center"/>
    </xf>
    <xf numFmtId="0" fontId="9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99" fillId="0" borderId="0" xfId="0" applyFont="1" applyAlignment="1">
      <alignment horizontal="center" vertical="center"/>
    </xf>
    <xf numFmtId="186" fontId="94" fillId="29" borderId="29" xfId="0" applyNumberFormat="1" applyFont="1" applyFill="1" applyBorder="1" applyAlignment="1">
      <alignment horizontal="center" vertical="center"/>
    </xf>
    <xf numFmtId="180" fontId="23" fillId="29" borderId="30" xfId="0" applyNumberFormat="1" applyFont="1" applyFill="1" applyBorder="1" applyAlignment="1">
      <alignment horizontal="center" vertical="center"/>
    </xf>
    <xf numFmtId="2" fontId="99" fillId="0" borderId="0" xfId="0" applyNumberFormat="1" applyFont="1" applyAlignment="1">
      <alignment horizontal="center" vertical="center"/>
    </xf>
    <xf numFmtId="0" fontId="22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vertical="center"/>
    </xf>
    <xf numFmtId="0" fontId="37" fillId="0" borderId="19" xfId="0" applyFont="1" applyBorder="1" applyAlignment="1">
      <alignment/>
    </xf>
    <xf numFmtId="0" fontId="37" fillId="0" borderId="25" xfId="0" applyFont="1" applyBorder="1" applyAlignment="1">
      <alignment/>
    </xf>
    <xf numFmtId="196" fontId="20" fillId="0" borderId="0" xfId="0" applyNumberFormat="1" applyFont="1" applyAlignment="1" applyProtection="1">
      <alignment vertical="center"/>
      <protection locked="0"/>
    </xf>
    <xf numFmtId="183" fontId="20" fillId="0" borderId="0" xfId="0" applyNumberFormat="1" applyFont="1" applyAlignment="1" applyProtection="1">
      <alignment vertical="center"/>
      <protection locked="0"/>
    </xf>
    <xf numFmtId="180" fontId="40" fillId="0" borderId="0" xfId="0" applyNumberFormat="1" applyFont="1" applyAlignment="1" applyProtection="1">
      <alignment vertical="center"/>
      <protection locked="0"/>
    </xf>
    <xf numFmtId="180" fontId="22" fillId="0" borderId="0" xfId="0" applyNumberFormat="1" applyFont="1" applyAlignment="1">
      <alignment vertical="center"/>
    </xf>
    <xf numFmtId="0" fontId="20" fillId="0" borderId="20" xfId="0" applyFont="1" applyBorder="1" applyAlignment="1">
      <alignment horizontal="left" vertical="center"/>
    </xf>
    <xf numFmtId="167" fontId="36" fillId="0" borderId="0" xfId="0" applyNumberFormat="1" applyFont="1" applyAlignment="1">
      <alignment vertical="center"/>
    </xf>
    <xf numFmtId="180" fontId="20" fillId="0" borderId="0" xfId="0" applyNumberFormat="1" applyFont="1" applyAlignment="1">
      <alignment vertical="center"/>
    </xf>
    <xf numFmtId="180" fontId="101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86" fontId="94" fillId="29" borderId="31" xfId="0" applyNumberFormat="1" applyFont="1" applyFill="1" applyBorder="1" applyAlignment="1">
      <alignment horizontal="center" vertical="center"/>
    </xf>
    <xf numFmtId="186" fontId="94" fillId="29" borderId="30" xfId="0" applyNumberFormat="1" applyFont="1" applyFill="1" applyBorder="1" applyAlignment="1">
      <alignment horizontal="center" vertical="center"/>
    </xf>
    <xf numFmtId="167" fontId="102" fillId="31" borderId="28" xfId="0" applyNumberFormat="1" applyFont="1" applyFill="1" applyBorder="1" applyAlignment="1">
      <alignment vertical="center"/>
    </xf>
    <xf numFmtId="167" fontId="102" fillId="31" borderId="10" xfId="0" applyNumberFormat="1" applyFont="1" applyFill="1" applyBorder="1" applyAlignment="1">
      <alignment vertical="center"/>
    </xf>
    <xf numFmtId="167" fontId="102" fillId="31" borderId="32" xfId="0" applyNumberFormat="1" applyFont="1" applyFill="1" applyBorder="1" applyAlignment="1">
      <alignment vertical="center"/>
    </xf>
    <xf numFmtId="0" fontId="20" fillId="0" borderId="27" xfId="0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0" fontId="21" fillId="28" borderId="18" xfId="0" applyFont="1" applyFill="1" applyBorder="1" applyAlignment="1">
      <alignment horizontal="left" vertical="center"/>
    </xf>
    <xf numFmtId="0" fontId="26" fillId="0" borderId="0" xfId="0" applyFont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vertical="center"/>
      <protection locked="0"/>
    </xf>
    <xf numFmtId="0" fontId="20" fillId="0" borderId="19" xfId="0" applyFont="1" applyBorder="1" applyAlignment="1" applyProtection="1">
      <alignment vertical="center"/>
      <protection locked="0"/>
    </xf>
    <xf numFmtId="185" fontId="20" fillId="0" borderId="21" xfId="0" applyNumberFormat="1" applyFont="1" applyBorder="1" applyAlignment="1">
      <alignment vertical="center"/>
    </xf>
    <xf numFmtId="185" fontId="20" fillId="0" borderId="25" xfId="0" applyNumberFormat="1" applyFont="1" applyBorder="1" applyAlignment="1">
      <alignment vertical="center"/>
    </xf>
    <xf numFmtId="0" fontId="22" fillId="27" borderId="25" xfId="0" applyFont="1" applyFill="1" applyBorder="1" applyAlignment="1">
      <alignment horizontal="left" vertical="center"/>
    </xf>
    <xf numFmtId="0" fontId="36" fillId="0" borderId="0" xfId="0" applyFont="1" applyAlignment="1">
      <alignment vertical="center" wrapText="1"/>
    </xf>
    <xf numFmtId="0" fontId="103" fillId="0" borderId="0" xfId="0" applyFont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204" fontId="36" fillId="0" borderId="0" xfId="0" applyNumberFormat="1" applyFont="1" applyAlignment="1" applyProtection="1">
      <alignment horizontal="center" vertical="center"/>
      <protection locked="0"/>
    </xf>
    <xf numFmtId="43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167" fontId="20" fillId="0" borderId="0" xfId="0" applyNumberFormat="1" applyFont="1" applyAlignment="1">
      <alignment horizontal="center" vertical="center"/>
    </xf>
    <xf numFmtId="175" fontId="20" fillId="0" borderId="0" xfId="0" applyNumberFormat="1" applyFont="1" applyAlignment="1" applyProtection="1">
      <alignment vertical="center"/>
      <protection locked="0"/>
    </xf>
    <xf numFmtId="175" fontId="21" fillId="0" borderId="0" xfId="0" applyNumberFormat="1" applyFont="1" applyAlignment="1" applyProtection="1">
      <alignment vertical="center"/>
      <protection locked="0"/>
    </xf>
    <xf numFmtId="177" fontId="20" fillId="0" borderId="0" xfId="0" applyNumberFormat="1" applyFont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5" fontId="22" fillId="0" borderId="0" xfId="0" applyNumberFormat="1" applyFont="1" applyAlignment="1">
      <alignment vertical="center"/>
    </xf>
    <xf numFmtId="175" fontId="23" fillId="0" borderId="0" xfId="0" applyNumberFormat="1" applyFont="1" applyAlignment="1">
      <alignment vertical="center"/>
    </xf>
    <xf numFmtId="0" fontId="39" fillId="0" borderId="0" xfId="0" applyFont="1" applyAlignment="1">
      <alignment wrapText="1"/>
    </xf>
    <xf numFmtId="0" fontId="52" fillId="0" borderId="0" xfId="0" applyFont="1" applyAlignment="1">
      <alignment/>
    </xf>
    <xf numFmtId="0" fontId="45" fillId="0" borderId="0" xfId="0" applyFont="1" applyAlignment="1">
      <alignment/>
    </xf>
    <xf numFmtId="194" fontId="20" fillId="27" borderId="25" xfId="0" applyNumberFormat="1" applyFont="1" applyFill="1" applyBorder="1" applyAlignment="1">
      <alignment vertical="center"/>
    </xf>
    <xf numFmtId="0" fontId="80" fillId="0" borderId="21" xfId="0" applyFont="1" applyBorder="1" applyAlignment="1">
      <alignment vertical="center"/>
    </xf>
    <xf numFmtId="2" fontId="80" fillId="0" borderId="0" xfId="0" applyNumberFormat="1" applyFont="1" applyAlignment="1">
      <alignment horizontal="center" vertical="center"/>
    </xf>
    <xf numFmtId="186" fontId="86" fillId="29" borderId="29" xfId="0" applyNumberFormat="1" applyFont="1" applyFill="1" applyBorder="1" applyAlignment="1">
      <alignment horizontal="center" vertical="center"/>
    </xf>
    <xf numFmtId="186" fontId="20" fillId="32" borderId="33" xfId="0" applyNumberFormat="1" applyFont="1" applyFill="1" applyBorder="1" applyAlignment="1">
      <alignment horizontal="center" vertical="center"/>
    </xf>
    <xf numFmtId="0" fontId="82" fillId="33" borderId="34" xfId="0" applyFont="1" applyFill="1" applyBorder="1" applyAlignment="1">
      <alignment horizontal="center"/>
    </xf>
    <xf numFmtId="0" fontId="82" fillId="34" borderId="34" xfId="0" applyFont="1" applyFill="1" applyBorder="1" applyAlignment="1">
      <alignment horizontal="center"/>
    </xf>
    <xf numFmtId="171" fontId="83" fillId="0" borderId="35" xfId="0" applyNumberFormat="1" applyFont="1" applyBorder="1" applyAlignment="1" applyProtection="1">
      <alignment horizontal="left" vertical="center"/>
      <protection locked="0"/>
    </xf>
    <xf numFmtId="171" fontId="83" fillId="0" borderId="0" xfId="0" applyNumberFormat="1" applyFont="1" applyAlignment="1" applyProtection="1">
      <alignment horizontal="left" vertical="center"/>
      <protection locked="0"/>
    </xf>
    <xf numFmtId="0" fontId="29" fillId="35" borderId="0" xfId="0" applyFont="1" applyFill="1" applyAlignment="1">
      <alignment horizontal="center" vertical="center"/>
    </xf>
    <xf numFmtId="167" fontId="20" fillId="26" borderId="0" xfId="0" applyNumberFormat="1" applyFont="1" applyFill="1" applyAlignment="1" applyProtection="1">
      <alignment horizontal="center" vertical="center"/>
      <protection locked="0"/>
    </xf>
    <xf numFmtId="0" fontId="20" fillId="29" borderId="0" xfId="0" applyFont="1" applyFill="1" applyAlignment="1">
      <alignment horizontal="center" vertical="center"/>
    </xf>
    <xf numFmtId="167" fontId="20" fillId="36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167" fontId="20" fillId="0" borderId="0" xfId="0" applyNumberFormat="1" applyFont="1" applyAlignment="1">
      <alignment horizontal="center" vertical="center"/>
    </xf>
    <xf numFmtId="0" fontId="22" fillId="36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9" fillId="25" borderId="0" xfId="0" applyFont="1" applyFill="1" applyAlignment="1">
      <alignment horizontal="center" vertical="center" wrapText="1"/>
    </xf>
    <xf numFmtId="0" fontId="20" fillId="35" borderId="0" xfId="0" applyFont="1" applyFill="1" applyAlignment="1">
      <alignment horizontal="left" vertical="center"/>
    </xf>
    <xf numFmtId="167" fontId="20" fillId="4" borderId="0" xfId="0" applyNumberFormat="1" applyFont="1" applyFill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167" fontId="20" fillId="37" borderId="0" xfId="0" applyNumberFormat="1" applyFont="1" applyFill="1" applyAlignment="1">
      <alignment horizontal="center" vertical="center"/>
    </xf>
    <xf numFmtId="0" fontId="22" fillId="8" borderId="16" xfId="0" applyFont="1" applyFill="1" applyBorder="1" applyAlignment="1">
      <alignment horizontal="center" vertical="center"/>
    </xf>
    <xf numFmtId="0" fontId="22" fillId="37" borderId="16" xfId="0" applyFont="1" applyFill="1" applyBorder="1" applyAlignment="1">
      <alignment horizontal="center" vertical="center"/>
    </xf>
    <xf numFmtId="204" fontId="36" fillId="26" borderId="16" xfId="0" applyNumberFormat="1" applyFont="1" applyFill="1" applyBorder="1" applyAlignment="1" applyProtection="1">
      <alignment horizontal="center" vertical="center"/>
      <protection locked="0"/>
    </xf>
    <xf numFmtId="43" fontId="39" fillId="36" borderId="16" xfId="0" applyNumberFormat="1" applyFont="1" applyFill="1" applyBorder="1" applyAlignment="1">
      <alignment horizontal="center" vertical="center"/>
    </xf>
    <xf numFmtId="0" fontId="102" fillId="38" borderId="0" xfId="0" applyFont="1" applyFill="1" applyAlignment="1">
      <alignment horizontal="center" vertical="center"/>
    </xf>
    <xf numFmtId="0" fontId="103" fillId="38" borderId="0" xfId="0" applyFont="1" applyFill="1" applyAlignment="1">
      <alignment horizontal="center" vertical="center"/>
    </xf>
    <xf numFmtId="0" fontId="26" fillId="39" borderId="0" xfId="0" applyFont="1" applyFill="1" applyAlignment="1">
      <alignment horizontal="center" vertical="center"/>
    </xf>
    <xf numFmtId="0" fontId="104" fillId="0" borderId="0" xfId="0" applyFont="1" applyAlignment="1">
      <alignment horizontal="center" vertical="center"/>
    </xf>
    <xf numFmtId="185" fontId="20" fillId="0" borderId="17" xfId="0" applyNumberFormat="1" applyFont="1" applyBorder="1" applyAlignment="1">
      <alignment horizontal="center" vertical="center"/>
    </xf>
    <xf numFmtId="185" fontId="20" fillId="0" borderId="19" xfId="0" applyNumberFormat="1" applyFont="1" applyBorder="1" applyAlignment="1">
      <alignment horizontal="center" vertical="center"/>
    </xf>
    <xf numFmtId="167" fontId="20" fillId="40" borderId="20" xfId="0" applyNumberFormat="1" applyFont="1" applyFill="1" applyBorder="1" applyAlignment="1">
      <alignment horizontal="center" vertical="center"/>
    </xf>
    <xf numFmtId="167" fontId="20" fillId="40" borderId="25" xfId="0" applyNumberFormat="1" applyFont="1" applyFill="1" applyBorder="1" applyAlignment="1">
      <alignment horizontal="center" vertical="center"/>
    </xf>
    <xf numFmtId="167" fontId="20" fillId="40" borderId="17" xfId="0" applyNumberFormat="1" applyFont="1" applyFill="1" applyBorder="1" applyAlignment="1">
      <alignment horizontal="center" vertical="center"/>
    </xf>
    <xf numFmtId="167" fontId="20" fillId="40" borderId="19" xfId="0" applyNumberFormat="1" applyFont="1" applyFill="1" applyBorder="1" applyAlignment="1">
      <alignment horizontal="center" vertical="center"/>
    </xf>
    <xf numFmtId="185" fontId="94" fillId="0" borderId="17" xfId="0" applyNumberFormat="1" applyFont="1" applyBorder="1" applyAlignment="1">
      <alignment horizontal="center" vertical="center"/>
    </xf>
    <xf numFmtId="185" fontId="94" fillId="0" borderId="19" xfId="0" applyNumberFormat="1" applyFont="1" applyBorder="1" applyAlignment="1">
      <alignment horizontal="center" vertical="center"/>
    </xf>
    <xf numFmtId="9" fontId="20" fillId="0" borderId="17" xfId="0" applyNumberFormat="1" applyFont="1" applyBorder="1" applyAlignment="1">
      <alignment horizontal="center" vertical="center"/>
    </xf>
    <xf numFmtId="9" fontId="20" fillId="0" borderId="19" xfId="0" applyNumberFormat="1" applyFont="1" applyBorder="1" applyAlignment="1">
      <alignment horizontal="center" vertical="center"/>
    </xf>
    <xf numFmtId="185" fontId="20" fillId="26" borderId="17" xfId="0" applyNumberFormat="1" applyFont="1" applyFill="1" applyBorder="1" applyAlignment="1" applyProtection="1">
      <alignment horizontal="center" vertical="center"/>
      <protection locked="0"/>
    </xf>
    <xf numFmtId="185" fontId="20" fillId="26" borderId="19" xfId="0" applyNumberFormat="1" applyFont="1" applyFill="1" applyBorder="1" applyAlignment="1" applyProtection="1">
      <alignment horizontal="center" vertical="center"/>
      <protection locked="0"/>
    </xf>
    <xf numFmtId="186" fontId="40" fillId="26" borderId="17" xfId="0" applyNumberFormat="1" applyFont="1" applyFill="1" applyBorder="1" applyAlignment="1" applyProtection="1">
      <alignment horizontal="center" vertical="center"/>
      <protection locked="0"/>
    </xf>
    <xf numFmtId="186" fontId="40" fillId="26" borderId="19" xfId="0" applyNumberFormat="1" applyFont="1" applyFill="1" applyBorder="1" applyAlignment="1" applyProtection="1">
      <alignment horizontal="center" vertical="center"/>
      <protection locked="0"/>
    </xf>
    <xf numFmtId="186" fontId="20" fillId="0" borderId="17" xfId="0" applyNumberFormat="1" applyFont="1" applyBorder="1" applyAlignment="1">
      <alignment horizontal="center" vertical="center"/>
    </xf>
    <xf numFmtId="186" fontId="20" fillId="0" borderId="19" xfId="0" applyNumberFormat="1" applyFont="1" applyBorder="1" applyAlignment="1">
      <alignment horizontal="center" vertical="center"/>
    </xf>
    <xf numFmtId="180" fontId="22" fillId="0" borderId="17" xfId="0" applyNumberFormat="1" applyFont="1" applyBorder="1" applyAlignment="1">
      <alignment horizontal="center" vertical="center"/>
    </xf>
    <xf numFmtId="180" fontId="22" fillId="0" borderId="19" xfId="0" applyNumberFormat="1" applyFont="1" applyBorder="1" applyAlignment="1">
      <alignment horizontal="center" vertical="center"/>
    </xf>
    <xf numFmtId="187" fontId="20" fillId="41" borderId="17" xfId="0" applyNumberFormat="1" applyFont="1" applyFill="1" applyBorder="1" applyAlignment="1" applyProtection="1">
      <alignment horizontal="center" vertical="center"/>
      <protection locked="0"/>
    </xf>
    <xf numFmtId="187" fontId="20" fillId="41" borderId="19" xfId="0" applyNumberFormat="1" applyFont="1" applyFill="1" applyBorder="1" applyAlignment="1" applyProtection="1">
      <alignment horizontal="center" vertical="center"/>
      <protection locked="0"/>
    </xf>
    <xf numFmtId="0" fontId="98" fillId="0" borderId="20" xfId="0" applyFont="1" applyBorder="1" applyAlignment="1">
      <alignment horizontal="center" vertical="center"/>
    </xf>
    <xf numFmtId="0" fontId="98" fillId="0" borderId="25" xfId="0" applyFont="1" applyBorder="1" applyAlignment="1">
      <alignment horizontal="center" vertical="center"/>
    </xf>
    <xf numFmtId="0" fontId="39" fillId="42" borderId="28" xfId="0" applyFont="1" applyFill="1" applyBorder="1" applyAlignment="1">
      <alignment horizontal="center" vertical="center"/>
    </xf>
    <xf numFmtId="0" fontId="39" fillId="42" borderId="32" xfId="0" applyFont="1" applyFill="1" applyBorder="1" applyAlignment="1">
      <alignment horizontal="center" vertical="center"/>
    </xf>
    <xf numFmtId="167" fontId="20" fillId="0" borderId="20" xfId="0" applyNumberFormat="1" applyFont="1" applyBorder="1" applyAlignment="1">
      <alignment horizontal="center" vertical="center"/>
    </xf>
    <xf numFmtId="167" fontId="20" fillId="0" borderId="25" xfId="0" applyNumberFormat="1" applyFont="1" applyBorder="1" applyAlignment="1">
      <alignment horizontal="center" vertical="center"/>
    </xf>
    <xf numFmtId="167" fontId="20" fillId="26" borderId="17" xfId="0" applyNumberFormat="1" applyFont="1" applyFill="1" applyBorder="1" applyAlignment="1" applyProtection="1">
      <alignment horizontal="center" vertical="center"/>
      <protection locked="0"/>
    </xf>
    <xf numFmtId="167" fontId="20" fillId="26" borderId="19" xfId="0" applyNumberFormat="1" applyFont="1" applyFill="1" applyBorder="1" applyAlignment="1" applyProtection="1">
      <alignment horizontal="center" vertical="center"/>
      <protection locked="0"/>
    </xf>
    <xf numFmtId="0" fontId="26" fillId="28" borderId="10" xfId="0" applyFont="1" applyFill="1" applyBorder="1" applyAlignment="1">
      <alignment horizontal="center" vertical="center"/>
    </xf>
    <xf numFmtId="0" fontId="26" fillId="28" borderId="32" xfId="0" applyFont="1" applyFill="1" applyBorder="1" applyAlignment="1">
      <alignment horizontal="center" vertical="center"/>
    </xf>
    <xf numFmtId="0" fontId="26" fillId="28" borderId="28" xfId="0" applyFont="1" applyFill="1" applyBorder="1" applyAlignment="1">
      <alignment horizontal="center" vertical="center"/>
    </xf>
    <xf numFmtId="0" fontId="39" fillId="42" borderId="10" xfId="0" applyFont="1" applyFill="1" applyBorder="1" applyAlignment="1">
      <alignment horizontal="center" vertical="center"/>
    </xf>
    <xf numFmtId="0" fontId="34" fillId="42" borderId="28" xfId="0" applyFont="1" applyFill="1" applyBorder="1" applyAlignment="1">
      <alignment horizontal="center" vertical="center" wrapText="1"/>
    </xf>
    <xf numFmtId="0" fontId="34" fillId="42" borderId="32" xfId="0" applyFont="1" applyFill="1" applyBorder="1" applyAlignment="1">
      <alignment horizontal="center" vertical="center" wrapText="1"/>
    </xf>
    <xf numFmtId="0" fontId="46" fillId="42" borderId="28" xfId="0" applyFont="1" applyFill="1" applyBorder="1" applyAlignment="1">
      <alignment horizontal="center" vertical="center"/>
    </xf>
    <xf numFmtId="0" fontId="46" fillId="42" borderId="32" xfId="0" applyFont="1" applyFill="1" applyBorder="1" applyAlignment="1">
      <alignment horizontal="center" vertical="center"/>
    </xf>
    <xf numFmtId="0" fontId="39" fillId="43" borderId="28" xfId="0" applyFont="1" applyFill="1" applyBorder="1" applyAlignment="1">
      <alignment horizontal="center" vertical="center"/>
    </xf>
    <xf numFmtId="0" fontId="39" fillId="43" borderId="10" xfId="0" applyFont="1" applyFill="1" applyBorder="1" applyAlignment="1">
      <alignment horizontal="center" vertical="center"/>
    </xf>
    <xf numFmtId="0" fontId="39" fillId="43" borderId="32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9" xfId="0" applyFont="1" applyBorder="1" applyAlignment="1">
      <alignment horizontal="center"/>
    </xf>
    <xf numFmtId="2" fontId="20" fillId="29" borderId="17" xfId="0" applyNumberFormat="1" applyFont="1" applyFill="1" applyBorder="1" applyAlignment="1">
      <alignment horizontal="center" vertical="center"/>
    </xf>
    <xf numFmtId="2" fontId="20" fillId="29" borderId="0" xfId="0" applyNumberFormat="1" applyFont="1" applyFill="1" applyAlignment="1">
      <alignment horizontal="center" vertical="center"/>
    </xf>
    <xf numFmtId="2" fontId="20" fillId="29" borderId="19" xfId="0" applyNumberFormat="1" applyFont="1" applyFill="1" applyBorder="1" applyAlignment="1">
      <alignment horizontal="center" vertical="center"/>
    </xf>
    <xf numFmtId="2" fontId="20" fillId="29" borderId="20" xfId="0" applyNumberFormat="1" applyFont="1" applyFill="1" applyBorder="1" applyAlignment="1">
      <alignment horizontal="center" vertical="center"/>
    </xf>
    <xf numFmtId="2" fontId="20" fillId="29" borderId="21" xfId="0" applyNumberFormat="1" applyFont="1" applyFill="1" applyBorder="1" applyAlignment="1">
      <alignment horizontal="center" vertical="center"/>
    </xf>
    <xf numFmtId="2" fontId="20" fillId="29" borderId="25" xfId="0" applyNumberFormat="1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2" fontId="20" fillId="29" borderId="27" xfId="0" applyNumberFormat="1" applyFont="1" applyFill="1" applyBorder="1" applyAlignment="1">
      <alignment horizontal="center" vertical="center"/>
    </xf>
    <xf numFmtId="2" fontId="20" fillId="29" borderId="18" xfId="0" applyNumberFormat="1" applyFont="1" applyFill="1" applyBorder="1" applyAlignment="1">
      <alignment horizontal="center" vertical="center"/>
    </xf>
    <xf numFmtId="2" fontId="20" fillId="29" borderId="26" xfId="0" applyNumberFormat="1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180" fontId="23" fillId="29" borderId="20" xfId="0" applyNumberFormat="1" applyFont="1" applyFill="1" applyBorder="1" applyAlignment="1">
      <alignment horizontal="center" vertical="center"/>
    </xf>
    <xf numFmtId="180" fontId="23" fillId="29" borderId="21" xfId="0" applyNumberFormat="1" applyFont="1" applyFill="1" applyBorder="1" applyAlignment="1">
      <alignment horizontal="center" vertical="center"/>
    </xf>
    <xf numFmtId="180" fontId="23" fillId="29" borderId="25" xfId="0" applyNumberFormat="1" applyFont="1" applyFill="1" applyBorder="1" applyAlignment="1">
      <alignment horizontal="center" vertical="center"/>
    </xf>
    <xf numFmtId="186" fontId="86" fillId="29" borderId="17" xfId="0" applyNumberFormat="1" applyFont="1" applyFill="1" applyBorder="1" applyAlignment="1">
      <alignment horizontal="center" vertical="center"/>
    </xf>
    <xf numFmtId="186" fontId="86" fillId="29" borderId="0" xfId="0" applyNumberFormat="1" applyFont="1" applyFill="1" applyAlignment="1">
      <alignment horizontal="center" vertical="center"/>
    </xf>
    <xf numFmtId="186" fontId="86" fillId="29" borderId="19" xfId="0" applyNumberFormat="1" applyFont="1" applyFill="1" applyBorder="1" applyAlignment="1">
      <alignment horizontal="center" vertical="center"/>
    </xf>
    <xf numFmtId="186" fontId="86" fillId="29" borderId="27" xfId="0" applyNumberFormat="1" applyFont="1" applyFill="1" applyBorder="1" applyAlignment="1">
      <alignment horizontal="center" vertical="center"/>
    </xf>
    <xf numFmtId="186" fontId="86" fillId="29" borderId="18" xfId="0" applyNumberFormat="1" applyFont="1" applyFill="1" applyBorder="1" applyAlignment="1">
      <alignment horizontal="center" vertical="center"/>
    </xf>
    <xf numFmtId="186" fontId="86" fillId="29" borderId="26" xfId="0" applyNumberFormat="1" applyFont="1" applyFill="1" applyBorder="1" applyAlignment="1">
      <alignment horizontal="center" vertical="center"/>
    </xf>
    <xf numFmtId="167" fontId="20" fillId="44" borderId="20" xfId="0" applyNumberFormat="1" applyFont="1" applyFill="1" applyBorder="1" applyAlignment="1">
      <alignment horizontal="center" vertical="center"/>
    </xf>
    <xf numFmtId="167" fontId="20" fillId="44" borderId="21" xfId="0" applyNumberFormat="1" applyFont="1" applyFill="1" applyBorder="1" applyAlignment="1">
      <alignment horizontal="center" vertical="center"/>
    </xf>
    <xf numFmtId="167" fontId="20" fillId="44" borderId="25" xfId="0" applyNumberFormat="1" applyFont="1" applyFill="1" applyBorder="1" applyAlignment="1">
      <alignment horizontal="center" vertical="center"/>
    </xf>
    <xf numFmtId="182" fontId="20" fillId="0" borderId="17" xfId="0" applyNumberFormat="1" applyFont="1" applyBorder="1" applyAlignment="1" applyProtection="1">
      <alignment horizontal="center" vertical="center"/>
      <protection locked="0"/>
    </xf>
    <xf numFmtId="182" fontId="20" fillId="0" borderId="0" xfId="0" applyNumberFormat="1" applyFont="1" applyAlignment="1" applyProtection="1">
      <alignment horizontal="center" vertical="center"/>
      <protection locked="0"/>
    </xf>
    <xf numFmtId="182" fontId="20" fillId="0" borderId="19" xfId="0" applyNumberFormat="1" applyFont="1" applyBorder="1" applyAlignment="1" applyProtection="1">
      <alignment horizontal="center" vertical="center"/>
      <protection locked="0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167" fontId="20" fillId="0" borderId="0" xfId="0" applyNumberFormat="1" applyFont="1" applyAlignment="1" applyProtection="1">
      <alignment horizontal="center" vertical="center"/>
      <protection locked="0"/>
    </xf>
    <xf numFmtId="167" fontId="20" fillId="0" borderId="19" xfId="0" applyNumberFormat="1" applyFont="1" applyBorder="1" applyAlignment="1" applyProtection="1">
      <alignment horizontal="center" vertical="center"/>
      <protection locked="0"/>
    </xf>
    <xf numFmtId="186" fontId="99" fillId="29" borderId="17" xfId="0" applyNumberFormat="1" applyFont="1" applyFill="1" applyBorder="1" applyAlignment="1">
      <alignment horizontal="center" vertical="center"/>
    </xf>
    <xf numFmtId="186" fontId="99" fillId="29" borderId="0" xfId="0" applyNumberFormat="1" applyFont="1" applyFill="1" applyAlignment="1">
      <alignment horizontal="center" vertical="center"/>
    </xf>
    <xf numFmtId="186" fontId="99" fillId="29" borderId="19" xfId="0" applyNumberFormat="1" applyFont="1" applyFill="1" applyBorder="1" applyAlignment="1">
      <alignment horizontal="center" vertical="center"/>
    </xf>
    <xf numFmtId="167" fontId="20" fillId="0" borderId="27" xfId="0" applyNumberFormat="1" applyFont="1" applyBorder="1" applyAlignment="1">
      <alignment horizontal="center" vertical="center"/>
    </xf>
    <xf numFmtId="167" fontId="20" fillId="0" borderId="18" xfId="0" applyNumberFormat="1" applyFont="1" applyBorder="1" applyAlignment="1">
      <alignment horizontal="center" vertical="center"/>
    </xf>
    <xf numFmtId="167" fontId="20" fillId="0" borderId="26" xfId="0" applyNumberFormat="1" applyFont="1" applyBorder="1" applyAlignment="1">
      <alignment horizontal="center" vertical="center"/>
    </xf>
    <xf numFmtId="0" fontId="20" fillId="27" borderId="28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/>
    </xf>
    <xf numFmtId="0" fontId="20" fillId="27" borderId="32" xfId="0" applyFont="1" applyFill="1" applyBorder="1" applyAlignment="1">
      <alignment horizontal="center" vertical="center"/>
    </xf>
    <xf numFmtId="2" fontId="94" fillId="0" borderId="0" xfId="0" applyNumberFormat="1" applyFont="1" applyAlignment="1">
      <alignment horizontal="center" vertical="center"/>
    </xf>
    <xf numFmtId="185" fontId="20" fillId="0" borderId="20" xfId="0" applyNumberFormat="1" applyFont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0" fontId="38" fillId="25" borderId="0" xfId="0" applyFont="1" applyFill="1" applyAlignment="1">
      <alignment horizontal="left" vertical="center"/>
    </xf>
    <xf numFmtId="2" fontId="80" fillId="0" borderId="18" xfId="0" applyNumberFormat="1" applyFont="1" applyBorder="1" applyAlignment="1">
      <alignment horizontal="center" vertical="center"/>
    </xf>
    <xf numFmtId="171" fontId="20" fillId="0" borderId="0" xfId="0" applyNumberFormat="1" applyFont="1" applyAlignment="1">
      <alignment horizontal="left" vertical="center"/>
    </xf>
    <xf numFmtId="164" fontId="20" fillId="0" borderId="0" xfId="0" applyNumberFormat="1" applyFont="1" applyAlignment="1">
      <alignment horizontal="left" vertical="center"/>
    </xf>
    <xf numFmtId="2" fontId="20" fillId="0" borderId="0" xfId="0" applyNumberFormat="1" applyFont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2" fontId="80" fillId="0" borderId="10" xfId="0" applyNumberFormat="1" applyFont="1" applyBorder="1" applyAlignment="1">
      <alignment horizontal="center" vertical="center"/>
    </xf>
    <xf numFmtId="194" fontId="22" fillId="45" borderId="31" xfId="0" applyNumberFormat="1" applyFont="1" applyFill="1" applyBorder="1" applyAlignment="1">
      <alignment horizontal="center" vertical="center" textRotation="90"/>
    </xf>
    <xf numFmtId="194" fontId="22" fillId="45" borderId="29" xfId="0" applyNumberFormat="1" applyFont="1" applyFill="1" applyBorder="1" applyAlignment="1">
      <alignment horizontal="center" vertical="center" textRotation="90"/>
    </xf>
    <xf numFmtId="194" fontId="22" fillId="45" borderId="30" xfId="0" applyNumberFormat="1" applyFont="1" applyFill="1" applyBorder="1" applyAlignment="1">
      <alignment horizontal="center" vertical="center" textRotation="90"/>
    </xf>
    <xf numFmtId="167" fontId="20" fillId="46" borderId="27" xfId="0" applyNumberFormat="1" applyFont="1" applyFill="1" applyBorder="1" applyAlignment="1">
      <alignment horizontal="center" vertical="center"/>
    </xf>
    <xf numFmtId="167" fontId="20" fillId="46" borderId="18" xfId="0" applyNumberFormat="1" applyFont="1" applyFill="1" applyBorder="1" applyAlignment="1">
      <alignment horizontal="center" vertical="center"/>
    </xf>
    <xf numFmtId="167" fontId="20" fillId="46" borderId="26" xfId="0" applyNumberFormat="1" applyFont="1" applyFill="1" applyBorder="1" applyAlignment="1">
      <alignment horizontal="center" vertical="center"/>
    </xf>
    <xf numFmtId="167" fontId="20" fillId="44" borderId="20" xfId="0" applyNumberFormat="1" applyFont="1" applyFill="1" applyBorder="1" applyAlignment="1" applyProtection="1">
      <alignment horizontal="center" vertical="center"/>
      <protection locked="0"/>
    </xf>
    <xf numFmtId="167" fontId="20" fillId="44" borderId="21" xfId="0" applyNumberFormat="1" applyFont="1" applyFill="1" applyBorder="1" applyAlignment="1" applyProtection="1">
      <alignment horizontal="center" vertical="center"/>
      <protection locked="0"/>
    </xf>
    <xf numFmtId="167" fontId="20" fillId="44" borderId="25" xfId="0" applyNumberFormat="1" applyFont="1" applyFill="1" applyBorder="1" applyAlignment="1" applyProtection="1">
      <alignment horizontal="center" vertical="center"/>
      <protection locked="0"/>
    </xf>
    <xf numFmtId="0" fontId="94" fillId="0" borderId="0" xfId="0" applyFont="1" applyAlignment="1">
      <alignment horizontal="center" vertical="center"/>
    </xf>
    <xf numFmtId="0" fontId="26" fillId="47" borderId="28" xfId="0" applyFont="1" applyFill="1" applyBorder="1" applyAlignment="1">
      <alignment horizontal="center" vertical="center"/>
    </xf>
    <xf numFmtId="0" fontId="26" fillId="47" borderId="10" xfId="0" applyFont="1" applyFill="1" applyBorder="1" applyAlignment="1">
      <alignment horizontal="center" vertical="center"/>
    </xf>
    <xf numFmtId="0" fontId="26" fillId="47" borderId="32" xfId="0" applyFont="1" applyFill="1" applyBorder="1" applyAlignment="1">
      <alignment horizontal="center" vertical="center"/>
    </xf>
    <xf numFmtId="183" fontId="20" fillId="0" borderId="0" xfId="0" applyNumberFormat="1" applyFont="1" applyAlignment="1" applyProtection="1">
      <alignment horizontal="center" vertical="center"/>
      <protection locked="0"/>
    </xf>
    <xf numFmtId="183" fontId="20" fillId="0" borderId="19" xfId="0" applyNumberFormat="1" applyFont="1" applyBorder="1" applyAlignment="1" applyProtection="1">
      <alignment horizontal="center" vertical="center"/>
      <protection locked="0"/>
    </xf>
    <xf numFmtId="180" fontId="20" fillId="0" borderId="0" xfId="0" applyNumberFormat="1" applyFont="1" applyAlignment="1" applyProtection="1">
      <alignment horizontal="center" vertical="center"/>
      <protection locked="0"/>
    </xf>
    <xf numFmtId="180" fontId="20" fillId="0" borderId="19" xfId="0" applyNumberFormat="1" applyFont="1" applyBorder="1" applyAlignment="1" applyProtection="1">
      <alignment horizontal="center" vertical="center"/>
      <protection locked="0"/>
    </xf>
    <xf numFmtId="180" fontId="23" fillId="0" borderId="0" xfId="0" applyNumberFormat="1" applyFont="1" applyAlignment="1">
      <alignment horizontal="center" vertical="center"/>
    </xf>
    <xf numFmtId="180" fontId="23" fillId="0" borderId="19" xfId="0" applyNumberFormat="1" applyFont="1" applyBorder="1" applyAlignment="1">
      <alignment horizontal="center" vertical="center"/>
    </xf>
    <xf numFmtId="180" fontId="22" fillId="0" borderId="0" xfId="0" applyNumberFormat="1" applyFont="1" applyAlignment="1">
      <alignment horizontal="center" vertical="center"/>
    </xf>
    <xf numFmtId="182" fontId="20" fillId="0" borderId="20" xfId="0" applyNumberFormat="1" applyFont="1" applyBorder="1" applyAlignment="1" applyProtection="1">
      <alignment horizontal="center" vertical="center"/>
      <protection locked="0"/>
    </xf>
    <xf numFmtId="182" fontId="20" fillId="0" borderId="21" xfId="0" applyNumberFormat="1" applyFont="1" applyBorder="1" applyAlignment="1" applyProtection="1">
      <alignment horizontal="center" vertical="center"/>
      <protection locked="0"/>
    </xf>
    <xf numFmtId="182" fontId="20" fillId="0" borderId="25" xfId="0" applyNumberFormat="1" applyFont="1" applyBorder="1" applyAlignment="1" applyProtection="1">
      <alignment horizontal="center" vertical="center"/>
      <protection locked="0"/>
    </xf>
    <xf numFmtId="0" fontId="26" fillId="48" borderId="28" xfId="0" applyFont="1" applyFill="1" applyBorder="1" applyAlignment="1">
      <alignment horizontal="center" vertical="center"/>
    </xf>
    <xf numFmtId="0" fontId="26" fillId="48" borderId="10" xfId="0" applyFont="1" applyFill="1" applyBorder="1" applyAlignment="1">
      <alignment horizontal="center" vertical="center"/>
    </xf>
    <xf numFmtId="0" fontId="26" fillId="49" borderId="28" xfId="0" applyFont="1" applyFill="1" applyBorder="1" applyAlignment="1">
      <alignment horizontal="center" vertical="center"/>
    </xf>
    <xf numFmtId="0" fontId="26" fillId="49" borderId="10" xfId="0" applyFont="1" applyFill="1" applyBorder="1" applyAlignment="1">
      <alignment horizontal="center" vertical="center"/>
    </xf>
    <xf numFmtId="0" fontId="26" fillId="49" borderId="32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178" fontId="22" fillId="0" borderId="0" xfId="0" applyNumberFormat="1" applyFont="1" applyAlignment="1">
      <alignment horizontal="left" vertical="center"/>
    </xf>
    <xf numFmtId="14" fontId="20" fillId="0" borderId="0" xfId="0" applyNumberFormat="1" applyFont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2" fontId="99" fillId="0" borderId="18" xfId="0" applyNumberFormat="1" applyFont="1" applyBorder="1" applyAlignment="1">
      <alignment horizontal="center" vertical="center"/>
    </xf>
    <xf numFmtId="2" fontId="99" fillId="0" borderId="10" xfId="0" applyNumberFormat="1" applyFont="1" applyBorder="1" applyAlignment="1">
      <alignment horizontal="center" vertical="center"/>
    </xf>
    <xf numFmtId="0" fontId="24" fillId="29" borderId="18" xfId="0" applyFont="1" applyFill="1" applyBorder="1" applyAlignment="1">
      <alignment horizontal="center" vertical="center"/>
    </xf>
    <xf numFmtId="0" fontId="24" fillId="29" borderId="26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25" xfId="0" applyFont="1" applyFill="1" applyBorder="1" applyAlignment="1">
      <alignment horizontal="center" vertical="center"/>
    </xf>
    <xf numFmtId="0" fontId="22" fillId="45" borderId="26" xfId="0" applyFont="1" applyFill="1" applyBorder="1" applyAlignment="1">
      <alignment horizontal="center" vertical="center"/>
    </xf>
    <xf numFmtId="0" fontId="22" fillId="45" borderId="19" xfId="0" applyFont="1" applyFill="1" applyBorder="1" applyAlignment="1">
      <alignment horizontal="center" vertical="center"/>
    </xf>
    <xf numFmtId="0" fontId="22" fillId="45" borderId="25" xfId="0" applyFont="1" applyFill="1" applyBorder="1" applyAlignment="1">
      <alignment horizontal="center" vertical="center"/>
    </xf>
    <xf numFmtId="0" fontId="38" fillId="50" borderId="0" xfId="0" applyFont="1" applyFill="1" applyAlignment="1">
      <alignment horizontal="center" vertical="center"/>
    </xf>
    <xf numFmtId="0" fontId="86" fillId="29" borderId="0" xfId="0" applyFont="1" applyFill="1" applyAlignment="1">
      <alignment horizontal="center" vertical="center"/>
    </xf>
    <xf numFmtId="0" fontId="38" fillId="25" borderId="0" xfId="0" applyFont="1" applyFill="1" applyAlignment="1">
      <alignment horizontal="center" vertical="center"/>
    </xf>
    <xf numFmtId="0" fontId="92" fillId="0" borderId="0" xfId="0" applyFont="1" applyAlignment="1">
      <alignment horizontal="center" vertical="center"/>
    </xf>
    <xf numFmtId="196" fontId="80" fillId="0" borderId="18" xfId="0" applyNumberFormat="1" applyFont="1" applyBorder="1" applyAlignment="1">
      <alignment horizontal="center" vertical="center"/>
    </xf>
    <xf numFmtId="196" fontId="80" fillId="0" borderId="26" xfId="0" applyNumberFormat="1" applyFont="1" applyBorder="1" applyAlignment="1">
      <alignment horizontal="center" vertical="center"/>
    </xf>
    <xf numFmtId="167" fontId="36" fillId="26" borderId="0" xfId="0" applyNumberFormat="1" applyFont="1" applyFill="1" applyAlignment="1">
      <alignment horizontal="center" vertical="center"/>
    </xf>
    <xf numFmtId="167" fontId="36" fillId="26" borderId="19" xfId="0" applyNumberFormat="1" applyFont="1" applyFill="1" applyBorder="1" applyAlignment="1">
      <alignment horizontal="center" vertical="center"/>
    </xf>
    <xf numFmtId="180" fontId="20" fillId="0" borderId="21" xfId="0" applyNumberFormat="1" applyFont="1" applyBorder="1" applyAlignment="1">
      <alignment horizontal="center" vertical="center"/>
    </xf>
    <xf numFmtId="180" fontId="20" fillId="0" borderId="25" xfId="0" applyNumberFormat="1" applyFont="1" applyBorder="1" applyAlignment="1">
      <alignment horizontal="center" vertical="center"/>
    </xf>
    <xf numFmtId="180" fontId="22" fillId="0" borderId="27" xfId="0" applyNumberFormat="1" applyFont="1" applyBorder="1" applyAlignment="1">
      <alignment horizontal="center" vertical="center"/>
    </xf>
    <xf numFmtId="180" fontId="22" fillId="0" borderId="26" xfId="0" applyNumberFormat="1" applyFont="1" applyBorder="1" applyAlignment="1">
      <alignment horizontal="center" vertical="center"/>
    </xf>
    <xf numFmtId="185" fontId="20" fillId="0" borderId="27" xfId="0" applyNumberFormat="1" applyFont="1" applyBorder="1" applyAlignment="1">
      <alignment horizontal="center" vertical="center"/>
    </xf>
    <xf numFmtId="185" fontId="20" fillId="0" borderId="26" xfId="0" applyNumberFormat="1" applyFont="1" applyBorder="1" applyAlignment="1">
      <alignment horizontal="center" vertical="center"/>
    </xf>
    <xf numFmtId="168" fontId="20" fillId="26" borderId="0" xfId="0" applyNumberFormat="1" applyFont="1" applyFill="1" applyAlignment="1" applyProtection="1">
      <alignment horizontal="center" vertical="center"/>
      <protection locked="0"/>
    </xf>
    <xf numFmtId="0" fontId="20" fillId="26" borderId="0" xfId="0" applyFont="1" applyFill="1" applyAlignment="1" applyProtection="1">
      <alignment horizontal="center" vertical="center"/>
      <protection locked="0"/>
    </xf>
    <xf numFmtId="167" fontId="105" fillId="51" borderId="28" xfId="0" applyNumberFormat="1" applyFont="1" applyFill="1" applyBorder="1" applyAlignment="1">
      <alignment horizontal="center" vertical="center"/>
    </xf>
    <xf numFmtId="167" fontId="105" fillId="51" borderId="10" xfId="0" applyNumberFormat="1" applyFont="1" applyFill="1" applyBorder="1" applyAlignment="1">
      <alignment horizontal="center" vertical="center"/>
    </xf>
    <xf numFmtId="167" fontId="105" fillId="51" borderId="32" xfId="0" applyNumberFormat="1" applyFont="1" applyFill="1" applyBorder="1" applyAlignment="1">
      <alignment horizontal="center" vertical="center"/>
    </xf>
    <xf numFmtId="0" fontId="22" fillId="45" borderId="31" xfId="0" applyFont="1" applyFill="1" applyBorder="1" applyAlignment="1">
      <alignment horizontal="center" vertical="center" textRotation="90"/>
    </xf>
    <xf numFmtId="0" fontId="22" fillId="45" borderId="29" xfId="0" applyFont="1" applyFill="1" applyBorder="1" applyAlignment="1">
      <alignment horizontal="center" vertical="center" textRotation="90"/>
    </xf>
    <xf numFmtId="0" fontId="22" fillId="45" borderId="30" xfId="0" applyFont="1" applyFill="1" applyBorder="1" applyAlignment="1">
      <alignment horizontal="center" vertical="center" textRotation="90"/>
    </xf>
    <xf numFmtId="180" fontId="21" fillId="0" borderId="0" xfId="0" applyNumberFormat="1" applyFont="1" applyAlignment="1">
      <alignment horizontal="center" vertical="center"/>
    </xf>
    <xf numFmtId="180" fontId="21" fillId="0" borderId="19" xfId="0" applyNumberFormat="1" applyFont="1" applyBorder="1" applyAlignment="1">
      <alignment horizontal="center" vertical="center"/>
    </xf>
    <xf numFmtId="188" fontId="20" fillId="0" borderId="0" xfId="0" applyNumberFormat="1" applyFont="1" applyAlignment="1">
      <alignment horizontal="center" vertical="center"/>
    </xf>
    <xf numFmtId="167" fontId="20" fillId="0" borderId="20" xfId="0" applyNumberFormat="1" applyFont="1" applyBorder="1" applyAlignment="1" applyProtection="1">
      <alignment horizontal="center" vertical="center"/>
      <protection locked="0"/>
    </xf>
    <xf numFmtId="167" fontId="20" fillId="0" borderId="21" xfId="0" applyNumberFormat="1" applyFont="1" applyBorder="1" applyAlignment="1" applyProtection="1">
      <alignment horizontal="center" vertical="center"/>
      <protection locked="0"/>
    </xf>
    <xf numFmtId="167" fontId="20" fillId="0" borderId="25" xfId="0" applyNumberFormat="1" applyFont="1" applyBorder="1" applyAlignment="1" applyProtection="1">
      <alignment horizontal="center" vertical="center"/>
      <protection locked="0"/>
    </xf>
    <xf numFmtId="200" fontId="80" fillId="0" borderId="0" xfId="0" applyNumberFormat="1" applyFont="1" applyAlignment="1">
      <alignment horizontal="center" vertical="center"/>
    </xf>
    <xf numFmtId="179" fontId="20" fillId="52" borderId="27" xfId="0" applyNumberFormat="1" applyFont="1" applyFill="1" applyBorder="1" applyAlignment="1" applyProtection="1">
      <alignment horizontal="center" vertical="center"/>
      <protection locked="0"/>
    </xf>
    <xf numFmtId="179" fontId="20" fillId="52" borderId="18" xfId="0" applyNumberFormat="1" applyFont="1" applyFill="1" applyBorder="1" applyAlignment="1" applyProtection="1">
      <alignment horizontal="center" vertical="center"/>
      <protection locked="0"/>
    </xf>
    <xf numFmtId="179" fontId="20" fillId="52" borderId="26" xfId="0" applyNumberFormat="1" applyFont="1" applyFill="1" applyBorder="1" applyAlignment="1" applyProtection="1">
      <alignment horizontal="center" vertical="center"/>
      <protection locked="0"/>
    </xf>
    <xf numFmtId="179" fontId="20" fillId="52" borderId="20" xfId="0" applyNumberFormat="1" applyFont="1" applyFill="1" applyBorder="1" applyAlignment="1" applyProtection="1">
      <alignment horizontal="center" vertical="center"/>
      <protection locked="0"/>
    </xf>
    <xf numFmtId="179" fontId="20" fillId="52" borderId="21" xfId="0" applyNumberFormat="1" applyFont="1" applyFill="1" applyBorder="1" applyAlignment="1" applyProtection="1">
      <alignment horizontal="center" vertical="center"/>
      <protection locked="0"/>
    </xf>
    <xf numFmtId="179" fontId="20" fillId="52" borderId="25" xfId="0" applyNumberFormat="1" applyFont="1" applyFill="1" applyBorder="1" applyAlignment="1" applyProtection="1">
      <alignment horizontal="center" vertical="center"/>
      <protection locked="0"/>
    </xf>
    <xf numFmtId="0" fontId="31" fillId="53" borderId="28" xfId="0" applyFont="1" applyFill="1" applyBorder="1" applyAlignment="1">
      <alignment horizontal="center" vertical="center"/>
    </xf>
    <xf numFmtId="0" fontId="31" fillId="53" borderId="10" xfId="0" applyFont="1" applyFill="1" applyBorder="1" applyAlignment="1">
      <alignment horizontal="center" vertical="center"/>
    </xf>
    <xf numFmtId="0" fontId="31" fillId="53" borderId="32" xfId="0" applyFont="1" applyFill="1" applyBorder="1" applyAlignment="1">
      <alignment horizontal="center" vertical="center"/>
    </xf>
    <xf numFmtId="0" fontId="23" fillId="52" borderId="27" xfId="0" applyFont="1" applyFill="1" applyBorder="1" applyAlignment="1">
      <alignment horizontal="center" vertical="center" wrapText="1"/>
    </xf>
    <xf numFmtId="0" fontId="23" fillId="52" borderId="18" xfId="0" applyFont="1" applyFill="1" applyBorder="1" applyAlignment="1">
      <alignment horizontal="center" vertical="center" wrapText="1"/>
    </xf>
    <xf numFmtId="0" fontId="23" fillId="52" borderId="26" xfId="0" applyFont="1" applyFill="1" applyBorder="1" applyAlignment="1">
      <alignment horizontal="center" vertical="center" wrapText="1"/>
    </xf>
    <xf numFmtId="0" fontId="23" fillId="52" borderId="20" xfId="0" applyFont="1" applyFill="1" applyBorder="1" applyAlignment="1">
      <alignment horizontal="center" vertical="center" wrapText="1"/>
    </xf>
    <xf numFmtId="0" fontId="23" fillId="52" borderId="21" xfId="0" applyFont="1" applyFill="1" applyBorder="1" applyAlignment="1">
      <alignment horizontal="center" vertical="center" wrapText="1"/>
    </xf>
    <xf numFmtId="0" fontId="23" fillId="52" borderId="25" xfId="0" applyFont="1" applyFill="1" applyBorder="1" applyAlignment="1">
      <alignment horizontal="center" vertical="center" wrapText="1"/>
    </xf>
    <xf numFmtId="0" fontId="23" fillId="54" borderId="27" xfId="0" applyFont="1" applyFill="1" applyBorder="1" applyAlignment="1">
      <alignment horizontal="center" vertical="center" wrapText="1"/>
    </xf>
    <xf numFmtId="0" fontId="23" fillId="54" borderId="18" xfId="0" applyFont="1" applyFill="1" applyBorder="1" applyAlignment="1">
      <alignment horizontal="center" vertical="center" wrapText="1"/>
    </xf>
    <xf numFmtId="0" fontId="23" fillId="54" borderId="26" xfId="0" applyFont="1" applyFill="1" applyBorder="1" applyAlignment="1">
      <alignment horizontal="center" vertical="center" wrapText="1"/>
    </xf>
    <xf numFmtId="0" fontId="23" fillId="54" borderId="20" xfId="0" applyFont="1" applyFill="1" applyBorder="1" applyAlignment="1">
      <alignment horizontal="center" vertical="center" wrapText="1"/>
    </xf>
    <xf numFmtId="0" fontId="23" fillId="54" borderId="21" xfId="0" applyFont="1" applyFill="1" applyBorder="1" applyAlignment="1">
      <alignment horizontal="center" vertical="center" wrapText="1"/>
    </xf>
    <xf numFmtId="0" fontId="23" fillId="54" borderId="25" xfId="0" applyFont="1" applyFill="1" applyBorder="1" applyAlignment="1">
      <alignment horizontal="center" vertical="center" wrapText="1"/>
    </xf>
    <xf numFmtId="10" fontId="20" fillId="0" borderId="28" xfId="0" applyNumberFormat="1" applyFont="1" applyBorder="1" applyAlignment="1">
      <alignment horizontal="center" vertical="center"/>
    </xf>
    <xf numFmtId="10" fontId="20" fillId="0" borderId="10" xfId="0" applyNumberFormat="1" applyFont="1" applyBorder="1" applyAlignment="1">
      <alignment horizontal="center" vertical="center"/>
    </xf>
    <xf numFmtId="10" fontId="20" fillId="0" borderId="32" xfId="0" applyNumberFormat="1" applyFont="1" applyBorder="1" applyAlignment="1">
      <alignment horizontal="center" vertical="center"/>
    </xf>
    <xf numFmtId="0" fontId="20" fillId="54" borderId="27" xfId="0" applyFont="1" applyFill="1" applyBorder="1" applyAlignment="1">
      <alignment horizontal="center" vertical="center" wrapText="1"/>
    </xf>
    <xf numFmtId="0" fontId="20" fillId="54" borderId="18" xfId="0" applyFont="1" applyFill="1" applyBorder="1" applyAlignment="1">
      <alignment horizontal="center" vertical="center" wrapText="1"/>
    </xf>
    <xf numFmtId="0" fontId="20" fillId="54" borderId="26" xfId="0" applyFont="1" applyFill="1" applyBorder="1" applyAlignment="1">
      <alignment horizontal="center" vertical="center" wrapText="1"/>
    </xf>
    <xf numFmtId="0" fontId="20" fillId="54" borderId="20" xfId="0" applyFont="1" applyFill="1" applyBorder="1" applyAlignment="1">
      <alignment horizontal="center" vertical="center" wrapText="1"/>
    </xf>
    <xf numFmtId="0" fontId="20" fillId="54" borderId="21" xfId="0" applyFont="1" applyFill="1" applyBorder="1" applyAlignment="1">
      <alignment horizontal="center" vertical="center" wrapText="1"/>
    </xf>
    <xf numFmtId="0" fontId="20" fillId="54" borderId="25" xfId="0" applyFont="1" applyFill="1" applyBorder="1" applyAlignment="1">
      <alignment horizontal="center" vertical="center" wrapText="1"/>
    </xf>
    <xf numFmtId="185" fontId="20" fillId="0" borderId="10" xfId="0" applyNumberFormat="1" applyFont="1" applyBorder="1" applyAlignment="1">
      <alignment horizontal="center" vertical="center"/>
    </xf>
    <xf numFmtId="185" fontId="20" fillId="0" borderId="32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167" fontId="20" fillId="0" borderId="28" xfId="0" applyNumberFormat="1" applyFont="1" applyBorder="1" applyAlignment="1">
      <alignment horizontal="center" vertical="center"/>
    </xf>
    <xf numFmtId="167" fontId="20" fillId="0" borderId="10" xfId="0" applyNumberFormat="1" applyFont="1" applyBorder="1" applyAlignment="1">
      <alignment horizontal="center" vertical="center"/>
    </xf>
    <xf numFmtId="167" fontId="20" fillId="0" borderId="32" xfId="0" applyNumberFormat="1" applyFont="1" applyBorder="1" applyAlignment="1">
      <alignment horizontal="center" vertical="center"/>
    </xf>
    <xf numFmtId="0" fontId="39" fillId="42" borderId="36" xfId="0" applyFont="1" applyFill="1" applyBorder="1" applyAlignment="1">
      <alignment horizontal="center" vertical="center"/>
    </xf>
    <xf numFmtId="188" fontId="20" fillId="52" borderId="27" xfId="0" applyNumberFormat="1" applyFont="1" applyFill="1" applyBorder="1" applyAlignment="1" applyProtection="1">
      <alignment horizontal="center" vertical="center"/>
      <protection locked="0"/>
    </xf>
    <xf numFmtId="188" fontId="20" fillId="52" borderId="18" xfId="0" applyNumberFormat="1" applyFont="1" applyFill="1" applyBorder="1" applyAlignment="1" applyProtection="1">
      <alignment horizontal="center" vertical="center"/>
      <protection locked="0"/>
    </xf>
    <xf numFmtId="188" fontId="20" fillId="52" borderId="26" xfId="0" applyNumberFormat="1" applyFont="1" applyFill="1" applyBorder="1" applyAlignment="1" applyProtection="1">
      <alignment horizontal="center" vertical="center"/>
      <protection locked="0"/>
    </xf>
    <xf numFmtId="188" fontId="20" fillId="52" borderId="20" xfId="0" applyNumberFormat="1" applyFont="1" applyFill="1" applyBorder="1" applyAlignment="1" applyProtection="1">
      <alignment horizontal="center" vertical="center"/>
      <protection locked="0"/>
    </xf>
    <xf numFmtId="188" fontId="20" fillId="52" borderId="21" xfId="0" applyNumberFormat="1" applyFont="1" applyFill="1" applyBorder="1" applyAlignment="1" applyProtection="1">
      <alignment horizontal="center" vertical="center"/>
      <protection locked="0"/>
    </xf>
    <xf numFmtId="188" fontId="20" fillId="52" borderId="25" xfId="0" applyNumberFormat="1" applyFont="1" applyFill="1" applyBorder="1" applyAlignment="1" applyProtection="1">
      <alignment horizontal="center" vertical="center"/>
      <protection locked="0"/>
    </xf>
    <xf numFmtId="179" fontId="20" fillId="54" borderId="27" xfId="0" applyNumberFormat="1" applyFont="1" applyFill="1" applyBorder="1" applyAlignment="1">
      <alignment horizontal="center" vertical="center" wrapText="1"/>
    </xf>
    <xf numFmtId="179" fontId="20" fillId="54" borderId="18" xfId="0" applyNumberFormat="1" applyFont="1" applyFill="1" applyBorder="1" applyAlignment="1">
      <alignment horizontal="center" vertical="center" wrapText="1"/>
    </xf>
    <xf numFmtId="179" fontId="20" fillId="54" borderId="26" xfId="0" applyNumberFormat="1" applyFont="1" applyFill="1" applyBorder="1" applyAlignment="1">
      <alignment horizontal="center" vertical="center" wrapText="1"/>
    </xf>
    <xf numFmtId="179" fontId="20" fillId="54" borderId="20" xfId="0" applyNumberFormat="1" applyFont="1" applyFill="1" applyBorder="1" applyAlignment="1">
      <alignment horizontal="center" vertical="center" wrapText="1"/>
    </xf>
    <xf numFmtId="179" fontId="20" fillId="54" borderId="21" xfId="0" applyNumberFormat="1" applyFont="1" applyFill="1" applyBorder="1" applyAlignment="1">
      <alignment horizontal="center" vertical="center" wrapText="1"/>
    </xf>
    <xf numFmtId="179" fontId="20" fillId="54" borderId="25" xfId="0" applyNumberFormat="1" applyFont="1" applyFill="1" applyBorder="1" applyAlignment="1">
      <alignment horizontal="center" vertical="center" wrapText="1"/>
    </xf>
    <xf numFmtId="203" fontId="20" fillId="54" borderId="27" xfId="0" applyNumberFormat="1" applyFont="1" applyFill="1" applyBorder="1" applyAlignment="1" applyProtection="1">
      <alignment horizontal="center" vertical="center" wrapText="1"/>
      <protection locked="0"/>
    </xf>
    <xf numFmtId="203" fontId="20" fillId="54" borderId="18" xfId="0" applyNumberFormat="1" applyFont="1" applyFill="1" applyBorder="1" applyAlignment="1" applyProtection="1">
      <alignment horizontal="center" vertical="center" wrapText="1"/>
      <protection locked="0"/>
    </xf>
    <xf numFmtId="203" fontId="20" fillId="54" borderId="20" xfId="0" applyNumberFormat="1" applyFont="1" applyFill="1" applyBorder="1" applyAlignment="1" applyProtection="1">
      <alignment horizontal="center" vertical="center" wrapText="1"/>
      <protection locked="0"/>
    </xf>
    <xf numFmtId="203" fontId="20" fillId="54" borderId="21" xfId="0" applyNumberFormat="1" applyFont="1" applyFill="1" applyBorder="1" applyAlignment="1" applyProtection="1">
      <alignment horizontal="center" vertical="center" wrapText="1"/>
      <protection locked="0"/>
    </xf>
    <xf numFmtId="0" fontId="46" fillId="52" borderId="27" xfId="0" applyFont="1" applyFill="1" applyBorder="1" applyAlignment="1">
      <alignment horizontal="center" vertical="center" wrapText="1"/>
    </xf>
    <xf numFmtId="0" fontId="46" fillId="52" borderId="18" xfId="0" applyFont="1" applyFill="1" applyBorder="1" applyAlignment="1">
      <alignment horizontal="center" vertical="center" wrapText="1"/>
    </xf>
    <xf numFmtId="0" fontId="46" fillId="52" borderId="26" xfId="0" applyFont="1" applyFill="1" applyBorder="1" applyAlignment="1">
      <alignment horizontal="center" vertical="center" wrapText="1"/>
    </xf>
    <xf numFmtId="0" fontId="46" fillId="52" borderId="20" xfId="0" applyFont="1" applyFill="1" applyBorder="1" applyAlignment="1">
      <alignment horizontal="center" vertical="center" wrapText="1"/>
    </xf>
    <xf numFmtId="0" fontId="46" fillId="52" borderId="21" xfId="0" applyFont="1" applyFill="1" applyBorder="1" applyAlignment="1">
      <alignment horizontal="center" vertical="center" wrapText="1"/>
    </xf>
    <xf numFmtId="0" fontId="46" fillId="52" borderId="25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185" fontId="31" fillId="55" borderId="28" xfId="0" applyNumberFormat="1" applyFont="1" applyFill="1" applyBorder="1" applyAlignment="1">
      <alignment horizontal="center" vertical="center"/>
    </xf>
    <xf numFmtId="185" fontId="31" fillId="55" borderId="10" xfId="0" applyNumberFormat="1" applyFont="1" applyFill="1" applyBorder="1" applyAlignment="1">
      <alignment horizontal="center" vertical="center"/>
    </xf>
    <xf numFmtId="185" fontId="31" fillId="55" borderId="32" xfId="0" applyNumberFormat="1" applyFont="1" applyFill="1" applyBorder="1" applyAlignment="1">
      <alignment horizontal="center" vertical="center"/>
    </xf>
    <xf numFmtId="185" fontId="20" fillId="0" borderId="28" xfId="0" applyNumberFormat="1" applyFont="1" applyBorder="1" applyAlignment="1">
      <alignment horizontal="center" vertical="center"/>
    </xf>
    <xf numFmtId="199" fontId="20" fillId="0" borderId="28" xfId="0" applyNumberFormat="1" applyFont="1" applyBorder="1" applyAlignment="1">
      <alignment horizontal="center" vertical="center"/>
    </xf>
    <xf numFmtId="199" fontId="20" fillId="0" borderId="10" xfId="0" applyNumberFormat="1" applyFont="1" applyBorder="1" applyAlignment="1">
      <alignment horizontal="center" vertical="center"/>
    </xf>
    <xf numFmtId="199" fontId="20" fillId="0" borderId="32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167" fontId="106" fillId="51" borderId="28" xfId="0" applyNumberFormat="1" applyFont="1" applyFill="1" applyBorder="1" applyAlignment="1">
      <alignment horizontal="center" vertical="center"/>
    </xf>
    <xf numFmtId="167" fontId="106" fillId="51" borderId="10" xfId="0" applyNumberFormat="1" applyFont="1" applyFill="1" applyBorder="1" applyAlignment="1">
      <alignment horizontal="center" vertical="center"/>
    </xf>
    <xf numFmtId="167" fontId="106" fillId="51" borderId="32" xfId="0" applyNumberFormat="1" applyFont="1" applyFill="1" applyBorder="1" applyAlignment="1">
      <alignment horizontal="center" vertical="center"/>
    </xf>
    <xf numFmtId="0" fontId="22" fillId="52" borderId="27" xfId="0" applyFont="1" applyFill="1" applyBorder="1" applyAlignment="1">
      <alignment horizontal="center" vertical="center" wrapText="1"/>
    </xf>
    <xf numFmtId="0" fontId="22" fillId="52" borderId="18" xfId="0" applyFont="1" applyFill="1" applyBorder="1" applyAlignment="1">
      <alignment horizontal="center" vertical="center" wrapText="1"/>
    </xf>
    <xf numFmtId="0" fontId="22" fillId="52" borderId="20" xfId="0" applyFont="1" applyFill="1" applyBorder="1" applyAlignment="1">
      <alignment horizontal="center" vertical="center" wrapText="1"/>
    </xf>
    <xf numFmtId="0" fontId="22" fillId="52" borderId="21" xfId="0" applyFont="1" applyFill="1" applyBorder="1" applyAlignment="1">
      <alignment horizontal="center" vertical="center" wrapText="1"/>
    </xf>
    <xf numFmtId="0" fontId="39" fillId="42" borderId="37" xfId="0" applyFont="1" applyFill="1" applyBorder="1" applyAlignment="1">
      <alignment horizontal="center" vertical="center"/>
    </xf>
    <xf numFmtId="185" fontId="20" fillId="0" borderId="28" xfId="0" applyNumberFormat="1" applyFont="1" applyBorder="1" applyAlignment="1" applyProtection="1">
      <alignment horizontal="center" vertical="center"/>
      <protection locked="0"/>
    </xf>
    <xf numFmtId="185" fontId="20" fillId="0" borderId="10" xfId="0" applyNumberFormat="1" applyFont="1" applyBorder="1" applyAlignment="1" applyProtection="1">
      <alignment horizontal="center" vertical="center"/>
      <protection locked="0"/>
    </xf>
    <xf numFmtId="185" fontId="20" fillId="0" borderId="32" xfId="0" applyNumberFormat="1" applyFont="1" applyBorder="1" applyAlignment="1" applyProtection="1">
      <alignment horizontal="center" vertical="center"/>
      <protection locked="0"/>
    </xf>
    <xf numFmtId="167" fontId="20" fillId="0" borderId="19" xfId="0" applyNumberFormat="1" applyFont="1" applyBorder="1" applyAlignment="1">
      <alignment horizontal="center" vertical="center"/>
    </xf>
    <xf numFmtId="188" fontId="20" fillId="54" borderId="18" xfId="0" applyNumberFormat="1" applyFont="1" applyFill="1" applyBorder="1" applyAlignment="1" applyProtection="1">
      <alignment horizontal="center" vertical="center" wrapText="1"/>
      <protection locked="0"/>
    </xf>
    <xf numFmtId="188" fontId="20" fillId="54" borderId="26" xfId="0" applyNumberFormat="1" applyFont="1" applyFill="1" applyBorder="1" applyAlignment="1" applyProtection="1">
      <alignment horizontal="center" vertical="center" wrapText="1"/>
      <protection locked="0"/>
    </xf>
    <xf numFmtId="188" fontId="20" fillId="54" borderId="21" xfId="0" applyNumberFormat="1" applyFont="1" applyFill="1" applyBorder="1" applyAlignment="1" applyProtection="1">
      <alignment horizontal="center" vertical="center" wrapText="1"/>
      <protection locked="0"/>
    </xf>
    <xf numFmtId="188" fontId="20" fillId="54" borderId="25" xfId="0" applyNumberFormat="1" applyFont="1" applyFill="1" applyBorder="1" applyAlignment="1" applyProtection="1">
      <alignment horizontal="center" vertical="center" wrapText="1"/>
      <protection locked="0"/>
    </xf>
    <xf numFmtId="0" fontId="21" fillId="54" borderId="27" xfId="0" applyFont="1" applyFill="1" applyBorder="1" applyAlignment="1">
      <alignment horizontal="center" vertical="center" wrapText="1"/>
    </xf>
    <xf numFmtId="0" fontId="21" fillId="54" borderId="18" xfId="0" applyFont="1" applyFill="1" applyBorder="1" applyAlignment="1">
      <alignment horizontal="center" vertical="center" wrapText="1"/>
    </xf>
    <xf numFmtId="0" fontId="21" fillId="54" borderId="26" xfId="0" applyFont="1" applyFill="1" applyBorder="1" applyAlignment="1">
      <alignment horizontal="center" vertical="center" wrapText="1"/>
    </xf>
    <xf numFmtId="0" fontId="21" fillId="54" borderId="20" xfId="0" applyFont="1" applyFill="1" applyBorder="1" applyAlignment="1">
      <alignment horizontal="center" vertical="center" wrapText="1"/>
    </xf>
    <xf numFmtId="0" fontId="21" fillId="54" borderId="21" xfId="0" applyFont="1" applyFill="1" applyBorder="1" applyAlignment="1">
      <alignment horizontal="center" vertical="center" wrapText="1"/>
    </xf>
    <xf numFmtId="0" fontId="21" fillId="54" borderId="25" xfId="0" applyFont="1" applyFill="1" applyBorder="1" applyAlignment="1">
      <alignment horizontal="center" vertical="center" wrapText="1"/>
    </xf>
    <xf numFmtId="0" fontId="99" fillId="0" borderId="18" xfId="0" applyFont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107" fillId="31" borderId="28" xfId="0" applyFont="1" applyFill="1" applyBorder="1" applyAlignment="1">
      <alignment horizontal="right" vertical="center"/>
    </xf>
    <xf numFmtId="0" fontId="107" fillId="31" borderId="10" xfId="0" applyFont="1" applyFill="1" applyBorder="1" applyAlignment="1">
      <alignment horizontal="right" vertical="center"/>
    </xf>
    <xf numFmtId="0" fontId="107" fillId="31" borderId="32" xfId="0" applyFont="1" applyFill="1" applyBorder="1" applyAlignment="1">
      <alignment horizontal="right" vertical="center"/>
    </xf>
    <xf numFmtId="0" fontId="102" fillId="31" borderId="28" xfId="0" applyFont="1" applyFill="1" applyBorder="1" applyAlignment="1">
      <alignment horizontal="center" vertical="center"/>
    </xf>
    <xf numFmtId="0" fontId="102" fillId="31" borderId="10" xfId="0" applyFont="1" applyFill="1" applyBorder="1" applyAlignment="1">
      <alignment horizontal="center" vertical="center"/>
    </xf>
    <xf numFmtId="0" fontId="102" fillId="31" borderId="32" xfId="0" applyFont="1" applyFill="1" applyBorder="1" applyAlignment="1">
      <alignment horizontal="center" vertical="center"/>
    </xf>
    <xf numFmtId="167" fontId="106" fillId="31" borderId="28" xfId="0" applyNumberFormat="1" applyFont="1" applyFill="1" applyBorder="1" applyAlignment="1">
      <alignment horizontal="center" vertical="center"/>
    </xf>
    <xf numFmtId="167" fontId="106" fillId="31" borderId="10" xfId="0" applyNumberFormat="1" applyFont="1" applyFill="1" applyBorder="1" applyAlignment="1">
      <alignment horizontal="center" vertical="center"/>
    </xf>
    <xf numFmtId="167" fontId="106" fillId="31" borderId="32" xfId="0" applyNumberFormat="1" applyFont="1" applyFill="1" applyBorder="1" applyAlignment="1">
      <alignment horizontal="center" vertical="center"/>
    </xf>
    <xf numFmtId="185" fontId="20" fillId="0" borderId="0" xfId="0" applyNumberFormat="1" applyFont="1" applyAlignment="1">
      <alignment horizontal="center" vertical="center"/>
    </xf>
    <xf numFmtId="0" fontId="102" fillId="31" borderId="28" xfId="0" applyFont="1" applyFill="1" applyBorder="1" applyAlignment="1">
      <alignment horizontal="right" vertical="center" wrapText="1"/>
    </xf>
    <xf numFmtId="0" fontId="102" fillId="31" borderId="10" xfId="0" applyFont="1" applyFill="1" applyBorder="1" applyAlignment="1">
      <alignment horizontal="right" vertical="center" wrapText="1"/>
    </xf>
    <xf numFmtId="0" fontId="102" fillId="31" borderId="32" xfId="0" applyFont="1" applyFill="1" applyBorder="1" applyAlignment="1">
      <alignment horizontal="right" vertical="center" wrapText="1"/>
    </xf>
    <xf numFmtId="0" fontId="22" fillId="45" borderId="28" xfId="0" applyFont="1" applyFill="1" applyBorder="1" applyAlignment="1">
      <alignment horizontal="center" vertical="center"/>
    </xf>
    <xf numFmtId="0" fontId="22" fillId="45" borderId="32" xfId="0" applyFont="1" applyFill="1" applyBorder="1" applyAlignment="1">
      <alignment horizontal="center" vertical="center"/>
    </xf>
    <xf numFmtId="0" fontId="26" fillId="45" borderId="28" xfId="0" applyFont="1" applyFill="1" applyBorder="1" applyAlignment="1">
      <alignment horizontal="center" vertical="center" wrapText="1"/>
    </xf>
    <xf numFmtId="0" fontId="26" fillId="45" borderId="10" xfId="0" applyFont="1" applyFill="1" applyBorder="1" applyAlignment="1">
      <alignment horizontal="center" vertical="center" wrapText="1"/>
    </xf>
    <xf numFmtId="0" fontId="26" fillId="45" borderId="32" xfId="0" applyFont="1" applyFill="1" applyBorder="1" applyAlignment="1">
      <alignment horizontal="center" vertical="center" wrapText="1"/>
    </xf>
    <xf numFmtId="0" fontId="22" fillId="45" borderId="10" xfId="0" applyFont="1" applyFill="1" applyBorder="1" applyAlignment="1">
      <alignment horizontal="center" vertical="center"/>
    </xf>
    <xf numFmtId="0" fontId="22" fillId="45" borderId="27" xfId="0" applyFont="1" applyFill="1" applyBorder="1" applyAlignment="1">
      <alignment horizontal="center" vertical="center"/>
    </xf>
    <xf numFmtId="0" fontId="22" fillId="45" borderId="17" xfId="0" applyFont="1" applyFill="1" applyBorder="1" applyAlignment="1">
      <alignment horizontal="center" vertical="center"/>
    </xf>
    <xf numFmtId="0" fontId="22" fillId="45" borderId="20" xfId="0" applyFont="1" applyFill="1" applyBorder="1" applyAlignment="1">
      <alignment horizontal="center" vertical="center"/>
    </xf>
    <xf numFmtId="0" fontId="22" fillId="56" borderId="27" xfId="0" applyFont="1" applyFill="1" applyBorder="1" applyAlignment="1">
      <alignment horizontal="center" vertical="center" wrapText="1"/>
    </xf>
    <xf numFmtId="0" fontId="22" fillId="56" borderId="18" xfId="0" applyFont="1" applyFill="1" applyBorder="1" applyAlignment="1">
      <alignment horizontal="center" vertical="center" wrapText="1"/>
    </xf>
    <xf numFmtId="0" fontId="22" fillId="56" borderId="26" xfId="0" applyFont="1" applyFill="1" applyBorder="1" applyAlignment="1">
      <alignment horizontal="center" vertical="center" wrapText="1"/>
    </xf>
    <xf numFmtId="0" fontId="22" fillId="56" borderId="17" xfId="0" applyFont="1" applyFill="1" applyBorder="1" applyAlignment="1">
      <alignment horizontal="center" vertical="center" wrapText="1"/>
    </xf>
    <xf numFmtId="0" fontId="22" fillId="56" borderId="0" xfId="0" applyFont="1" applyFill="1" applyAlignment="1">
      <alignment horizontal="center" vertical="center" wrapText="1"/>
    </xf>
    <xf numFmtId="0" fontId="22" fillId="56" borderId="19" xfId="0" applyFont="1" applyFill="1" applyBorder="1" applyAlignment="1">
      <alignment horizontal="center" vertical="center" wrapText="1"/>
    </xf>
    <xf numFmtId="0" fontId="22" fillId="56" borderId="20" xfId="0" applyFont="1" applyFill="1" applyBorder="1" applyAlignment="1">
      <alignment horizontal="center" vertical="center" wrapText="1"/>
    </xf>
    <xf numFmtId="0" fontId="22" fillId="56" borderId="21" xfId="0" applyFont="1" applyFill="1" applyBorder="1" applyAlignment="1">
      <alignment horizontal="center" vertical="center" wrapText="1"/>
    </xf>
    <xf numFmtId="0" fontId="22" fillId="56" borderId="25" xfId="0" applyFont="1" applyFill="1" applyBorder="1" applyAlignment="1">
      <alignment horizontal="center" vertical="center" wrapText="1"/>
    </xf>
    <xf numFmtId="0" fontId="22" fillId="45" borderId="18" xfId="0" applyFont="1" applyFill="1" applyBorder="1" applyAlignment="1">
      <alignment horizontal="center" vertical="center"/>
    </xf>
    <xf numFmtId="0" fontId="22" fillId="45" borderId="21" xfId="0" applyFont="1" applyFill="1" applyBorder="1" applyAlignment="1">
      <alignment horizontal="center" vertical="center"/>
    </xf>
    <xf numFmtId="0" fontId="23" fillId="45" borderId="31" xfId="0" applyFont="1" applyFill="1" applyBorder="1" applyAlignment="1">
      <alignment horizontal="center" vertical="center" wrapText="1"/>
    </xf>
    <xf numFmtId="0" fontId="23" fillId="45" borderId="29" xfId="0" applyFont="1" applyFill="1" applyBorder="1" applyAlignment="1">
      <alignment horizontal="center" vertical="center" wrapText="1"/>
    </xf>
    <xf numFmtId="0" fontId="23" fillId="45" borderId="30" xfId="0" applyFont="1" applyFill="1" applyBorder="1" applyAlignment="1">
      <alignment horizontal="center" vertical="center" wrapText="1"/>
    </xf>
    <xf numFmtId="0" fontId="22" fillId="52" borderId="26" xfId="0" applyFont="1" applyFill="1" applyBorder="1" applyAlignment="1">
      <alignment horizontal="center" vertical="center" wrapText="1"/>
    </xf>
    <xf numFmtId="0" fontId="22" fillId="52" borderId="17" xfId="0" applyFont="1" applyFill="1" applyBorder="1" applyAlignment="1">
      <alignment horizontal="center" vertical="center" wrapText="1"/>
    </xf>
    <xf numFmtId="0" fontId="22" fillId="52" borderId="0" xfId="0" applyFont="1" applyFill="1" applyAlignment="1">
      <alignment horizontal="center" vertical="center" wrapText="1"/>
    </xf>
    <xf numFmtId="0" fontId="22" fillId="52" borderId="19" xfId="0" applyFont="1" applyFill="1" applyBorder="1" applyAlignment="1">
      <alignment horizontal="center" vertical="center" wrapText="1"/>
    </xf>
    <xf numFmtId="0" fontId="22" fillId="52" borderId="25" xfId="0" applyFont="1" applyFill="1" applyBorder="1" applyAlignment="1">
      <alignment horizontal="center" vertical="center" wrapText="1"/>
    </xf>
    <xf numFmtId="0" fontId="25" fillId="45" borderId="27" xfId="0" applyFont="1" applyFill="1" applyBorder="1" applyAlignment="1">
      <alignment horizontal="center" vertical="center" wrapText="1"/>
    </xf>
    <xf numFmtId="0" fontId="25" fillId="45" borderId="18" xfId="0" applyFont="1" applyFill="1" applyBorder="1" applyAlignment="1">
      <alignment horizontal="center" vertical="center" wrapText="1"/>
    </xf>
    <xf numFmtId="0" fontId="25" fillId="45" borderId="26" xfId="0" applyFont="1" applyFill="1" applyBorder="1" applyAlignment="1">
      <alignment horizontal="center" vertical="center" wrapText="1"/>
    </xf>
    <xf numFmtId="0" fontId="25" fillId="45" borderId="17" xfId="0" applyFont="1" applyFill="1" applyBorder="1" applyAlignment="1">
      <alignment horizontal="center" vertical="center" wrapText="1"/>
    </xf>
    <xf numFmtId="0" fontId="25" fillId="45" borderId="0" xfId="0" applyFont="1" applyFill="1" applyAlignment="1">
      <alignment horizontal="center" vertical="center" wrapText="1"/>
    </xf>
    <xf numFmtId="0" fontId="25" fillId="45" borderId="19" xfId="0" applyFont="1" applyFill="1" applyBorder="1" applyAlignment="1">
      <alignment horizontal="center" vertical="center" wrapText="1"/>
    </xf>
    <xf numFmtId="0" fontId="25" fillId="45" borderId="20" xfId="0" applyFont="1" applyFill="1" applyBorder="1" applyAlignment="1">
      <alignment horizontal="center" vertical="center" wrapText="1"/>
    </xf>
    <xf numFmtId="0" fontId="25" fillId="45" borderId="21" xfId="0" applyFont="1" applyFill="1" applyBorder="1" applyAlignment="1">
      <alignment horizontal="center" vertical="center" wrapText="1"/>
    </xf>
    <xf numFmtId="0" fontId="25" fillId="45" borderId="25" xfId="0" applyFont="1" applyFill="1" applyBorder="1" applyAlignment="1">
      <alignment horizontal="center" vertical="center" wrapText="1"/>
    </xf>
    <xf numFmtId="186" fontId="108" fillId="29" borderId="27" xfId="0" applyNumberFormat="1" applyFont="1" applyFill="1" applyBorder="1" applyAlignment="1">
      <alignment horizontal="center" vertical="center"/>
    </xf>
    <xf numFmtId="186" fontId="108" fillId="29" borderId="18" xfId="0" applyNumberFormat="1" applyFont="1" applyFill="1" applyBorder="1" applyAlignment="1">
      <alignment horizontal="center" vertical="center"/>
    </xf>
    <xf numFmtId="186" fontId="108" fillId="29" borderId="26" xfId="0" applyNumberFormat="1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8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auto="1"/>
      </font>
      <fill>
        <patternFill>
          <bgColor rgb="FFF9ADDA"/>
        </patternFill>
      </fill>
    </dxf>
    <dxf>
      <font>
        <color auto="1"/>
      </font>
      <fill>
        <patternFill>
          <bgColor rgb="FFF9ADDA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1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  <color auto="1"/>
      </font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auto="1"/>
      </font>
      <fill>
        <patternFill>
          <bgColor rgb="FFF9ADDA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9ADDA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rgb="FFF9ADDA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auto="1"/>
      </font>
    </dxf>
    <dxf>
      <fill>
        <patternFill>
          <bgColor rgb="FFF9ADDA"/>
        </patternFill>
      </fill>
    </dxf>
    <dxf>
      <fill>
        <patternFill>
          <bgColor rgb="FFF9ADDA"/>
        </patternFill>
      </fill>
      <border>
        <right style="thin"/>
      </border>
    </dxf>
    <dxf>
      <fill>
        <patternFill>
          <bgColor rgb="FFF9ADDA"/>
        </patternFill>
      </fill>
      <border>
        <right style="thin"/>
      </border>
    </dxf>
    <dxf>
      <fill>
        <patternFill>
          <bgColor rgb="FFF9ADDA"/>
        </patternFill>
      </fill>
      <border>
        <left style="thin"/>
        <right style="thin"/>
        <top style="thin"/>
        <bottom style="thin"/>
      </border>
    </dxf>
    <dxf>
      <fill>
        <patternFill>
          <bgColor rgb="FFF9ADDA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9ADDA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9ADDA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</dxf>
    <dxf>
      <font>
        <color auto="1"/>
      </font>
      <fill>
        <patternFill>
          <bgColor rgb="FFF9ADDA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9ADDA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solid">
          <bgColor rgb="FFFFFF99"/>
        </patternFill>
      </fill>
    </dxf>
    <dxf>
      <font>
        <color auto="1"/>
      </font>
      <fill>
        <patternFill>
          <bgColor rgb="FFF9ADDA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9ADDA"/>
        </patternFill>
      </fill>
      <border>
        <right style="thin"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66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>
    <tabColor theme="9" tint="0.39998000860214233"/>
  </sheetPr>
  <dimension ref="A1:L24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25.57421875" style="13" customWidth="1"/>
    <col min="2" max="2" width="15.57421875" style="13" customWidth="1"/>
    <col min="3" max="5" width="11.421875" style="13" customWidth="1"/>
    <col min="6" max="7" width="3.7109375" style="13" customWidth="1"/>
    <col min="8" max="8" width="25.57421875" style="13" customWidth="1"/>
    <col min="9" max="9" width="15.57421875" style="13" customWidth="1"/>
    <col min="10" max="16384" width="11.421875" style="13" customWidth="1"/>
  </cols>
  <sheetData>
    <row r="1" spans="1:12" ht="19.5" thickBot="1">
      <c r="A1" s="227" t="s">
        <v>21</v>
      </c>
      <c r="B1" s="227"/>
      <c r="C1" s="227"/>
      <c r="D1" s="227"/>
      <c r="E1" s="227"/>
      <c r="F1" s="12"/>
      <c r="H1" s="228" t="s">
        <v>22</v>
      </c>
      <c r="I1" s="228"/>
      <c r="J1" s="228"/>
      <c r="K1" s="228"/>
      <c r="L1" s="228"/>
    </row>
    <row r="2" spans="1:12" ht="15">
      <c r="A2" s="14" t="s">
        <v>23</v>
      </c>
      <c r="B2" s="15"/>
      <c r="C2" s="15"/>
      <c r="D2" s="15"/>
      <c r="E2" s="83"/>
      <c r="H2" s="16" t="s">
        <v>23</v>
      </c>
      <c r="I2" s="15"/>
      <c r="J2" s="17"/>
      <c r="K2" s="17"/>
      <c r="L2" s="84"/>
    </row>
    <row r="3" spans="1:12" ht="15">
      <c r="A3" s="16" t="s">
        <v>24</v>
      </c>
      <c r="B3" s="17"/>
      <c r="C3" s="17"/>
      <c r="D3" s="17"/>
      <c r="E3" s="84"/>
      <c r="H3" s="16" t="s">
        <v>24</v>
      </c>
      <c r="I3" s="17"/>
      <c r="J3" s="17"/>
      <c r="K3" s="17"/>
      <c r="L3" s="84"/>
    </row>
    <row r="4" spans="1:12" ht="15">
      <c r="A4" s="16" t="s">
        <v>25</v>
      </c>
      <c r="B4" s="18"/>
      <c r="C4" s="17"/>
      <c r="D4" s="17"/>
      <c r="E4" s="84"/>
      <c r="H4" s="16" t="s">
        <v>25</v>
      </c>
      <c r="I4" s="18"/>
      <c r="J4" s="17"/>
      <c r="K4" s="17"/>
      <c r="L4" s="84"/>
    </row>
    <row r="5" spans="1:12" ht="15">
      <c r="A5" s="16" t="s">
        <v>26</v>
      </c>
      <c r="B5" s="17"/>
      <c r="C5" s="17"/>
      <c r="D5" s="17"/>
      <c r="E5" s="84"/>
      <c r="H5" s="16" t="s">
        <v>26</v>
      </c>
      <c r="I5" s="17"/>
      <c r="J5" s="17"/>
      <c r="K5" s="17"/>
      <c r="L5" s="84"/>
    </row>
    <row r="6" spans="1:12" ht="15">
      <c r="A6" s="16" t="s">
        <v>27</v>
      </c>
      <c r="B6" s="17"/>
      <c r="C6" s="17"/>
      <c r="D6" s="17"/>
      <c r="E6" s="84"/>
      <c r="H6" s="16" t="s">
        <v>28</v>
      </c>
      <c r="I6" s="229"/>
      <c r="J6" s="230"/>
      <c r="K6" s="17"/>
      <c r="L6" s="84"/>
    </row>
    <row r="7" spans="1:12" ht="15">
      <c r="A7" s="16"/>
      <c r="B7" s="85"/>
      <c r="C7" s="17"/>
      <c r="D7" s="17"/>
      <c r="E7" s="84"/>
      <c r="H7" s="16" t="s">
        <v>29</v>
      </c>
      <c r="I7" s="19"/>
      <c r="J7" s="17"/>
      <c r="K7" s="17"/>
      <c r="L7" s="84"/>
    </row>
    <row r="8" spans="1:12" ht="15.75" thickBot="1">
      <c r="A8" s="20" t="s">
        <v>30</v>
      </c>
      <c r="B8" s="21" t="s">
        <v>109</v>
      </c>
      <c r="C8" s="21"/>
      <c r="D8" s="21"/>
      <c r="E8" s="86"/>
      <c r="H8" s="20" t="s">
        <v>31</v>
      </c>
      <c r="I8" s="22"/>
      <c r="J8" s="21"/>
      <c r="K8" s="21"/>
      <c r="L8" s="86"/>
    </row>
    <row r="10" spans="1:3" ht="15">
      <c r="A10" s="1"/>
      <c r="B10" s="1"/>
      <c r="C10" s="1"/>
    </row>
    <row r="11" spans="1:3" ht="15">
      <c r="A11" s="23"/>
      <c r="B11" s="23"/>
      <c r="C11" s="1"/>
    </row>
    <row r="12" spans="1:3" ht="15">
      <c r="A12" s="23"/>
      <c r="B12" s="23"/>
      <c r="C12" s="1"/>
    </row>
    <row r="13" spans="1:3" ht="15">
      <c r="A13" s="23"/>
      <c r="B13" s="23"/>
      <c r="C13" s="1"/>
    </row>
    <row r="14" spans="1:3" ht="15">
      <c r="A14" s="23"/>
      <c r="B14" s="23"/>
      <c r="C14" s="1"/>
    </row>
    <row r="15" spans="1:3" ht="15">
      <c r="A15" s="23"/>
      <c r="B15" s="23"/>
      <c r="C15" s="1"/>
    </row>
    <row r="16" spans="1:3" ht="15">
      <c r="A16" s="23"/>
      <c r="B16" s="23"/>
      <c r="C16" s="1"/>
    </row>
    <row r="17" spans="1:3" ht="15">
      <c r="A17" s="23"/>
      <c r="B17" s="23"/>
      <c r="C17" s="1"/>
    </row>
    <row r="18" spans="1:3" ht="15">
      <c r="A18" s="23"/>
      <c r="B18" s="23"/>
      <c r="C18" s="1"/>
    </row>
    <row r="19" spans="1:3" ht="15">
      <c r="A19" s="23"/>
      <c r="B19" s="23"/>
      <c r="C19" s="1"/>
    </row>
    <row r="20" spans="1:3" ht="15">
      <c r="A20" s="23"/>
      <c r="B20" s="23"/>
      <c r="C20" s="1"/>
    </row>
    <row r="21" spans="1:3" ht="15">
      <c r="A21" s="23"/>
      <c r="B21" s="23"/>
      <c r="C21" s="1"/>
    </row>
    <row r="22" spans="1:3" ht="15">
      <c r="A22" s="23"/>
      <c r="B22" s="23"/>
      <c r="C22" s="1"/>
    </row>
    <row r="23" spans="1:3" ht="15">
      <c r="A23" s="1"/>
      <c r="B23" s="1"/>
      <c r="C23" s="1"/>
    </row>
    <row r="24" spans="1:3" ht="15">
      <c r="A24" s="1"/>
      <c r="B24" s="1"/>
      <c r="C24" s="1"/>
    </row>
  </sheetData>
  <sheetProtection selectLockedCells="1"/>
  <mergeCells count="3">
    <mergeCell ref="A1:E1"/>
    <mergeCell ref="H1:L1"/>
    <mergeCell ref="I6:J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BC36"/>
  <sheetViews>
    <sheetView zoomScalePageLayoutView="0" workbookViewId="0" topLeftCell="A13">
      <selection activeCell="AJ33" sqref="AJ33:AM33"/>
    </sheetView>
  </sheetViews>
  <sheetFormatPr defaultColWidth="11.421875" defaultRowHeight="12.75"/>
  <cols>
    <col min="1" max="55" width="3.7109375" style="1" customWidth="1"/>
  </cols>
  <sheetData>
    <row r="1" spans="1:52" ht="18.75">
      <c r="A1" s="249" t="s">
        <v>110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05"/>
      <c r="AA1" s="251" t="s">
        <v>111</v>
      </c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</row>
    <row r="2" spans="1:52" ht="18.7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05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</row>
    <row r="3" spans="1:52" ht="18.7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</row>
    <row r="4" spans="1:52" ht="18.75">
      <c r="A4" s="103"/>
      <c r="B4" s="252" t="s">
        <v>112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06"/>
      <c r="AA4" s="103"/>
      <c r="AB4" s="252" t="s">
        <v>112</v>
      </c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103"/>
    </row>
    <row r="5" spans="2:51" ht="18.75"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06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</row>
    <row r="6" spans="1:55" ht="15.75">
      <c r="A6" s="25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25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25"/>
      <c r="BA6" s="25"/>
      <c r="BB6" s="25"/>
      <c r="BC6" s="25"/>
    </row>
    <row r="7" spans="3:51" ht="15.75">
      <c r="C7" s="243" t="s">
        <v>113</v>
      </c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07"/>
      <c r="AC7" s="243" t="s">
        <v>113</v>
      </c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</row>
    <row r="8" ht="15"/>
    <row r="9" spans="9:42" ht="15">
      <c r="I9" s="245" t="s">
        <v>114</v>
      </c>
      <c r="J9" s="245"/>
      <c r="K9" s="245"/>
      <c r="L9" s="245"/>
      <c r="M9" s="246" t="s">
        <v>115</v>
      </c>
      <c r="N9" s="246"/>
      <c r="O9" s="246"/>
      <c r="P9" s="246"/>
      <c r="AI9" s="245" t="s">
        <v>114</v>
      </c>
      <c r="AJ9" s="245"/>
      <c r="AK9" s="245"/>
      <c r="AL9" s="245"/>
      <c r="AM9" s="246" t="s">
        <v>115</v>
      </c>
      <c r="AN9" s="246"/>
      <c r="AO9" s="246"/>
      <c r="AP9" s="246"/>
    </row>
    <row r="10" spans="2:51" ht="15">
      <c r="B10" s="25"/>
      <c r="C10" s="25"/>
      <c r="D10" s="25"/>
      <c r="E10" s="25"/>
      <c r="F10" s="25"/>
      <c r="G10" s="25"/>
      <c r="I10" s="245"/>
      <c r="J10" s="245"/>
      <c r="K10" s="245"/>
      <c r="L10" s="245"/>
      <c r="M10" s="246"/>
      <c r="N10" s="246"/>
      <c r="O10" s="246"/>
      <c r="P10" s="246"/>
      <c r="Q10" s="25"/>
      <c r="R10" s="25"/>
      <c r="S10" s="25"/>
      <c r="T10" s="25"/>
      <c r="U10" s="25"/>
      <c r="V10" s="25"/>
      <c r="W10" s="25"/>
      <c r="X10" s="25"/>
      <c r="Y10" s="25"/>
      <c r="Z10" s="25"/>
      <c r="AB10" s="25"/>
      <c r="AC10" s="25"/>
      <c r="AD10" s="25"/>
      <c r="AE10" s="25"/>
      <c r="AF10" s="25"/>
      <c r="AG10" s="25"/>
      <c r="AI10" s="245"/>
      <c r="AJ10" s="245"/>
      <c r="AK10" s="245"/>
      <c r="AL10" s="245"/>
      <c r="AM10" s="246"/>
      <c r="AN10" s="246"/>
      <c r="AO10" s="246"/>
      <c r="AP10" s="246"/>
      <c r="AQ10" s="25"/>
      <c r="AR10" s="25"/>
      <c r="AS10" s="25"/>
      <c r="AT10" s="25"/>
      <c r="AU10" s="25"/>
      <c r="AV10" s="25"/>
      <c r="AW10" s="25"/>
      <c r="AX10" s="25"/>
      <c r="AY10" s="25"/>
    </row>
    <row r="11" spans="2:51" ht="15">
      <c r="B11" s="25"/>
      <c r="C11" s="25"/>
      <c r="D11" s="25"/>
      <c r="E11" s="25"/>
      <c r="F11" s="25"/>
      <c r="G11" s="25"/>
      <c r="I11" s="247"/>
      <c r="J11" s="247"/>
      <c r="K11" s="247"/>
      <c r="L11" s="247"/>
      <c r="M11" s="248">
        <f>I11/60</f>
        <v>0</v>
      </c>
      <c r="N11" s="248"/>
      <c r="O11" s="248"/>
      <c r="P11" s="248"/>
      <c r="Q11" s="25"/>
      <c r="R11" s="25"/>
      <c r="S11" s="25"/>
      <c r="T11" s="25"/>
      <c r="U11" s="25"/>
      <c r="V11" s="25"/>
      <c r="W11" s="25"/>
      <c r="X11" s="25"/>
      <c r="Y11" s="25"/>
      <c r="Z11" s="25"/>
      <c r="AB11" s="25"/>
      <c r="AC11" s="25"/>
      <c r="AD11" s="25"/>
      <c r="AE11" s="25"/>
      <c r="AF11" s="25"/>
      <c r="AG11" s="25"/>
      <c r="AI11" s="247"/>
      <c r="AJ11" s="247"/>
      <c r="AK11" s="247"/>
      <c r="AL11" s="247"/>
      <c r="AM11" s="248">
        <f>AI11/60</f>
        <v>0</v>
      </c>
      <c r="AN11" s="248"/>
      <c r="AO11" s="248"/>
      <c r="AP11" s="248"/>
      <c r="AQ11" s="25"/>
      <c r="AR11" s="25"/>
      <c r="AS11" s="25"/>
      <c r="AT11" s="25"/>
      <c r="AU11" s="25"/>
      <c r="AV11" s="25"/>
      <c r="AW11" s="25"/>
      <c r="AX11" s="25"/>
      <c r="AY11" s="25"/>
    </row>
    <row r="12" spans="2:51" ht="15">
      <c r="B12" s="208"/>
      <c r="C12" s="208"/>
      <c r="D12" s="208"/>
      <c r="E12" s="208"/>
      <c r="F12" s="208"/>
      <c r="G12" s="208"/>
      <c r="I12" s="247"/>
      <c r="J12" s="247"/>
      <c r="K12" s="247"/>
      <c r="L12" s="247"/>
      <c r="M12" s="248"/>
      <c r="N12" s="248"/>
      <c r="O12" s="248"/>
      <c r="P12" s="24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B12" s="208"/>
      <c r="AC12" s="208"/>
      <c r="AD12" s="208"/>
      <c r="AE12" s="208"/>
      <c r="AF12" s="208"/>
      <c r="AG12" s="208"/>
      <c r="AI12" s="247"/>
      <c r="AJ12" s="247"/>
      <c r="AK12" s="247"/>
      <c r="AL12" s="247"/>
      <c r="AM12" s="248"/>
      <c r="AN12" s="248"/>
      <c r="AO12" s="248"/>
      <c r="AP12" s="248"/>
      <c r="AQ12" s="208"/>
      <c r="AR12" s="208"/>
      <c r="AS12" s="208"/>
      <c r="AT12" s="208"/>
      <c r="AU12" s="208"/>
      <c r="AV12" s="208"/>
      <c r="AW12" s="208"/>
      <c r="AX12" s="208"/>
      <c r="AY12" s="208"/>
    </row>
    <row r="13" spans="2:51" ht="15.75">
      <c r="B13" s="208"/>
      <c r="C13" s="208"/>
      <c r="D13" s="208"/>
      <c r="E13" s="208"/>
      <c r="F13" s="208"/>
      <c r="G13" s="208"/>
      <c r="I13" s="209"/>
      <c r="J13" s="209"/>
      <c r="K13" s="209"/>
      <c r="L13" s="209"/>
      <c r="M13" s="210"/>
      <c r="N13" s="210"/>
      <c r="O13" s="210"/>
      <c r="P13" s="210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B13" s="208"/>
      <c r="AC13" s="208"/>
      <c r="AD13" s="208"/>
      <c r="AE13" s="208"/>
      <c r="AF13" s="208"/>
      <c r="AG13" s="208"/>
      <c r="AI13" s="209"/>
      <c r="AJ13" s="209"/>
      <c r="AK13" s="209"/>
      <c r="AL13" s="209"/>
      <c r="AM13" s="210"/>
      <c r="AN13" s="210"/>
      <c r="AO13" s="210"/>
      <c r="AP13" s="210"/>
      <c r="AQ13" s="208"/>
      <c r="AR13" s="208"/>
      <c r="AS13" s="208"/>
      <c r="AT13" s="208"/>
      <c r="AU13" s="208"/>
      <c r="AV13" s="208"/>
      <c r="AW13" s="208"/>
      <c r="AX13" s="208"/>
      <c r="AY13" s="208"/>
    </row>
    <row r="14" spans="2:52" ht="15.75"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5"/>
    </row>
    <row r="15" spans="2:52" ht="15.75">
      <c r="B15" s="243" t="s">
        <v>116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07"/>
      <c r="AB15" s="243" t="s">
        <v>116</v>
      </c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5"/>
    </row>
    <row r="16" spans="2:52" ht="15">
      <c r="B16" s="25"/>
      <c r="C16" s="25"/>
      <c r="D16" s="25"/>
      <c r="E16" s="25"/>
      <c r="F16" s="25"/>
      <c r="G16" s="25"/>
      <c r="H16" s="25"/>
      <c r="I16" s="25"/>
      <c r="R16" s="25"/>
      <c r="S16" s="25"/>
      <c r="T16" s="25"/>
      <c r="U16" s="25"/>
      <c r="V16" s="25"/>
      <c r="W16" s="25"/>
      <c r="X16" s="25"/>
      <c r="Y16" s="25"/>
      <c r="Z16" s="25"/>
      <c r="AB16" s="25"/>
      <c r="AC16" s="25"/>
      <c r="AD16" s="25"/>
      <c r="AE16" s="25"/>
      <c r="AF16" s="25"/>
      <c r="AG16" s="25"/>
      <c r="AH16" s="25"/>
      <c r="AI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spans="2:53" ht="15">
      <c r="B17" s="25"/>
      <c r="C17" s="25"/>
      <c r="D17" s="25"/>
      <c r="F17" s="241" t="s">
        <v>117</v>
      </c>
      <c r="G17" s="241"/>
      <c r="H17" s="241"/>
      <c r="I17" s="241"/>
      <c r="J17" s="241"/>
      <c r="K17" s="242">
        <v>10.03</v>
      </c>
      <c r="L17" s="242"/>
      <c r="M17" s="242"/>
      <c r="N17" s="241" t="s">
        <v>118</v>
      </c>
      <c r="O17" s="241"/>
      <c r="P17" s="241"/>
      <c r="Q17" s="241"/>
      <c r="R17" s="241"/>
      <c r="S17" s="244">
        <f>K17*O18</f>
        <v>7.824402999999999</v>
      </c>
      <c r="T17" s="244"/>
      <c r="U17" s="244"/>
      <c r="V17" s="25"/>
      <c r="W17" s="25"/>
      <c r="X17" s="25"/>
      <c r="Y17" s="25"/>
      <c r="Z17" s="25"/>
      <c r="AB17" s="25"/>
      <c r="AC17" s="25"/>
      <c r="AD17" s="25"/>
      <c r="AF17" s="241" t="s">
        <v>117</v>
      </c>
      <c r="AG17" s="241"/>
      <c r="AH17" s="241"/>
      <c r="AI17" s="241"/>
      <c r="AJ17" s="241"/>
      <c r="AK17" s="242">
        <v>9.88</v>
      </c>
      <c r="AL17" s="242"/>
      <c r="AM17" s="242"/>
      <c r="AN17" s="241" t="s">
        <v>118</v>
      </c>
      <c r="AO17" s="241"/>
      <c r="AP17" s="241"/>
      <c r="AQ17" s="241"/>
      <c r="AR17" s="241"/>
      <c r="AS17" s="244">
        <f>AK17*AO18</f>
        <v>7.718256</v>
      </c>
      <c r="AT17" s="244"/>
      <c r="AU17" s="244"/>
      <c r="AV17" s="25"/>
      <c r="AW17" s="25"/>
      <c r="AX17" s="25"/>
      <c r="AY17" s="25"/>
      <c r="AZ17" s="25"/>
      <c r="BA17" s="25"/>
    </row>
    <row r="18" spans="2:54" ht="15">
      <c r="B18" s="25"/>
      <c r="C18" s="25"/>
      <c r="D18" s="25"/>
      <c r="J18" s="237" t="s">
        <v>119</v>
      </c>
      <c r="K18" s="237"/>
      <c r="L18" s="237"/>
      <c r="M18" s="237"/>
      <c r="N18" s="237"/>
      <c r="O18" s="238">
        <v>0.7801</v>
      </c>
      <c r="P18" s="239"/>
      <c r="Q18" s="239"/>
      <c r="V18" s="25"/>
      <c r="W18" s="25"/>
      <c r="X18" s="25"/>
      <c r="Y18" s="25"/>
      <c r="Z18" s="25"/>
      <c r="AB18" s="25"/>
      <c r="AC18" s="25"/>
      <c r="AD18" s="25"/>
      <c r="AJ18" s="237" t="s">
        <v>119</v>
      </c>
      <c r="AK18" s="237"/>
      <c r="AL18" s="237"/>
      <c r="AM18" s="237"/>
      <c r="AN18" s="237"/>
      <c r="AO18" s="238">
        <v>0.7812</v>
      </c>
      <c r="AP18" s="239"/>
      <c r="AQ18" s="239"/>
      <c r="AV18" s="25"/>
      <c r="AW18" s="25"/>
      <c r="AX18" s="25"/>
      <c r="AY18" s="25"/>
      <c r="AZ18" s="25"/>
      <c r="BA18" s="25"/>
      <c r="BB18" s="25"/>
    </row>
    <row r="19" spans="2:51" ht="15">
      <c r="B19" s="208"/>
      <c r="C19" s="208"/>
      <c r="D19" s="208"/>
      <c r="J19" s="237"/>
      <c r="K19" s="237"/>
      <c r="L19" s="237"/>
      <c r="M19" s="237"/>
      <c r="N19" s="237"/>
      <c r="O19" s="239"/>
      <c r="P19" s="239"/>
      <c r="Q19" s="239"/>
      <c r="V19" s="208"/>
      <c r="W19" s="208"/>
      <c r="X19" s="208"/>
      <c r="Y19" s="208"/>
      <c r="Z19" s="208"/>
      <c r="AB19" s="208"/>
      <c r="AC19" s="208"/>
      <c r="AD19" s="208"/>
      <c r="AJ19" s="237"/>
      <c r="AK19" s="237"/>
      <c r="AL19" s="237"/>
      <c r="AM19" s="237"/>
      <c r="AN19" s="237"/>
      <c r="AO19" s="239"/>
      <c r="AP19" s="239"/>
      <c r="AQ19" s="239"/>
      <c r="AV19" s="208"/>
      <c r="AW19" s="208"/>
      <c r="AX19" s="208"/>
      <c r="AY19" s="208"/>
    </row>
    <row r="20" ht="15"/>
    <row r="21" ht="15"/>
    <row r="22" spans="4:49" ht="15">
      <c r="D22" s="25"/>
      <c r="F22" s="231" t="s">
        <v>120</v>
      </c>
      <c r="G22" s="231"/>
      <c r="H22" s="231"/>
      <c r="I22" s="231"/>
      <c r="J22" s="232"/>
      <c r="K22" s="232"/>
      <c r="L22" s="232"/>
      <c r="M22" s="232"/>
      <c r="N22" s="231" t="s">
        <v>121</v>
      </c>
      <c r="O22" s="231"/>
      <c r="P22" s="231"/>
      <c r="Q22" s="231"/>
      <c r="R22" s="232"/>
      <c r="S22" s="232"/>
      <c r="T22" s="232"/>
      <c r="U22" s="232"/>
      <c r="V22" s="208"/>
      <c r="W22" s="208"/>
      <c r="AD22" s="25"/>
      <c r="AF22" s="231" t="s">
        <v>120</v>
      </c>
      <c r="AG22" s="231"/>
      <c r="AH22" s="231"/>
      <c r="AI22" s="231"/>
      <c r="AJ22" s="232"/>
      <c r="AK22" s="232"/>
      <c r="AL22" s="232"/>
      <c r="AM22" s="232"/>
      <c r="AN22" s="231" t="s">
        <v>121</v>
      </c>
      <c r="AO22" s="231"/>
      <c r="AP22" s="231"/>
      <c r="AQ22" s="231"/>
      <c r="AR22" s="232"/>
      <c r="AS22" s="232"/>
      <c r="AT22" s="232"/>
      <c r="AU22" s="232"/>
      <c r="AV22" s="208"/>
      <c r="AW22" s="208"/>
    </row>
    <row r="23" spans="4:49" ht="15">
      <c r="D23" s="25"/>
      <c r="F23" s="233" t="s">
        <v>121</v>
      </c>
      <c r="G23" s="233"/>
      <c r="H23" s="233"/>
      <c r="I23" s="233"/>
      <c r="J23" s="234">
        <f>J22*O18</f>
        <v>0</v>
      </c>
      <c r="K23" s="234"/>
      <c r="L23" s="234"/>
      <c r="M23" s="234"/>
      <c r="N23" s="233" t="s">
        <v>120</v>
      </c>
      <c r="O23" s="233"/>
      <c r="P23" s="233"/>
      <c r="Q23" s="233"/>
      <c r="R23" s="234">
        <f>R22/O18</f>
        <v>0</v>
      </c>
      <c r="S23" s="234"/>
      <c r="T23" s="234"/>
      <c r="U23" s="234"/>
      <c r="V23" s="208"/>
      <c r="W23" s="208"/>
      <c r="AD23" s="25"/>
      <c r="AF23" s="235" t="s">
        <v>121</v>
      </c>
      <c r="AG23" s="235"/>
      <c r="AH23" s="235"/>
      <c r="AI23" s="235"/>
      <c r="AJ23" s="236">
        <f>AJ22*AO18</f>
        <v>0</v>
      </c>
      <c r="AK23" s="236"/>
      <c r="AL23" s="236"/>
      <c r="AM23" s="236"/>
      <c r="AN23" s="235" t="s">
        <v>120</v>
      </c>
      <c r="AO23" s="235"/>
      <c r="AP23" s="235"/>
      <c r="AQ23" s="235"/>
      <c r="AR23" s="236">
        <f>AR22/AO18</f>
        <v>0</v>
      </c>
      <c r="AS23" s="236"/>
      <c r="AT23" s="236"/>
      <c r="AU23" s="236"/>
      <c r="AV23" s="208"/>
      <c r="AW23" s="208"/>
    </row>
    <row r="24" spans="4:49" ht="15">
      <c r="D24" s="213"/>
      <c r="E24" s="214"/>
      <c r="F24" s="214"/>
      <c r="G24" s="214"/>
      <c r="H24" s="214"/>
      <c r="I24" s="214"/>
      <c r="J24" s="215"/>
      <c r="K24" s="216"/>
      <c r="L24" s="216"/>
      <c r="M24" s="216"/>
      <c r="N24" s="216"/>
      <c r="O24" s="216"/>
      <c r="P24" s="216"/>
      <c r="Q24" s="217"/>
      <c r="R24" s="218"/>
      <c r="S24" s="218"/>
      <c r="T24" s="218"/>
      <c r="U24" s="218"/>
      <c r="V24" s="218"/>
      <c r="W24" s="218"/>
      <c r="AD24" s="213"/>
      <c r="AE24" s="214"/>
      <c r="AF24" s="214"/>
      <c r="AG24" s="214"/>
      <c r="AH24" s="214"/>
      <c r="AI24" s="214"/>
      <c r="AJ24" s="215"/>
      <c r="AK24" s="216"/>
      <c r="AL24" s="216"/>
      <c r="AM24" s="216"/>
      <c r="AN24" s="216"/>
      <c r="AO24" s="216"/>
      <c r="AP24" s="216"/>
      <c r="AQ24" s="217"/>
      <c r="AR24" s="218"/>
      <c r="AS24" s="218"/>
      <c r="AT24" s="218"/>
      <c r="AU24" s="218"/>
      <c r="AV24" s="218"/>
      <c r="AW24" s="218"/>
    </row>
    <row r="25" spans="4:51" ht="15.75">
      <c r="D25" s="214"/>
      <c r="E25" s="214"/>
      <c r="F25" s="214"/>
      <c r="G25" s="214"/>
      <c r="H25" s="214"/>
      <c r="I25" s="214"/>
      <c r="J25" s="216"/>
      <c r="K25" s="216"/>
      <c r="L25" s="216"/>
      <c r="M25" s="216"/>
      <c r="N25" s="216"/>
      <c r="O25" s="216"/>
      <c r="P25" s="216"/>
      <c r="Q25" s="218"/>
      <c r="R25" s="218"/>
      <c r="S25" s="218"/>
      <c r="T25" s="218"/>
      <c r="U25" s="219"/>
      <c r="V25" s="219"/>
      <c r="W25" s="219"/>
      <c r="X25" s="219"/>
      <c r="Y25" s="219"/>
      <c r="Z25" s="219"/>
      <c r="AD25" s="214"/>
      <c r="AE25" s="214"/>
      <c r="AF25" s="214"/>
      <c r="AG25" s="214"/>
      <c r="AH25" s="214"/>
      <c r="AI25" s="214"/>
      <c r="AJ25" s="216"/>
      <c r="AK25" s="216"/>
      <c r="AL25" s="216"/>
      <c r="AM25" s="216"/>
      <c r="AN25" s="216"/>
      <c r="AO25" s="216"/>
      <c r="AP25" s="216"/>
      <c r="AQ25" s="218"/>
      <c r="AR25" s="218"/>
      <c r="AS25" s="218"/>
      <c r="AT25" s="218"/>
      <c r="AU25" s="219"/>
      <c r="AV25" s="219"/>
      <c r="AW25" s="219"/>
      <c r="AX25" s="219"/>
      <c r="AY25" s="219"/>
    </row>
    <row r="26" spans="2:51" ht="15.75">
      <c r="B26" s="240" t="s">
        <v>122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158"/>
      <c r="AB26" s="240" t="s">
        <v>122</v>
      </c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</row>
    <row r="27" ht="15"/>
    <row r="28" spans="6:47" ht="15">
      <c r="F28" s="241" t="s">
        <v>117</v>
      </c>
      <c r="G28" s="241"/>
      <c r="H28" s="241"/>
      <c r="I28" s="241"/>
      <c r="J28" s="241"/>
      <c r="K28" s="242">
        <v>9.88</v>
      </c>
      <c r="L28" s="242"/>
      <c r="M28" s="242"/>
      <c r="N28" s="241" t="s">
        <v>118</v>
      </c>
      <c r="O28" s="241"/>
      <c r="P28" s="241"/>
      <c r="Q28" s="241"/>
      <c r="R28" s="241"/>
      <c r="S28" s="242">
        <f>K28*O29</f>
        <v>7.559188000000001</v>
      </c>
      <c r="T28" s="242"/>
      <c r="U28" s="242"/>
      <c r="AF28" s="241" t="s">
        <v>117</v>
      </c>
      <c r="AG28" s="241"/>
      <c r="AH28" s="241"/>
      <c r="AI28" s="241"/>
      <c r="AJ28" s="241"/>
      <c r="AK28" s="242">
        <v>9.88</v>
      </c>
      <c r="AL28" s="242"/>
      <c r="AM28" s="242"/>
      <c r="AN28" s="241" t="s">
        <v>118</v>
      </c>
      <c r="AO28" s="241"/>
      <c r="AP28" s="241"/>
      <c r="AQ28" s="241"/>
      <c r="AR28" s="241"/>
      <c r="AS28" s="242">
        <f>AK28*AO29</f>
        <v>7.570056</v>
      </c>
      <c r="AT28" s="242"/>
      <c r="AU28" s="242"/>
    </row>
    <row r="29" spans="2:43" ht="15">
      <c r="B29" s="220"/>
      <c r="C29" s="220"/>
      <c r="D29" s="220"/>
      <c r="E29" s="221"/>
      <c r="J29" s="237" t="s">
        <v>119</v>
      </c>
      <c r="K29" s="237"/>
      <c r="L29" s="237"/>
      <c r="M29" s="237"/>
      <c r="N29" s="237"/>
      <c r="O29" s="238">
        <v>0.7651</v>
      </c>
      <c r="P29" s="239"/>
      <c r="Q29" s="239"/>
      <c r="AB29" s="220"/>
      <c r="AC29" s="220"/>
      <c r="AD29" s="220"/>
      <c r="AE29" s="221"/>
      <c r="AJ29" s="237" t="s">
        <v>119</v>
      </c>
      <c r="AK29" s="237"/>
      <c r="AL29" s="237"/>
      <c r="AM29" s="237"/>
      <c r="AN29" s="237"/>
      <c r="AO29" s="238">
        <v>0.7662</v>
      </c>
      <c r="AP29" s="239"/>
      <c r="AQ29" s="239"/>
    </row>
    <row r="30" spans="2:43" ht="15">
      <c r="B30" s="221"/>
      <c r="C30" s="221"/>
      <c r="D30" s="221"/>
      <c r="E30" s="221"/>
      <c r="J30" s="237"/>
      <c r="K30" s="237"/>
      <c r="L30" s="237"/>
      <c r="M30" s="237"/>
      <c r="N30" s="237"/>
      <c r="O30" s="239"/>
      <c r="P30" s="239"/>
      <c r="Q30" s="239"/>
      <c r="AB30" s="221"/>
      <c r="AC30" s="221"/>
      <c r="AD30" s="221"/>
      <c r="AE30" s="221"/>
      <c r="AJ30" s="237"/>
      <c r="AK30" s="237"/>
      <c r="AL30" s="237"/>
      <c r="AM30" s="237"/>
      <c r="AN30" s="237"/>
      <c r="AO30" s="239"/>
      <c r="AP30" s="239"/>
      <c r="AQ30" s="239"/>
    </row>
    <row r="31" spans="2:31" ht="15">
      <c r="B31" s="221"/>
      <c r="C31" s="221"/>
      <c r="D31" s="221"/>
      <c r="E31" s="221"/>
      <c r="AB31" s="221"/>
      <c r="AC31" s="221"/>
      <c r="AD31" s="221"/>
      <c r="AE31" s="221"/>
    </row>
    <row r="33" spans="6:47" ht="15">
      <c r="F33" s="231" t="s">
        <v>120</v>
      </c>
      <c r="G33" s="231"/>
      <c r="H33" s="231"/>
      <c r="I33" s="231"/>
      <c r="J33" s="232"/>
      <c r="K33" s="232"/>
      <c r="L33" s="232"/>
      <c r="M33" s="232"/>
      <c r="N33" s="231" t="s">
        <v>121</v>
      </c>
      <c r="O33" s="231"/>
      <c r="P33" s="231"/>
      <c r="Q33" s="231"/>
      <c r="R33" s="232"/>
      <c r="S33" s="232"/>
      <c r="T33" s="232"/>
      <c r="U33" s="232"/>
      <c r="AF33" s="231" t="s">
        <v>120</v>
      </c>
      <c r="AG33" s="231"/>
      <c r="AH33" s="231"/>
      <c r="AI33" s="231"/>
      <c r="AJ33" s="232"/>
      <c r="AK33" s="232"/>
      <c r="AL33" s="232"/>
      <c r="AM33" s="232"/>
      <c r="AN33" s="231" t="s">
        <v>121</v>
      </c>
      <c r="AO33" s="231"/>
      <c r="AP33" s="231"/>
      <c r="AQ33" s="231"/>
      <c r="AR33" s="232"/>
      <c r="AS33" s="232"/>
      <c r="AT33" s="232"/>
      <c r="AU33" s="232"/>
    </row>
    <row r="34" spans="6:47" ht="15">
      <c r="F34" s="233" t="s">
        <v>121</v>
      </c>
      <c r="G34" s="233"/>
      <c r="H34" s="233"/>
      <c r="I34" s="233"/>
      <c r="J34" s="234">
        <f>J33*O29</f>
        <v>0</v>
      </c>
      <c r="K34" s="234"/>
      <c r="L34" s="234"/>
      <c r="M34" s="234"/>
      <c r="N34" s="233" t="s">
        <v>120</v>
      </c>
      <c r="O34" s="233"/>
      <c r="P34" s="233"/>
      <c r="Q34" s="233"/>
      <c r="R34" s="234">
        <f>R33/O29</f>
        <v>0</v>
      </c>
      <c r="S34" s="234"/>
      <c r="T34" s="234"/>
      <c r="U34" s="234"/>
      <c r="AF34" s="235" t="s">
        <v>121</v>
      </c>
      <c r="AG34" s="235"/>
      <c r="AH34" s="235"/>
      <c r="AI34" s="235"/>
      <c r="AJ34" s="236">
        <f>AJ33*AO29</f>
        <v>0</v>
      </c>
      <c r="AK34" s="236"/>
      <c r="AL34" s="236"/>
      <c r="AM34" s="236"/>
      <c r="AN34" s="235" t="s">
        <v>120</v>
      </c>
      <c r="AO34" s="235"/>
      <c r="AP34" s="235"/>
      <c r="AQ34" s="235"/>
      <c r="AR34" s="236">
        <f>AR33/AO29</f>
        <v>0</v>
      </c>
      <c r="AS34" s="236"/>
      <c r="AT34" s="236"/>
      <c r="AU34" s="236"/>
    </row>
    <row r="35" spans="6:47" ht="15">
      <c r="F35" s="100"/>
      <c r="G35" s="100"/>
      <c r="H35" s="100"/>
      <c r="I35" s="100"/>
      <c r="J35" s="212"/>
      <c r="K35" s="212"/>
      <c r="L35" s="212"/>
      <c r="M35" s="212"/>
      <c r="N35" s="100"/>
      <c r="O35" s="100"/>
      <c r="P35" s="100"/>
      <c r="Q35" s="100"/>
      <c r="R35" s="212"/>
      <c r="S35" s="212"/>
      <c r="T35" s="212"/>
      <c r="U35" s="212"/>
      <c r="AF35" s="100"/>
      <c r="AG35" s="100"/>
      <c r="AH35" s="100"/>
      <c r="AI35" s="100"/>
      <c r="AJ35" s="212"/>
      <c r="AK35" s="212"/>
      <c r="AL35" s="212"/>
      <c r="AM35" s="212"/>
      <c r="AN35" s="100"/>
      <c r="AO35" s="100"/>
      <c r="AP35" s="100"/>
      <c r="AQ35" s="100"/>
      <c r="AR35" s="212"/>
      <c r="AS35" s="212"/>
      <c r="AT35" s="212"/>
      <c r="AU35" s="212"/>
    </row>
    <row r="36" spans="6:47" ht="15">
      <c r="F36" s="100"/>
      <c r="G36" s="100"/>
      <c r="H36" s="100"/>
      <c r="I36" s="100"/>
      <c r="J36" s="212"/>
      <c r="K36" s="212"/>
      <c r="L36" s="212"/>
      <c r="M36" s="212"/>
      <c r="N36" s="100"/>
      <c r="O36" s="100"/>
      <c r="P36" s="100"/>
      <c r="Q36" s="100"/>
      <c r="R36" s="212"/>
      <c r="S36" s="212"/>
      <c r="T36" s="212"/>
      <c r="U36" s="212"/>
      <c r="AF36" s="100"/>
      <c r="AG36" s="100"/>
      <c r="AH36" s="100"/>
      <c r="AI36" s="100"/>
      <c r="AJ36" s="212"/>
      <c r="AK36" s="212"/>
      <c r="AL36" s="212"/>
      <c r="AM36" s="212"/>
      <c r="AN36" s="100"/>
      <c r="AO36" s="100"/>
      <c r="AP36" s="100"/>
      <c r="AQ36" s="100"/>
      <c r="AR36" s="212"/>
      <c r="AS36" s="212"/>
      <c r="AT36" s="212"/>
      <c r="AU36" s="212"/>
    </row>
  </sheetData>
  <sheetProtection password="ED85" sheet="1" objects="1" scenarios="1" selectLockedCells="1"/>
  <mergeCells count="74">
    <mergeCell ref="A1:Y2"/>
    <mergeCell ref="AA1:AZ2"/>
    <mergeCell ref="B4:Y5"/>
    <mergeCell ref="AB4:AY5"/>
    <mergeCell ref="C7:Y7"/>
    <mergeCell ref="AC7:AY7"/>
    <mergeCell ref="I9:L10"/>
    <mergeCell ref="M9:P10"/>
    <mergeCell ref="AI9:AL10"/>
    <mergeCell ref="AM9:AP10"/>
    <mergeCell ref="I11:L12"/>
    <mergeCell ref="M11:P12"/>
    <mergeCell ref="AI11:AL12"/>
    <mergeCell ref="AM11:AP12"/>
    <mergeCell ref="B15:Y15"/>
    <mergeCell ref="AB15:AY15"/>
    <mergeCell ref="F17:J17"/>
    <mergeCell ref="K17:M17"/>
    <mergeCell ref="N17:R17"/>
    <mergeCell ref="S17:U17"/>
    <mergeCell ref="AF17:AJ17"/>
    <mergeCell ref="AK17:AM17"/>
    <mergeCell ref="AN17:AR17"/>
    <mergeCell ref="AS17:AU17"/>
    <mergeCell ref="J18:N19"/>
    <mergeCell ref="O18:Q19"/>
    <mergeCell ref="AJ18:AN19"/>
    <mergeCell ref="AO18:AQ19"/>
    <mergeCell ref="F22:I22"/>
    <mergeCell ref="J22:M22"/>
    <mergeCell ref="N22:Q22"/>
    <mergeCell ref="R22:U22"/>
    <mergeCell ref="AF22:AI22"/>
    <mergeCell ref="AJ22:AM22"/>
    <mergeCell ref="AN22:AQ22"/>
    <mergeCell ref="AR22:AU22"/>
    <mergeCell ref="F23:I23"/>
    <mergeCell ref="J23:M23"/>
    <mergeCell ref="N23:Q23"/>
    <mergeCell ref="R23:U23"/>
    <mergeCell ref="AF23:AI23"/>
    <mergeCell ref="AJ23:AM23"/>
    <mergeCell ref="AN23:AQ23"/>
    <mergeCell ref="AR23:AU23"/>
    <mergeCell ref="B26:Y26"/>
    <mergeCell ref="AB26:AY26"/>
    <mergeCell ref="F28:J28"/>
    <mergeCell ref="K28:M28"/>
    <mergeCell ref="N28:R28"/>
    <mergeCell ref="S28:U28"/>
    <mergeCell ref="AF28:AJ28"/>
    <mergeCell ref="AK28:AM28"/>
    <mergeCell ref="AN28:AR28"/>
    <mergeCell ref="AS28:AU28"/>
    <mergeCell ref="J29:N30"/>
    <mergeCell ref="O29:Q30"/>
    <mergeCell ref="AJ29:AN30"/>
    <mergeCell ref="AO29:AQ30"/>
    <mergeCell ref="F33:I33"/>
    <mergeCell ref="J33:M33"/>
    <mergeCell ref="N33:Q33"/>
    <mergeCell ref="R33:U33"/>
    <mergeCell ref="AF33:AI33"/>
    <mergeCell ref="AJ33:AM33"/>
    <mergeCell ref="AN33:AQ33"/>
    <mergeCell ref="AR33:AU33"/>
    <mergeCell ref="F34:I34"/>
    <mergeCell ref="J34:M34"/>
    <mergeCell ref="N34:Q34"/>
    <mergeCell ref="R34:U34"/>
    <mergeCell ref="AF34:AI34"/>
    <mergeCell ref="AJ34:AM34"/>
    <mergeCell ref="AN34:AQ34"/>
    <mergeCell ref="AR34:AU34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theme="8" tint="0.39998000860214233"/>
  </sheetPr>
  <dimension ref="A1:BK109"/>
  <sheetViews>
    <sheetView tabSelected="1" zoomScalePageLayoutView="0" workbookViewId="0" topLeftCell="M23">
      <selection activeCell="AL40" sqref="AL40:AO40"/>
    </sheetView>
  </sheetViews>
  <sheetFormatPr defaultColWidth="11.421875" defaultRowHeight="12.75"/>
  <cols>
    <col min="1" max="2" width="3.7109375" style="1" customWidth="1"/>
    <col min="3" max="3" width="12.421875" style="1" customWidth="1"/>
    <col min="4" max="17" width="8.7109375" style="1" customWidth="1"/>
    <col min="18" max="32" width="3.7109375" style="1" customWidth="1"/>
    <col min="33" max="33" width="21.7109375" style="1" customWidth="1"/>
    <col min="34" max="45" width="3.7109375" style="1" customWidth="1"/>
    <col min="46" max="47" width="8.7109375" style="100" hidden="1" customWidth="1"/>
    <col min="48" max="48" width="3.7109375" style="1" customWidth="1"/>
    <col min="49" max="53" width="3.7109375" style="5" customWidth="1"/>
    <col min="54" max="57" width="11.421875" style="5" customWidth="1"/>
    <col min="58" max="58" width="3.7109375" style="5" customWidth="1"/>
    <col min="59" max="61" width="11.421875" style="5" customWidth="1"/>
    <col min="62" max="62" width="3.7109375" style="5" customWidth="1"/>
    <col min="63" max="63" width="11.421875" style="5" customWidth="1"/>
    <col min="64" max="16384" width="11.421875" style="1" customWidth="1"/>
  </cols>
  <sheetData>
    <row r="1" spans="2:59" ht="15" customHeight="1"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7"/>
      <c r="AS1" s="182"/>
      <c r="AT1" s="183"/>
      <c r="AU1" s="183"/>
      <c r="AV1" s="182"/>
      <c r="AY1" s="393" t="s">
        <v>33</v>
      </c>
      <c r="AZ1" s="393"/>
      <c r="BA1" s="393"/>
      <c r="BB1" s="393"/>
      <c r="BC1" s="393"/>
      <c r="BD1" s="393"/>
      <c r="BE1" s="393"/>
      <c r="BF1" s="393"/>
      <c r="BG1" s="393"/>
    </row>
    <row r="2" spans="1:59" ht="15" customHeight="1">
      <c r="A2" s="182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9"/>
      <c r="AS2" s="182"/>
      <c r="AT2" s="183"/>
      <c r="AU2" s="183"/>
      <c r="AV2" s="182"/>
      <c r="AY2" s="393"/>
      <c r="AZ2" s="393"/>
      <c r="BA2" s="393"/>
      <c r="BB2" s="393"/>
      <c r="BC2" s="393"/>
      <c r="BD2" s="393"/>
      <c r="BE2" s="393"/>
      <c r="BF2" s="393"/>
      <c r="BG2" s="393"/>
    </row>
    <row r="3" ht="15"/>
    <row r="4" spans="2:63" ht="18.75">
      <c r="B4" s="372" t="s">
        <v>43</v>
      </c>
      <c r="C4" s="373"/>
      <c r="D4" s="373"/>
      <c r="E4" s="373"/>
      <c r="F4" s="373"/>
      <c r="G4" s="373"/>
      <c r="H4" s="373"/>
      <c r="I4" s="373"/>
      <c r="J4" s="373"/>
      <c r="K4" s="373"/>
      <c r="L4" s="374"/>
      <c r="M4" s="370" t="s">
        <v>44</v>
      </c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57" t="s">
        <v>45</v>
      </c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9"/>
      <c r="AS4" s="48"/>
      <c r="AT4" s="184"/>
      <c r="AU4" s="184"/>
      <c r="AV4" s="9"/>
      <c r="AY4" s="28" t="s">
        <v>34</v>
      </c>
      <c r="AZ4" s="29"/>
      <c r="BA4" s="29"/>
      <c r="BB4" s="29"/>
      <c r="BC4" s="30" t="str">
        <f>IF(AND(AZ6&lt;&gt;"",AZ8="",AZ12="",AZ17="",AZ18=""),BA6,IF(AND(AZ8&lt;&gt;"",AZ6="",AZ12="",AZ17="",AZ18=""),BC6,IF(AND(AZ12&lt;&gt;"",AZ6="",AZ8="",AZ17="",AZ18=""),BC6,IF(AND(AZ17&lt;&gt;"",AZ6="",AZ8="",AZ12="",AZ18=""),BC6,IF(AND(AZ18&lt;&gt;"",AZ6="",AZ8="",AZ12="",AZ17=""),BA18,"???")))))</f>
        <v> C.D.I</v>
      </c>
      <c r="BD4" s="394">
        <f>IF(BC4="C.D.D","UNIQUEMENT pour le remplacement d'un(e) assistant(e) maternel(le)!!","")</f>
      </c>
      <c r="BE4" s="394"/>
      <c r="BF4" s="394"/>
      <c r="BG4" s="394"/>
      <c r="BH4" s="394"/>
      <c r="BI4" s="394"/>
      <c r="BJ4" s="394"/>
      <c r="BK4" s="394"/>
    </row>
    <row r="5" spans="2:48" ht="19.5" customHeight="1">
      <c r="B5" s="32" t="s">
        <v>23</v>
      </c>
      <c r="C5" s="5"/>
      <c r="D5" s="6">
        <f>Identification!B2</f>
        <v>0</v>
      </c>
      <c r="L5" s="52"/>
      <c r="M5" s="32" t="s">
        <v>23</v>
      </c>
      <c r="O5" s="6">
        <f>Identification!I2</f>
        <v>0</v>
      </c>
      <c r="V5" s="27"/>
      <c r="W5" s="6"/>
      <c r="Z5" s="27"/>
      <c r="AA5" s="172"/>
      <c r="AB5" s="32">
        <f>IF(AZ12="x","Nombre de mois prévus pour la période du C.D.D","")</f>
      </c>
      <c r="AE5" s="51"/>
      <c r="AO5" s="397"/>
      <c r="AP5" s="397"/>
      <c r="AQ5" s="397"/>
      <c r="AR5" s="398"/>
      <c r="AS5" s="174"/>
      <c r="AV5" s="5"/>
    </row>
    <row r="6" spans="2:57" ht="19.5" customHeight="1">
      <c r="B6" s="32" t="s">
        <v>24</v>
      </c>
      <c r="C6" s="5"/>
      <c r="D6" s="6">
        <f>Identification!B3</f>
        <v>0</v>
      </c>
      <c r="L6" s="52"/>
      <c r="M6" s="32" t="s">
        <v>46</v>
      </c>
      <c r="O6" s="6">
        <f>Identification!I3</f>
        <v>0</v>
      </c>
      <c r="V6" s="6"/>
      <c r="Z6" s="27"/>
      <c r="AA6" s="172"/>
      <c r="AB6" s="32" t="str">
        <f>IF(AZ8="x","",IF(AZ27="x","Nombre de semaines rémunérées par an",IF(AZ29="x","Nombre de semaines d'accueil programmées par an",IF(AZ12="x","Nombre de semaines d'accueil prévues sur la période du C.D.D",""))))</f>
        <v>Nombre de semaines rémunérées par an</v>
      </c>
      <c r="AF6" s="5"/>
      <c r="AG6" s="66"/>
      <c r="AO6" s="360">
        <v>52</v>
      </c>
      <c r="AP6" s="360"/>
      <c r="AQ6" s="360"/>
      <c r="AR6" s="361"/>
      <c r="AS6" s="175"/>
      <c r="AZ6" s="31" t="s">
        <v>54</v>
      </c>
      <c r="BA6" s="32" t="s">
        <v>35</v>
      </c>
      <c r="BB6" s="6"/>
      <c r="BC6" s="33" t="s">
        <v>36</v>
      </c>
      <c r="BE6" s="34"/>
    </row>
    <row r="7" spans="2:57" ht="19.5" customHeight="1">
      <c r="B7" s="32" t="s">
        <v>47</v>
      </c>
      <c r="C7" s="5"/>
      <c r="D7" s="53">
        <f>Identification!B4</f>
        <v>0</v>
      </c>
      <c r="E7" s="6">
        <f>Identification!B5</f>
        <v>0</v>
      </c>
      <c r="F7" s="6"/>
      <c r="G7" s="6"/>
      <c r="H7" s="6"/>
      <c r="L7" s="52"/>
      <c r="M7" s="32" t="s">
        <v>47</v>
      </c>
      <c r="O7" s="343">
        <f>Identification!I4</f>
        <v>0</v>
      </c>
      <c r="P7" s="343"/>
      <c r="Q7" s="375">
        <f>Identification!I5</f>
        <v>0</v>
      </c>
      <c r="R7" s="375"/>
      <c r="S7" s="375"/>
      <c r="T7" s="375"/>
      <c r="U7" s="375"/>
      <c r="V7" s="375"/>
      <c r="AA7" s="52"/>
      <c r="AB7" s="32" t="str">
        <f>IF(AZ8="x","","Nombre d'heures par semaine (ou moyenne d'heures) :")</f>
        <v>Nombre d'heures par semaine (ou moyenne d'heures) :</v>
      </c>
      <c r="AF7" s="5"/>
      <c r="AG7" s="67"/>
      <c r="AO7" s="362">
        <v>50</v>
      </c>
      <c r="AP7" s="362"/>
      <c r="AQ7" s="362"/>
      <c r="AR7" s="363"/>
      <c r="AS7" s="176"/>
      <c r="BB7" s="34"/>
      <c r="BC7" s="34"/>
      <c r="BD7" s="34"/>
      <c r="BE7" s="34"/>
    </row>
    <row r="8" spans="2:61" ht="19.5" customHeight="1">
      <c r="B8" s="54" t="s">
        <v>48</v>
      </c>
      <c r="C8" s="5"/>
      <c r="D8" s="6">
        <f>Identification!B6</f>
        <v>0</v>
      </c>
      <c r="L8" s="52"/>
      <c r="M8" s="54" t="s">
        <v>28</v>
      </c>
      <c r="P8" s="342">
        <f>Identification!I6</f>
        <v>0</v>
      </c>
      <c r="Q8" s="342"/>
      <c r="R8" s="342"/>
      <c r="S8" s="342"/>
      <c r="T8" s="342"/>
      <c r="U8" s="342"/>
      <c r="W8" s="55"/>
      <c r="X8" s="55"/>
      <c r="AA8" s="52"/>
      <c r="AB8" s="32" t="str">
        <f>IF(AZ8="x","","Nombre d'heures mensualisées (jusqu'à 45 heures) :")</f>
        <v>Nombre d'heures mensualisées (jusqu'à 45 heures) :</v>
      </c>
      <c r="AO8" s="364">
        <f>IF(AZ12="x",AL11,IF(AZ6="x",AM11,IF(AZ17="x",AM11,"")))</f>
        <v>195</v>
      </c>
      <c r="AP8" s="364"/>
      <c r="AQ8" s="364"/>
      <c r="AR8" s="365"/>
      <c r="AS8" s="163"/>
      <c r="AZ8" s="31"/>
      <c r="BA8" s="32" t="s">
        <v>37</v>
      </c>
      <c r="BB8" s="26"/>
      <c r="BC8" s="35"/>
      <c r="BD8" s="35"/>
      <c r="BE8" s="36"/>
      <c r="BF8" s="35"/>
      <c r="BG8" s="35"/>
      <c r="BH8" s="35"/>
      <c r="BI8" s="35"/>
    </row>
    <row r="9" spans="2:63" ht="19.5" customHeight="1">
      <c r="B9" s="32" t="s">
        <v>30</v>
      </c>
      <c r="C9" s="6"/>
      <c r="D9" s="6"/>
      <c r="E9" s="6" t="str">
        <f>Identification!B8</f>
        <v>DUMAS-MANIGAULT Ilenzo</v>
      </c>
      <c r="F9" s="6"/>
      <c r="L9" s="52"/>
      <c r="M9" s="54" t="s">
        <v>49</v>
      </c>
      <c r="Q9" s="376">
        <f>Identification!I7</f>
        <v>0</v>
      </c>
      <c r="R9" s="376"/>
      <c r="S9" s="376"/>
      <c r="T9" s="376"/>
      <c r="U9" s="376"/>
      <c r="V9" s="376"/>
      <c r="Z9" s="27"/>
      <c r="AA9" s="52"/>
      <c r="AB9" s="32" t="str">
        <f>IF(AZ8="x","","Heures supplémentaires mensualisées :")</f>
        <v>Heures supplémentaires mensualisées :</v>
      </c>
      <c r="AO9" s="366">
        <f>IF(AZ12="x",AF11,IF(AZ6="x",AI11,IF(AZ17="x",AI11,"")))</f>
        <v>21.67</v>
      </c>
      <c r="AP9" s="366"/>
      <c r="AQ9" s="366"/>
      <c r="AR9" s="270"/>
      <c r="AS9" s="177"/>
      <c r="BA9" s="37">
        <f>IF(AZ8="x","Préciser si le contrat se termine : à la fin du mois","")</f>
      </c>
      <c r="BD9" s="38"/>
      <c r="BF9" s="39"/>
      <c r="BG9" s="379">
        <f>IF(AZ8="x","Veuillez mettre une X dans une des cases","")</f>
      </c>
      <c r="BH9" s="379"/>
      <c r="BI9" s="379"/>
      <c r="BJ9" s="379"/>
      <c r="BK9" s="40"/>
    </row>
    <row r="10" spans="2:63" ht="19.5" customHeight="1">
      <c r="B10" s="378" t="s">
        <v>50</v>
      </c>
      <c r="C10" s="379"/>
      <c r="D10" s="379"/>
      <c r="E10" s="379"/>
      <c r="F10" s="379"/>
      <c r="G10" s="379"/>
      <c r="H10" s="379"/>
      <c r="I10" s="379"/>
      <c r="J10" s="379"/>
      <c r="K10" s="379"/>
      <c r="L10" s="380"/>
      <c r="M10" s="32" t="s">
        <v>31</v>
      </c>
      <c r="N10" s="64"/>
      <c r="P10" s="377">
        <f>Identification!I8</f>
        <v>0</v>
      </c>
      <c r="Q10" s="377"/>
      <c r="R10" s="133"/>
      <c r="W10" s="56"/>
      <c r="AA10" s="52"/>
      <c r="AB10" s="32" t="s">
        <v>99</v>
      </c>
      <c r="AF10" s="57"/>
      <c r="AG10" s="104"/>
      <c r="AH10" s="104"/>
      <c r="AI10" s="104"/>
      <c r="AJ10" s="104"/>
      <c r="AK10" s="105"/>
      <c r="AL10" s="106"/>
      <c r="AM10" s="107"/>
      <c r="AO10" s="399">
        <v>3.97</v>
      </c>
      <c r="AP10" s="399"/>
      <c r="AQ10" s="399"/>
      <c r="AR10" s="400"/>
      <c r="AS10" s="179"/>
      <c r="BA10" s="11"/>
      <c r="BB10" s="11"/>
      <c r="BC10" s="11"/>
      <c r="BD10" s="41">
        <f>IF(AZ8="x","au cours du mois suivant","")</f>
      </c>
      <c r="BE10" s="11"/>
      <c r="BF10" s="39"/>
      <c r="BG10" s="379"/>
      <c r="BH10" s="379"/>
      <c r="BI10" s="379"/>
      <c r="BJ10" s="379"/>
      <c r="BK10" s="40"/>
    </row>
    <row r="11" spans="2:61" ht="19.5" customHeight="1">
      <c r="B11" s="378"/>
      <c r="C11" s="379"/>
      <c r="D11" s="379"/>
      <c r="E11" s="379"/>
      <c r="F11" s="379"/>
      <c r="G11" s="379"/>
      <c r="H11" s="379"/>
      <c r="I11" s="379"/>
      <c r="J11" s="379"/>
      <c r="K11" s="379"/>
      <c r="L11" s="380"/>
      <c r="M11" s="32" t="s">
        <v>51</v>
      </c>
      <c r="N11" s="64"/>
      <c r="O11" s="6" t="str">
        <f>BC4</f>
        <v> C.D.I</v>
      </c>
      <c r="P11" s="24"/>
      <c r="W11" s="56"/>
      <c r="AA11" s="172"/>
      <c r="AB11" s="58"/>
      <c r="AC11" s="69"/>
      <c r="AD11" s="69"/>
      <c r="AE11" s="69"/>
      <c r="AF11" s="181" t="e">
        <f>ROUND(IF(AO7&lt;45,0,(AO7-45)*AO6/AP5),2)</f>
        <v>#DIV/0!</v>
      </c>
      <c r="AG11" s="154"/>
      <c r="AH11" s="154"/>
      <c r="AI11" s="154">
        <f>ROUND(IF(AO7&lt;45,0,(AO7-45)*AO6/12),2)</f>
        <v>21.67</v>
      </c>
      <c r="AJ11" s="154"/>
      <c r="AK11" s="154"/>
      <c r="AL11" s="70" t="e">
        <f>IF(AO7&gt;45,AO6*45/AP5,AO6*AO7/AP5)</f>
        <v>#DIV/0!</v>
      </c>
      <c r="AM11" s="71">
        <f>IF(AO7&gt;45,AO6*45/12,AO6*AO7/12)</f>
        <v>195</v>
      </c>
      <c r="AN11" s="68"/>
      <c r="AO11" s="69"/>
      <c r="AR11" s="52"/>
      <c r="BG11" s="9"/>
      <c r="BH11" s="9"/>
      <c r="BI11" s="9"/>
    </row>
    <row r="12" spans="2:57" ht="19.5" customHeight="1">
      <c r="B12" s="381"/>
      <c r="C12" s="382"/>
      <c r="D12" s="382"/>
      <c r="E12" s="382"/>
      <c r="F12" s="382"/>
      <c r="G12" s="382"/>
      <c r="H12" s="382"/>
      <c r="I12" s="382"/>
      <c r="J12" s="382"/>
      <c r="K12" s="382"/>
      <c r="L12" s="383"/>
      <c r="M12" s="59" t="s">
        <v>52</v>
      </c>
      <c r="N12" s="170"/>
      <c r="O12" s="61" t="s">
        <v>53</v>
      </c>
      <c r="P12" s="171"/>
      <c r="Q12" s="60"/>
      <c r="R12" s="60"/>
      <c r="S12" s="60"/>
      <c r="T12" s="60"/>
      <c r="U12" s="60"/>
      <c r="V12" s="60"/>
      <c r="W12" s="60"/>
      <c r="X12" s="60"/>
      <c r="Y12" s="60"/>
      <c r="Z12" s="63"/>
      <c r="AA12" s="173"/>
      <c r="AB12" s="178" t="str">
        <f>IF(AZ8="x","","Heures travaillées ou assimilées travaillées pour la régularisation :")</f>
        <v>Heures travaillées ou assimilées travaillées pour la régularisation :</v>
      </c>
      <c r="AC12" s="60"/>
      <c r="AD12" s="60"/>
      <c r="AE12" s="60"/>
      <c r="AF12" s="62"/>
      <c r="AG12" s="60"/>
      <c r="AH12" s="60"/>
      <c r="AI12" s="60"/>
      <c r="AJ12" s="60"/>
      <c r="AK12" s="60"/>
      <c r="AL12" s="60"/>
      <c r="AM12" s="60"/>
      <c r="AN12" s="60"/>
      <c r="AO12" s="401">
        <f>SUM(AT18:AT23)+SUM(AT27:AT33)+SUM(AT35:AT41)+SUM(AT44:AT50)+SUM(AT53:AT56)</f>
        <v>119.25</v>
      </c>
      <c r="AP12" s="401"/>
      <c r="AQ12" s="401"/>
      <c r="AR12" s="402"/>
      <c r="AS12" s="180"/>
      <c r="AZ12" s="31"/>
      <c r="BA12" s="32" t="s">
        <v>38</v>
      </c>
      <c r="BB12" s="26"/>
      <c r="BC12" s="24"/>
      <c r="BD12" s="24"/>
      <c r="BE12" s="9"/>
    </row>
    <row r="13" spans="29:62" ht="18" customHeight="1">
      <c r="AC13" s="7"/>
      <c r="BA13" s="37">
        <f>IF(AZ12="x","Préciser si le contrat se termine : à la fin du mois","")</f>
      </c>
      <c r="BB13" s="26"/>
      <c r="BC13" s="26"/>
      <c r="BD13" s="26"/>
      <c r="BE13" s="9"/>
      <c r="BF13" s="39"/>
      <c r="BG13" s="379">
        <f>IF(AZ12="x","Veuillez mettre une X dans une des cases","")</f>
      </c>
      <c r="BH13" s="379"/>
      <c r="BI13" s="379"/>
      <c r="BJ13" s="379"/>
    </row>
    <row r="14" spans="2:62" ht="16.5" customHeight="1">
      <c r="B14" s="412" t="s">
        <v>3</v>
      </c>
      <c r="C14" s="390" t="s">
        <v>32</v>
      </c>
      <c r="D14" s="536" t="s">
        <v>87</v>
      </c>
      <c r="E14" s="537"/>
      <c r="F14" s="537"/>
      <c r="G14" s="537"/>
      <c r="H14" s="537"/>
      <c r="I14" s="538"/>
      <c r="J14" s="540" t="s">
        <v>2</v>
      </c>
      <c r="K14" s="536" t="s">
        <v>108</v>
      </c>
      <c r="L14" s="537"/>
      <c r="M14" s="537"/>
      <c r="N14" s="537"/>
      <c r="O14" s="537"/>
      <c r="P14" s="537"/>
      <c r="Q14" s="540" t="s">
        <v>2</v>
      </c>
      <c r="R14" s="543" t="s">
        <v>16</v>
      </c>
      <c r="S14" s="544"/>
      <c r="T14" s="545"/>
      <c r="U14" s="540" t="s">
        <v>18</v>
      </c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54" t="s">
        <v>10</v>
      </c>
      <c r="AH14" s="562" t="s">
        <v>19</v>
      </c>
      <c r="AI14" s="563"/>
      <c r="AJ14" s="563"/>
      <c r="AK14" s="564"/>
      <c r="AL14" s="562" t="s">
        <v>20</v>
      </c>
      <c r="AM14" s="563"/>
      <c r="AN14" s="563"/>
      <c r="AO14" s="564"/>
      <c r="AP14" s="500" t="s">
        <v>15</v>
      </c>
      <c r="AQ14" s="501"/>
      <c r="AR14" s="557"/>
      <c r="BD14" s="41">
        <f>IF(AZ12="x","au cours du mois suivant","")</f>
      </c>
      <c r="BF14" s="39"/>
      <c r="BG14" s="379"/>
      <c r="BH14" s="379"/>
      <c r="BI14" s="379"/>
      <c r="BJ14" s="379"/>
    </row>
    <row r="15" spans="2:62" ht="15" customHeight="1">
      <c r="B15" s="413"/>
      <c r="C15" s="391"/>
      <c r="D15" s="534" t="s">
        <v>11</v>
      </c>
      <c r="E15" s="535"/>
      <c r="F15" s="534" t="s">
        <v>12</v>
      </c>
      <c r="G15" s="535"/>
      <c r="H15" s="534" t="s">
        <v>13</v>
      </c>
      <c r="I15" s="535"/>
      <c r="J15" s="541"/>
      <c r="K15" s="534" t="s">
        <v>11</v>
      </c>
      <c r="L15" s="535"/>
      <c r="M15" s="534" t="s">
        <v>12</v>
      </c>
      <c r="N15" s="535"/>
      <c r="O15" s="534" t="s">
        <v>13</v>
      </c>
      <c r="P15" s="539"/>
      <c r="Q15" s="541"/>
      <c r="R15" s="546"/>
      <c r="S15" s="547"/>
      <c r="T15" s="548"/>
      <c r="U15" s="542"/>
      <c r="V15" s="553"/>
      <c r="W15" s="553"/>
      <c r="X15" s="553"/>
      <c r="Y15" s="553"/>
      <c r="Z15" s="553"/>
      <c r="AA15" s="553"/>
      <c r="AB15" s="553"/>
      <c r="AC15" s="553"/>
      <c r="AD15" s="553"/>
      <c r="AE15" s="553"/>
      <c r="AF15" s="553"/>
      <c r="AG15" s="555"/>
      <c r="AH15" s="565"/>
      <c r="AI15" s="566"/>
      <c r="AJ15" s="566"/>
      <c r="AK15" s="567"/>
      <c r="AL15" s="565"/>
      <c r="AM15" s="566"/>
      <c r="AN15" s="566"/>
      <c r="AO15" s="567"/>
      <c r="AP15" s="558"/>
      <c r="AQ15" s="559"/>
      <c r="AR15" s="560"/>
      <c r="BD15" s="41"/>
      <c r="BF15" s="39"/>
      <c r="BG15" s="40"/>
      <c r="BH15" s="40"/>
      <c r="BI15" s="40"/>
      <c r="BJ15" s="40"/>
    </row>
    <row r="16" spans="2:52" ht="18" customHeight="1">
      <c r="B16" s="413"/>
      <c r="C16" s="392"/>
      <c r="D16" s="113" t="s">
        <v>0</v>
      </c>
      <c r="E16" s="113" t="s">
        <v>1</v>
      </c>
      <c r="F16" s="113" t="s">
        <v>0</v>
      </c>
      <c r="G16" s="113" t="s">
        <v>1</v>
      </c>
      <c r="H16" s="113" t="s">
        <v>0</v>
      </c>
      <c r="I16" s="98" t="s">
        <v>1</v>
      </c>
      <c r="J16" s="542"/>
      <c r="K16" s="113" t="s">
        <v>0</v>
      </c>
      <c r="L16" s="113" t="s">
        <v>1</v>
      </c>
      <c r="M16" s="113" t="s">
        <v>0</v>
      </c>
      <c r="N16" s="113" t="s">
        <v>1</v>
      </c>
      <c r="O16" s="113" t="s">
        <v>0</v>
      </c>
      <c r="P16" s="98" t="s">
        <v>1</v>
      </c>
      <c r="Q16" s="542"/>
      <c r="R16" s="549"/>
      <c r="S16" s="550"/>
      <c r="T16" s="551"/>
      <c r="U16" s="334" t="s">
        <v>9</v>
      </c>
      <c r="V16" s="335"/>
      <c r="W16" s="336"/>
      <c r="X16" s="334" t="s">
        <v>17</v>
      </c>
      <c r="Y16" s="335"/>
      <c r="Z16" s="336"/>
      <c r="AA16" s="334" t="s">
        <v>8</v>
      </c>
      <c r="AB16" s="335"/>
      <c r="AC16" s="336"/>
      <c r="AD16" s="334" t="s">
        <v>14</v>
      </c>
      <c r="AE16" s="335"/>
      <c r="AF16" s="336"/>
      <c r="AG16" s="556"/>
      <c r="AH16" s="568"/>
      <c r="AI16" s="569"/>
      <c r="AJ16" s="569"/>
      <c r="AK16" s="570"/>
      <c r="AL16" s="568"/>
      <c r="AM16" s="569"/>
      <c r="AN16" s="569"/>
      <c r="AO16" s="570"/>
      <c r="AP16" s="502"/>
      <c r="AQ16" s="503"/>
      <c r="AR16" s="561"/>
      <c r="AZ16" s="42"/>
    </row>
    <row r="17" spans="2:54" ht="18" customHeight="1">
      <c r="B17" s="413"/>
      <c r="C17" s="140">
        <v>43465</v>
      </c>
      <c r="D17" s="111">
        <v>0.2916666666666667</v>
      </c>
      <c r="E17" s="112"/>
      <c r="F17" s="109"/>
      <c r="G17" s="109"/>
      <c r="H17" s="109"/>
      <c r="I17" s="110">
        <v>0.7083333333333334</v>
      </c>
      <c r="J17" s="125">
        <f>IF(((E17-D17)+(G17-F17)+(I17-H17))*24,((E17-D17)+(G17-F17)+(I17-H17))*24,0)</f>
        <v>10</v>
      </c>
      <c r="K17" s="111">
        <v>0.375</v>
      </c>
      <c r="L17" s="112"/>
      <c r="M17" s="109"/>
      <c r="N17" s="109"/>
      <c r="O17" s="109"/>
      <c r="P17" s="110">
        <v>0.75</v>
      </c>
      <c r="Q17" s="127">
        <f>IF(((L17-K17)+(N17-M17)+(P17-O17))*24,((L17-K17)+(N17-M17)+(P17-O17))*24,0)</f>
        <v>9</v>
      </c>
      <c r="R17" s="350"/>
      <c r="S17" s="351"/>
      <c r="T17" s="352"/>
      <c r="U17" s="350"/>
      <c r="V17" s="351"/>
      <c r="W17" s="352"/>
      <c r="X17" s="350"/>
      <c r="Y17" s="351"/>
      <c r="Z17" s="352"/>
      <c r="AA17" s="350"/>
      <c r="AB17" s="351"/>
      <c r="AC17" s="352"/>
      <c r="AD17" s="350"/>
      <c r="AE17" s="351"/>
      <c r="AF17" s="352"/>
      <c r="AG17" s="226">
        <f>IF(J17=0,Q17,IF(Q17=0,0,MAX(0,D17-K17)+MAX(0,L17-E17)+MAX(0,F17-M17)+MAX(0,N17-G17)+MAX(0,H17-O17)+MAX(0,P17-I17))*24)</f>
        <v>0.9999999999999991</v>
      </c>
      <c r="AH17" s="571">
        <v>1</v>
      </c>
      <c r="AI17" s="572"/>
      <c r="AJ17" s="572"/>
      <c r="AK17" s="573"/>
      <c r="AL17" s="304"/>
      <c r="AM17" s="305"/>
      <c r="AN17" s="305"/>
      <c r="AO17" s="306"/>
      <c r="AP17" s="307"/>
      <c r="AQ17" s="308"/>
      <c r="AR17" s="309"/>
      <c r="AT17" s="185">
        <f>IF(ISERROR(SEARCH(AP17," ANJE CP JF FORM CEF CM AT JEMR")),Q17,IF(AND($AO$6&lt;52,AP17="CP"),Q17,J17))</f>
        <v>10</v>
      </c>
      <c r="AU17" s="5">
        <f>IF(ISBLANK(AP17),IF($Q17&gt;$J17,$Q17,$J17),0)</f>
        <v>10</v>
      </c>
      <c r="AW17" s="1"/>
      <c r="AZ17" s="31"/>
      <c r="BA17" s="6" t="s">
        <v>39</v>
      </c>
      <c r="BB17" s="26"/>
    </row>
    <row r="18" spans="2:55" ht="18" customHeight="1">
      <c r="B18" s="413"/>
      <c r="C18" s="152">
        <f aca="true" t="shared" si="0" ref="C18:C23">C17+1</f>
        <v>43466</v>
      </c>
      <c r="D18" s="129">
        <v>0.2916666666666667</v>
      </c>
      <c r="E18" s="109">
        <v>0.3541666666666667</v>
      </c>
      <c r="F18" s="109">
        <v>0.46875</v>
      </c>
      <c r="G18" s="109">
        <v>0.5520833333333334</v>
      </c>
      <c r="H18" s="109">
        <v>0.6770833333333334</v>
      </c>
      <c r="I18" s="110">
        <v>0.7083333333333334</v>
      </c>
      <c r="J18" s="124">
        <f aca="true" t="shared" si="1" ref="J18:J23">IF(((E18-D18)+(G18-F18)+(I18-H18))*24,((E18-D18)+(G18-F18)+(I18-H18))*24,0)</f>
        <v>4.250000000000001</v>
      </c>
      <c r="K18" s="129">
        <v>0.2916666666666667</v>
      </c>
      <c r="L18" s="109">
        <v>0.3541666666666667</v>
      </c>
      <c r="M18" s="109">
        <v>0.46875</v>
      </c>
      <c r="N18" s="109"/>
      <c r="O18" s="109"/>
      <c r="P18" s="110">
        <v>0.7083333333333334</v>
      </c>
      <c r="Q18" s="128">
        <f aca="true" t="shared" si="2" ref="Q18:Q23">IF(((L18-K18)+(N18-M18)+(P18-O18))*24,((L18-K18)+(N18-M18)+(P18-O18))*24,0)</f>
        <v>7.250000000000001</v>
      </c>
      <c r="R18" s="325"/>
      <c r="S18" s="326"/>
      <c r="T18" s="327"/>
      <c r="U18" s="322"/>
      <c r="V18" s="323"/>
      <c r="W18" s="324"/>
      <c r="X18" s="322"/>
      <c r="Y18" s="323"/>
      <c r="Z18" s="324"/>
      <c r="AA18" s="322"/>
      <c r="AB18" s="323"/>
      <c r="AC18" s="324"/>
      <c r="AD18" s="322"/>
      <c r="AE18" s="323"/>
      <c r="AF18" s="324"/>
      <c r="AG18" s="226">
        <f>IF(J18=0,Q18,IF(Q18=0,0,MAX(0,D18-K18)+MAX(0,L18-E18)+MAX(0,F18-M18)+MAX(0,N18-G18)+MAX(0,H18-O18)+MAX(0,P18-I18+MAX(0*(G18-P18)))))*24</f>
        <v>16.25</v>
      </c>
      <c r="AH18" s="313">
        <v>5.75</v>
      </c>
      <c r="AI18" s="314"/>
      <c r="AJ18" s="314"/>
      <c r="AK18" s="315"/>
      <c r="AL18" s="295"/>
      <c r="AM18" s="296"/>
      <c r="AN18" s="296"/>
      <c r="AO18" s="297"/>
      <c r="AP18" s="292"/>
      <c r="AQ18" s="293"/>
      <c r="AR18" s="294"/>
      <c r="AT18" s="185">
        <f aca="true" t="shared" si="3" ref="AT18:AT23">IF(ISERROR(SEARCH(AP18," ANJE CP JF FORM CEF CM AT JEMR")),Q18,IF(AND($AO$6&lt;52,AP18="CP"),Q18,J18))</f>
        <v>4.250000000000001</v>
      </c>
      <c r="AU18" s="5">
        <f aca="true" t="shared" si="4" ref="AU18:AU23">IF(ISBLANK(AP18),IF($Q18&gt;$J18,$Q18,$J18),0)</f>
        <v>7.250000000000001</v>
      </c>
      <c r="AW18" s="1"/>
      <c r="AX18" s="27"/>
      <c r="AZ18" s="39"/>
      <c r="BA18" s="6"/>
      <c r="BB18" s="6"/>
      <c r="BC18" s="36"/>
    </row>
    <row r="19" spans="2:63" ht="18" customHeight="1">
      <c r="B19" s="413"/>
      <c r="C19" s="139">
        <f t="shared" si="0"/>
        <v>43467</v>
      </c>
      <c r="D19" s="129">
        <v>0.2916666666666667</v>
      </c>
      <c r="E19" s="109">
        <v>0.3541666666666667</v>
      </c>
      <c r="F19" s="109">
        <v>0.46875</v>
      </c>
      <c r="G19" s="109">
        <v>0.5520833333333334</v>
      </c>
      <c r="H19" s="109">
        <v>0.6770833333333334</v>
      </c>
      <c r="I19" s="110">
        <v>0.7083333333333334</v>
      </c>
      <c r="J19" s="124">
        <f t="shared" si="1"/>
        <v>4.250000000000001</v>
      </c>
      <c r="K19" s="129">
        <v>0.2916666666666667</v>
      </c>
      <c r="L19" s="109">
        <v>0.46875</v>
      </c>
      <c r="M19" s="109"/>
      <c r="N19" s="109"/>
      <c r="O19" s="109"/>
      <c r="P19" s="110"/>
      <c r="Q19" s="128">
        <f t="shared" si="2"/>
        <v>4.25</v>
      </c>
      <c r="R19" s="325"/>
      <c r="S19" s="326"/>
      <c r="T19" s="327"/>
      <c r="U19" s="322"/>
      <c r="V19" s="323"/>
      <c r="W19" s="324"/>
      <c r="X19" s="322"/>
      <c r="Y19" s="323"/>
      <c r="Z19" s="324"/>
      <c r="AA19" s="322"/>
      <c r="AB19" s="323"/>
      <c r="AC19" s="324"/>
      <c r="AD19" s="322"/>
      <c r="AE19" s="323"/>
      <c r="AF19" s="324"/>
      <c r="AG19" s="226">
        <f>IF(J19=0,Q19,IF(Q19=0,0,MAX(0,D19-K19)+MAX(0,L19-E19)+MAX(0,F19-M19)+MAX(0,N19-G19)+MAX(0,H19-O19)+MAX(0,P19-I19))*24)</f>
        <v>30.249999999999996</v>
      </c>
      <c r="AH19" s="313">
        <v>2.75</v>
      </c>
      <c r="AI19" s="314"/>
      <c r="AJ19" s="314"/>
      <c r="AK19" s="315"/>
      <c r="AL19" s="295"/>
      <c r="AM19" s="296"/>
      <c r="AN19" s="296"/>
      <c r="AO19" s="297"/>
      <c r="AP19" s="292"/>
      <c r="AQ19" s="293"/>
      <c r="AR19" s="294"/>
      <c r="AT19" s="185">
        <f t="shared" si="3"/>
        <v>4.250000000000001</v>
      </c>
      <c r="AU19" s="5">
        <f t="shared" si="4"/>
        <v>4.250000000000001</v>
      </c>
      <c r="AW19" s="1"/>
      <c r="AX19" s="27"/>
      <c r="BA19" s="37"/>
      <c r="BD19" s="38"/>
      <c r="BF19" s="39"/>
      <c r="BG19" s="24"/>
      <c r="BH19" s="24"/>
      <c r="BI19" s="24"/>
      <c r="BJ19" s="24"/>
      <c r="BK19" s="40"/>
    </row>
    <row r="20" spans="2:63" ht="18" customHeight="1">
      <c r="B20" s="413"/>
      <c r="C20" s="139">
        <f t="shared" si="0"/>
        <v>43468</v>
      </c>
      <c r="D20" s="129">
        <v>0.2916666666666667</v>
      </c>
      <c r="E20" s="109">
        <v>0.3541666666666667</v>
      </c>
      <c r="F20" s="109">
        <v>0.46875</v>
      </c>
      <c r="G20" s="109">
        <v>0.5520833333333334</v>
      </c>
      <c r="H20" s="109">
        <v>0.6770833333333334</v>
      </c>
      <c r="I20" s="110">
        <v>0.7083333333333334</v>
      </c>
      <c r="J20" s="124">
        <f t="shared" si="1"/>
        <v>4.250000000000001</v>
      </c>
      <c r="K20" s="129">
        <v>0.2916666666666667</v>
      </c>
      <c r="L20" s="109">
        <v>0.3541666666666667</v>
      </c>
      <c r="M20" s="109">
        <v>0.375</v>
      </c>
      <c r="N20" s="109"/>
      <c r="O20" s="109"/>
      <c r="P20" s="110">
        <v>0.7083333333333334</v>
      </c>
      <c r="Q20" s="128">
        <f t="shared" si="2"/>
        <v>9.5</v>
      </c>
      <c r="R20" s="325"/>
      <c r="S20" s="326"/>
      <c r="T20" s="327"/>
      <c r="U20" s="322"/>
      <c r="V20" s="323"/>
      <c r="W20" s="324"/>
      <c r="X20" s="322"/>
      <c r="Y20" s="323"/>
      <c r="Z20" s="324"/>
      <c r="AA20" s="322"/>
      <c r="AB20" s="323"/>
      <c r="AC20" s="324"/>
      <c r="AD20" s="322"/>
      <c r="AE20" s="323"/>
      <c r="AF20" s="324"/>
      <c r="AG20" s="226">
        <f>IF(J20=0,Q20,IF(Q20=0,0,MAX(0,D20-K20)+MAX(0,L20-E20)+MAX(0,F20-M20)+MAX(0,N20-G20)+MAX(0,H20-O20)+MAX(0,P20-I20))*24)</f>
        <v>18.5</v>
      </c>
      <c r="AH20" s="313">
        <v>8</v>
      </c>
      <c r="AI20" s="314"/>
      <c r="AJ20" s="314"/>
      <c r="AK20" s="315"/>
      <c r="AL20" s="295"/>
      <c r="AM20" s="296"/>
      <c r="AN20" s="296"/>
      <c r="AO20" s="297"/>
      <c r="AP20" s="292"/>
      <c r="AQ20" s="293"/>
      <c r="AR20" s="294"/>
      <c r="AT20" s="185">
        <f t="shared" si="3"/>
        <v>4.250000000000001</v>
      </c>
      <c r="AU20" s="5">
        <f t="shared" si="4"/>
        <v>9.5</v>
      </c>
      <c r="AW20" s="1"/>
      <c r="AX20" s="27"/>
      <c r="AY20" s="43">
        <f>IF(BC4="???","Veuillez mettre une X dans une des cases","")</f>
      </c>
      <c r="BA20" s="11"/>
      <c r="BB20" s="11"/>
      <c r="BC20" s="11"/>
      <c r="BD20" s="41"/>
      <c r="BE20" s="11"/>
      <c r="BF20" s="39"/>
      <c r="BG20" s="24"/>
      <c r="BH20" s="24"/>
      <c r="BI20" s="24"/>
      <c r="BJ20" s="24"/>
      <c r="BK20" s="40"/>
    </row>
    <row r="21" spans="2:50" ht="18" customHeight="1">
      <c r="B21" s="413"/>
      <c r="C21" s="139">
        <f t="shared" si="0"/>
        <v>43469</v>
      </c>
      <c r="D21" s="129">
        <v>0.2916666666666667</v>
      </c>
      <c r="E21" s="109">
        <v>0.3541666666666667</v>
      </c>
      <c r="F21" s="109">
        <v>0.46875</v>
      </c>
      <c r="G21" s="109">
        <v>0.5520833333333334</v>
      </c>
      <c r="H21" s="109">
        <v>0.6770833333333334</v>
      </c>
      <c r="I21" s="110">
        <v>0.7083333333333334</v>
      </c>
      <c r="J21" s="124">
        <f t="shared" si="1"/>
        <v>4.250000000000001</v>
      </c>
      <c r="K21" s="129">
        <v>0.2916666666666667</v>
      </c>
      <c r="L21" s="109">
        <v>0.3541666666666667</v>
      </c>
      <c r="M21" s="109"/>
      <c r="N21" s="109"/>
      <c r="O21" s="109">
        <v>0.6770833333333334</v>
      </c>
      <c r="P21" s="110">
        <v>0.7083333333333334</v>
      </c>
      <c r="Q21" s="128">
        <f t="shared" si="2"/>
        <v>2.25</v>
      </c>
      <c r="R21" s="325"/>
      <c r="S21" s="326"/>
      <c r="T21" s="327"/>
      <c r="U21" s="322"/>
      <c r="V21" s="323"/>
      <c r="W21" s="324"/>
      <c r="X21" s="322"/>
      <c r="Y21" s="323"/>
      <c r="Z21" s="324"/>
      <c r="AA21" s="322"/>
      <c r="AB21" s="323"/>
      <c r="AC21" s="324"/>
      <c r="AD21" s="322"/>
      <c r="AE21" s="323"/>
      <c r="AF21" s="324"/>
      <c r="AG21" s="226">
        <f>IF(J21=0,Q21,IF(Q21=0,0,MAX(0,D21-K21)+MAX(0,L21-E21)+MAX(0,F21-M21)+MAX(0,N21-G21)+MAX(0,H21-O21)+MAX(0,P21-I21))*24)</f>
        <v>11.25</v>
      </c>
      <c r="AH21" s="313">
        <v>0</v>
      </c>
      <c r="AI21" s="314"/>
      <c r="AJ21" s="314"/>
      <c r="AK21" s="315"/>
      <c r="AL21" s="295"/>
      <c r="AM21" s="296"/>
      <c r="AN21" s="296"/>
      <c r="AO21" s="297"/>
      <c r="AP21" s="292"/>
      <c r="AQ21" s="293"/>
      <c r="AR21" s="294"/>
      <c r="AT21" s="185">
        <f t="shared" si="3"/>
        <v>4.250000000000001</v>
      </c>
      <c r="AU21" s="5">
        <f t="shared" si="4"/>
        <v>4.250000000000001</v>
      </c>
      <c r="AW21" s="1"/>
      <c r="AX21" s="27"/>
    </row>
    <row r="22" spans="2:50" ht="18" customHeight="1">
      <c r="B22" s="413"/>
      <c r="C22" s="139">
        <f t="shared" si="0"/>
        <v>43470</v>
      </c>
      <c r="D22" s="129">
        <v>0.2916666666666667</v>
      </c>
      <c r="E22" s="109">
        <v>0.3541666666666667</v>
      </c>
      <c r="F22" s="109">
        <v>0.46875</v>
      </c>
      <c r="G22" s="109">
        <v>0.5520833333333334</v>
      </c>
      <c r="H22" s="109">
        <v>0.6770833333333334</v>
      </c>
      <c r="I22" s="110">
        <v>0.7083333333333334</v>
      </c>
      <c r="J22" s="124">
        <f t="shared" si="1"/>
        <v>4.250000000000001</v>
      </c>
      <c r="K22" s="129">
        <v>0.2916666666666667</v>
      </c>
      <c r="L22" s="109"/>
      <c r="M22" s="109"/>
      <c r="N22" s="109">
        <v>0.5833333333333334</v>
      </c>
      <c r="O22" s="109"/>
      <c r="P22" s="110"/>
      <c r="Q22" s="128">
        <f t="shared" si="2"/>
        <v>7</v>
      </c>
      <c r="R22" s="325"/>
      <c r="S22" s="326"/>
      <c r="T22" s="327"/>
      <c r="U22" s="322"/>
      <c r="V22" s="323"/>
      <c r="W22" s="324"/>
      <c r="X22" s="322"/>
      <c r="Y22" s="323"/>
      <c r="Z22" s="324"/>
      <c r="AA22" s="322"/>
      <c r="AB22" s="323"/>
      <c r="AC22" s="324"/>
      <c r="AD22" s="322"/>
      <c r="AE22" s="323"/>
      <c r="AF22" s="324"/>
      <c r="AG22" s="226">
        <f>IF(J22=0,Q22,IF(Q22=0,0,MAX(0,D22-K22)+MAX(0,L22-E22)+MAX(0,F22-M22)+MAX(0,N22-G22)+MAX(0,H22-O22)+MAX(0,P22-I22))*24)</f>
        <v>28.250000000000004</v>
      </c>
      <c r="AH22" s="313">
        <v>3.5</v>
      </c>
      <c r="AI22" s="314"/>
      <c r="AJ22" s="314"/>
      <c r="AK22" s="315"/>
      <c r="AL22" s="295"/>
      <c r="AM22" s="296"/>
      <c r="AN22" s="296"/>
      <c r="AO22" s="297"/>
      <c r="AP22" s="292"/>
      <c r="AQ22" s="293"/>
      <c r="AR22" s="294"/>
      <c r="AT22" s="185">
        <f t="shared" si="3"/>
        <v>4.250000000000001</v>
      </c>
      <c r="AU22" s="5">
        <f t="shared" si="4"/>
        <v>7</v>
      </c>
      <c r="AW22" s="1"/>
      <c r="AX22" s="27"/>
    </row>
    <row r="23" spans="2:63" ht="18" customHeight="1">
      <c r="B23" s="413"/>
      <c r="C23" s="139">
        <f t="shared" si="0"/>
        <v>43471</v>
      </c>
      <c r="D23" s="114"/>
      <c r="E23" s="115"/>
      <c r="F23" s="115"/>
      <c r="G23" s="115"/>
      <c r="H23" s="115"/>
      <c r="I23" s="116"/>
      <c r="J23" s="124">
        <f t="shared" si="1"/>
        <v>0</v>
      </c>
      <c r="K23" s="129"/>
      <c r="L23" s="109"/>
      <c r="M23" s="109"/>
      <c r="N23" s="109"/>
      <c r="O23" s="109"/>
      <c r="P23" s="110"/>
      <c r="Q23" s="128">
        <f t="shared" si="2"/>
        <v>0</v>
      </c>
      <c r="R23" s="325"/>
      <c r="S23" s="326"/>
      <c r="T23" s="327"/>
      <c r="U23" s="322"/>
      <c r="V23" s="323"/>
      <c r="W23" s="324"/>
      <c r="X23" s="322"/>
      <c r="Y23" s="323"/>
      <c r="Z23" s="324"/>
      <c r="AA23" s="322"/>
      <c r="AB23" s="323"/>
      <c r="AC23" s="324"/>
      <c r="AD23" s="322"/>
      <c r="AE23" s="323"/>
      <c r="AF23" s="324"/>
      <c r="AG23" s="167"/>
      <c r="AH23" s="295"/>
      <c r="AI23" s="296"/>
      <c r="AJ23" s="296"/>
      <c r="AK23" s="297"/>
      <c r="AL23" s="295"/>
      <c r="AM23" s="296"/>
      <c r="AN23" s="296"/>
      <c r="AO23" s="297"/>
      <c r="AP23" s="292"/>
      <c r="AQ23" s="293"/>
      <c r="AR23" s="294"/>
      <c r="AT23" s="185">
        <f t="shared" si="3"/>
        <v>0</v>
      </c>
      <c r="AU23" s="5">
        <f t="shared" si="4"/>
        <v>0</v>
      </c>
      <c r="AW23" s="1"/>
      <c r="AX23" s="27"/>
      <c r="BF23" s="11"/>
      <c r="BG23" s="10"/>
      <c r="BH23" s="10"/>
      <c r="BI23" s="10"/>
      <c r="BJ23" s="11"/>
      <c r="BK23" s="11"/>
    </row>
    <row r="24" spans="2:57" ht="18" customHeight="1">
      <c r="B24" s="414"/>
      <c r="C24" s="203"/>
      <c r="D24" s="117"/>
      <c r="E24" s="118"/>
      <c r="F24" s="118"/>
      <c r="G24" s="118"/>
      <c r="H24" s="118"/>
      <c r="I24" s="119"/>
      <c r="J24" s="126">
        <f>SUM(J17:J23)</f>
        <v>31.25</v>
      </c>
      <c r="K24" s="117"/>
      <c r="L24" s="118"/>
      <c r="M24" s="118"/>
      <c r="N24" s="118"/>
      <c r="O24" s="118"/>
      <c r="P24" s="119"/>
      <c r="Q24" s="131">
        <f>SUM(Q17:Q23)</f>
        <v>39.25</v>
      </c>
      <c r="R24" s="319">
        <f>SUM(R18:T23)</f>
        <v>0</v>
      </c>
      <c r="S24" s="320"/>
      <c r="T24" s="321"/>
      <c r="U24" s="353">
        <f>SUM(U18:W23)</f>
        <v>0</v>
      </c>
      <c r="V24" s="354"/>
      <c r="W24" s="355"/>
      <c r="X24" s="353">
        <f>SUM(X18:Z23)</f>
        <v>0</v>
      </c>
      <c r="Y24" s="354"/>
      <c r="Z24" s="355"/>
      <c r="AA24" s="353">
        <f>SUM(AA18:AC23)</f>
        <v>0</v>
      </c>
      <c r="AB24" s="354"/>
      <c r="AC24" s="355"/>
      <c r="AD24" s="353">
        <f>SUM(AD18:AF23)</f>
        <v>0</v>
      </c>
      <c r="AE24" s="354"/>
      <c r="AF24" s="355"/>
      <c r="AG24" s="168">
        <f>IF(AG25&lt;0,0,AG25)</f>
        <v>13.75</v>
      </c>
      <c r="AH24" s="310">
        <f>IF(AH25&lt;0,0,AH25)</f>
        <v>0</v>
      </c>
      <c r="AI24" s="311"/>
      <c r="AJ24" s="311"/>
      <c r="AK24" s="312"/>
      <c r="AL24" s="310">
        <f>IF(AL25&gt;0,AL25,0)</f>
        <v>91.75</v>
      </c>
      <c r="AM24" s="311"/>
      <c r="AN24" s="311"/>
      <c r="AO24" s="312"/>
      <c r="AP24" s="301"/>
      <c r="AQ24" s="302"/>
      <c r="AR24" s="303"/>
      <c r="AS24" s="65"/>
      <c r="AY24" s="395" t="str">
        <f>IF(AZ6="x","TYPE DE MENSUALISATION : ",IF(AZ17="x","TYPE DE MENSUALISATION : ",""))</f>
        <v>TYPE DE MENSUALISATION : </v>
      </c>
      <c r="AZ24" s="395"/>
      <c r="BA24" s="395"/>
      <c r="BB24" s="395"/>
      <c r="BC24" s="395"/>
      <c r="BD24" s="396" t="str">
        <f>IF(AND(AZ27&lt;&gt;"",AZ29=""),"Année complète",IF(AND(AZ29&lt;&gt;"",AZ27=""),"Année incomplète",""))</f>
        <v>Année complète</v>
      </c>
      <c r="BE24" s="396"/>
    </row>
    <row r="25" spans="2:63" s="120" customFormat="1" ht="19.5" customHeight="1" hidden="1">
      <c r="B25" s="121"/>
      <c r="C25" s="121"/>
      <c r="D25" s="121"/>
      <c r="E25" s="121"/>
      <c r="F25" s="121"/>
      <c r="G25" s="121"/>
      <c r="H25" s="121"/>
      <c r="I25" s="121"/>
      <c r="J25" s="132">
        <f>IF(J24&gt;45,J24-45,0)</f>
        <v>0</v>
      </c>
      <c r="K25" s="130">
        <f>Q24-M25</f>
        <v>-66.25</v>
      </c>
      <c r="M25" s="130">
        <f>SUM(AG17:AG23)</f>
        <v>105.5</v>
      </c>
      <c r="N25" s="121"/>
      <c r="O25" s="121"/>
      <c r="P25" s="121"/>
      <c r="Q25" s="164"/>
      <c r="X25" s="161"/>
      <c r="Y25" s="161"/>
      <c r="Z25" s="161"/>
      <c r="AA25" s="384"/>
      <c r="AB25" s="384"/>
      <c r="AC25" s="384"/>
      <c r="AD25" s="161"/>
      <c r="AE25" s="161"/>
      <c r="AF25" s="161"/>
      <c r="AG25" s="169">
        <f>IF((M25-AL24)+J24&lt;45,(M25-AL24),45-J24)</f>
        <v>13.75</v>
      </c>
      <c r="AH25" s="384">
        <f>IF(J24&gt;45,K25-45,0)</f>
        <v>0</v>
      </c>
      <c r="AI25" s="384"/>
      <c r="AJ25" s="384"/>
      <c r="AK25" s="384"/>
      <c r="AL25" s="384">
        <f>IF(J24&lt;45,J24-45+M25,M25)</f>
        <v>91.75</v>
      </c>
      <c r="AM25" s="385"/>
      <c r="AN25" s="385"/>
      <c r="AO25" s="385"/>
      <c r="AP25" s="519"/>
      <c r="AQ25" s="519"/>
      <c r="AR25" s="519"/>
      <c r="AS25" s="520"/>
      <c r="AT25" s="166"/>
      <c r="AU25" s="166"/>
      <c r="AV25" s="164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3"/>
      <c r="BI25" s="123"/>
      <c r="BJ25" s="122"/>
      <c r="BK25" s="122"/>
    </row>
    <row r="26" spans="2:57" ht="18" customHeight="1">
      <c r="B26" s="347" t="s">
        <v>4</v>
      </c>
      <c r="C26" s="140">
        <f>C23+1</f>
        <v>43472</v>
      </c>
      <c r="D26" s="111">
        <v>0.2916666666666667</v>
      </c>
      <c r="E26" s="112"/>
      <c r="F26" s="109"/>
      <c r="G26" s="109"/>
      <c r="H26" s="109"/>
      <c r="I26" s="110">
        <v>0.7083333333333334</v>
      </c>
      <c r="J26" s="138">
        <f>IF(((E26-D26)+(G26-F26)+(I26-H26))*24,((E26-D26)+(G26-F26)+(I26-H26))*24,0)</f>
        <v>10</v>
      </c>
      <c r="K26" s="111">
        <v>0.25</v>
      </c>
      <c r="L26" s="112"/>
      <c r="M26" s="109"/>
      <c r="N26" s="109"/>
      <c r="O26" s="109"/>
      <c r="P26" s="110">
        <v>0.7083333333333334</v>
      </c>
      <c r="Q26" s="138">
        <f>IF(((L26-K26)+(N26-M26)+(P26-O26))*24,((L26-K26)+(N26-M26)+(P26-O26))*24,0)</f>
        <v>11</v>
      </c>
      <c r="R26" s="331"/>
      <c r="S26" s="332"/>
      <c r="T26" s="333"/>
      <c r="U26" s="331"/>
      <c r="V26" s="332"/>
      <c r="W26" s="333"/>
      <c r="X26" s="331"/>
      <c r="Y26" s="332"/>
      <c r="Z26" s="333"/>
      <c r="AA26" s="331"/>
      <c r="AB26" s="332"/>
      <c r="AC26" s="333"/>
      <c r="AD26" s="331"/>
      <c r="AE26" s="332"/>
      <c r="AF26" s="333"/>
      <c r="AG26" s="226">
        <f>IF(J26=0,Q26,IF(Q26=0,0,MAX(0,D26-K26)+MAX(0,L26-E26)+MAX(0,F26-M26)+MAX(0,N26-G26)+MAX(0,H26-O26)+MAX(0,P26-I26))*24)</f>
        <v>1.0000000000000004</v>
      </c>
      <c r="AH26" s="316">
        <v>1</v>
      </c>
      <c r="AI26" s="317"/>
      <c r="AJ26" s="317"/>
      <c r="AK26" s="318"/>
      <c r="AL26" s="304"/>
      <c r="AM26" s="305"/>
      <c r="AN26" s="305"/>
      <c r="AO26" s="306"/>
      <c r="AP26" s="307"/>
      <c r="AQ26" s="308"/>
      <c r="AR26" s="309"/>
      <c r="AS26" s="159"/>
      <c r="AT26" s="185">
        <f aca="true" t="shared" si="5" ref="AT26:AT32">IF(ISERROR(SEARCH(AP26," ANJE CP JF FORM CEF CM AT JEMR")),Q26,IF(AND($AO$6&lt;52,AP26="CP"),Q26,J26))</f>
        <v>10</v>
      </c>
      <c r="AU26" s="5">
        <f aca="true" t="shared" si="6" ref="AU26:AU32">IF(ISBLANK(AP26),IF($Q26&gt;$J26,$Q26,$J26),0)</f>
        <v>11</v>
      </c>
      <c r="AV26" s="160"/>
      <c r="AW26" s="1"/>
      <c r="AX26" s="27"/>
      <c r="BD26" s="11"/>
      <c r="BE26" s="11"/>
    </row>
    <row r="27" spans="2:54" ht="18" customHeight="1">
      <c r="B27" s="348"/>
      <c r="C27" s="139">
        <f aca="true" t="shared" si="7" ref="C27:C32">C26+1</f>
        <v>43473</v>
      </c>
      <c r="D27" s="129">
        <v>0.2916666666666667</v>
      </c>
      <c r="E27" s="109">
        <v>0.3541666666666667</v>
      </c>
      <c r="F27" s="109">
        <v>0.46875</v>
      </c>
      <c r="G27" s="109">
        <v>0.5520833333333334</v>
      </c>
      <c r="H27" s="109">
        <v>0.6770833333333334</v>
      </c>
      <c r="I27" s="110">
        <v>0.7083333333333334</v>
      </c>
      <c r="J27" s="135">
        <f aca="true" t="shared" si="8" ref="J27:J32">IF(((E27-D27)+(G27-F27)+(I27-H27))*24,((E27-D27)+(G27-F27)+(I27-H27))*24,0)</f>
        <v>4.250000000000001</v>
      </c>
      <c r="K27" s="129">
        <v>0.25</v>
      </c>
      <c r="L27" s="109"/>
      <c r="M27" s="109"/>
      <c r="N27" s="109"/>
      <c r="O27" s="109"/>
      <c r="P27" s="110">
        <v>0.6770833333333334</v>
      </c>
      <c r="Q27" s="134">
        <f aca="true" t="shared" si="9" ref="Q27:Q32">IF(((L27-K27)+(N27-M27)+(P27-O27))*24,((L27-K27)+(N27-M27)+(P27-O27))*24,0)</f>
        <v>10.25</v>
      </c>
      <c r="R27" s="325"/>
      <c r="S27" s="326"/>
      <c r="T27" s="327"/>
      <c r="U27" s="322"/>
      <c r="V27" s="323"/>
      <c r="W27" s="324"/>
      <c r="X27" s="322"/>
      <c r="Y27" s="323"/>
      <c r="Z27" s="324"/>
      <c r="AA27" s="322"/>
      <c r="AB27" s="323"/>
      <c r="AC27" s="324"/>
      <c r="AD27" s="322"/>
      <c r="AE27" s="323"/>
      <c r="AF27" s="324"/>
      <c r="AG27" s="226">
        <f>IF(J27=0,Q27,IF(Q27=0,0,MAX(0,D27-K27)+MAX(0,L27-E27)+MAX(0,F27-M27)+MAX(0,N27-G27)+MAX(0,H27-O27)+MAX(0,P27-I27+MAX(0*(G27-P27)))))*24</f>
        <v>28.5</v>
      </c>
      <c r="AH27" s="313">
        <v>6.75</v>
      </c>
      <c r="AI27" s="314"/>
      <c r="AJ27" s="314"/>
      <c r="AK27" s="315"/>
      <c r="AL27" s="295"/>
      <c r="AM27" s="296"/>
      <c r="AN27" s="296"/>
      <c r="AO27" s="297"/>
      <c r="AP27" s="292"/>
      <c r="AQ27" s="293"/>
      <c r="AR27" s="294"/>
      <c r="AS27" s="159"/>
      <c r="AT27" s="185">
        <f t="shared" si="5"/>
        <v>4.250000000000001</v>
      </c>
      <c r="AU27" s="5">
        <f t="shared" si="6"/>
        <v>10.25</v>
      </c>
      <c r="AV27" s="160"/>
      <c r="AW27" s="1"/>
      <c r="AX27" s="27"/>
      <c r="AZ27" s="44" t="s">
        <v>54</v>
      </c>
      <c r="BA27" s="26" t="str">
        <f>IF(AND(OR(AZ6="x",AZ17="x"))," Année complète","")</f>
        <v> Année complète</v>
      </c>
      <c r="BB27" s="24"/>
    </row>
    <row r="28" spans="2:50" ht="18" customHeight="1">
      <c r="B28" s="348"/>
      <c r="C28" s="139">
        <f t="shared" si="7"/>
        <v>43474</v>
      </c>
      <c r="D28" s="129">
        <v>0.2916666666666667</v>
      </c>
      <c r="E28" s="109">
        <v>0.3541666666666667</v>
      </c>
      <c r="F28" s="109">
        <v>0.46875</v>
      </c>
      <c r="G28" s="109">
        <v>0.5520833333333334</v>
      </c>
      <c r="H28" s="109">
        <v>0.6770833333333334</v>
      </c>
      <c r="I28" s="110">
        <v>0.7083333333333334</v>
      </c>
      <c r="J28" s="135">
        <f t="shared" si="8"/>
        <v>4.250000000000001</v>
      </c>
      <c r="K28" s="129">
        <v>0.2916666666666667</v>
      </c>
      <c r="L28" s="109">
        <v>0.46875</v>
      </c>
      <c r="M28" s="109">
        <v>0.5833333333333334</v>
      </c>
      <c r="N28" s="109"/>
      <c r="O28" s="109"/>
      <c r="P28" s="110">
        <v>0.6770833333333334</v>
      </c>
      <c r="Q28" s="134">
        <f t="shared" si="9"/>
        <v>6.5</v>
      </c>
      <c r="R28" s="325"/>
      <c r="S28" s="326"/>
      <c r="T28" s="327"/>
      <c r="U28" s="322"/>
      <c r="V28" s="323"/>
      <c r="W28" s="324"/>
      <c r="X28" s="322"/>
      <c r="Y28" s="323"/>
      <c r="Z28" s="324"/>
      <c r="AA28" s="322"/>
      <c r="AB28" s="323"/>
      <c r="AC28" s="324"/>
      <c r="AD28" s="322"/>
      <c r="AE28" s="323"/>
      <c r="AF28" s="324"/>
      <c r="AG28" s="226">
        <f>IF(J28=0,Q28,IF(Q28=0,0,MAX(0,D28-K28)+MAX(0,L28-E28)+MAX(0,F28-M28)+MAX(0,N28-G28)+MAX(0,H28-O28)+MAX(0,P28-I28))*24)</f>
        <v>19</v>
      </c>
      <c r="AH28" s="328">
        <v>5</v>
      </c>
      <c r="AI28" s="329"/>
      <c r="AJ28" s="329"/>
      <c r="AK28" s="330"/>
      <c r="AL28" s="295"/>
      <c r="AM28" s="296"/>
      <c r="AN28" s="296"/>
      <c r="AO28" s="297"/>
      <c r="AP28" s="292"/>
      <c r="AQ28" s="293"/>
      <c r="AR28" s="294"/>
      <c r="AS28" s="159"/>
      <c r="AT28" s="185">
        <f t="shared" si="5"/>
        <v>4.250000000000001</v>
      </c>
      <c r="AU28" s="5">
        <f t="shared" si="6"/>
        <v>6.5</v>
      </c>
      <c r="AV28" s="160"/>
      <c r="AW28" s="1"/>
      <c r="AX28" s="27"/>
    </row>
    <row r="29" spans="2:54" ht="18" customHeight="1">
      <c r="B29" s="348"/>
      <c r="C29" s="139">
        <f t="shared" si="7"/>
        <v>43475</v>
      </c>
      <c r="D29" s="129">
        <v>0.2916666666666667</v>
      </c>
      <c r="E29" s="109">
        <v>0.3541666666666667</v>
      </c>
      <c r="F29" s="109">
        <v>0.46875</v>
      </c>
      <c r="G29" s="109">
        <v>0.5520833333333334</v>
      </c>
      <c r="H29" s="109">
        <v>0.6770833333333334</v>
      </c>
      <c r="I29" s="110">
        <v>0.7083333333333334</v>
      </c>
      <c r="J29" s="135">
        <f t="shared" si="8"/>
        <v>4.250000000000001</v>
      </c>
      <c r="K29" s="129">
        <v>0.25</v>
      </c>
      <c r="L29" s="109">
        <v>0.375</v>
      </c>
      <c r="M29" s="109"/>
      <c r="N29" s="109"/>
      <c r="O29" s="109">
        <v>0.5</v>
      </c>
      <c r="P29" s="110">
        <v>0.6770833333333334</v>
      </c>
      <c r="Q29" s="134">
        <f t="shared" si="9"/>
        <v>7.250000000000001</v>
      </c>
      <c r="R29" s="325"/>
      <c r="S29" s="326"/>
      <c r="T29" s="327"/>
      <c r="U29" s="322"/>
      <c r="V29" s="323"/>
      <c r="W29" s="324"/>
      <c r="X29" s="322"/>
      <c r="Y29" s="323"/>
      <c r="Z29" s="324"/>
      <c r="AA29" s="322"/>
      <c r="AB29" s="323"/>
      <c r="AC29" s="324"/>
      <c r="AD29" s="322"/>
      <c r="AE29" s="323"/>
      <c r="AF29" s="324"/>
      <c r="AG29" s="226">
        <f>IF(J29=0,Q29,IF(Q29=0,0,MAX(0,D29-K29)+MAX(0,L29-E29)+MAX(0,F29-M29)+MAX(0,N29-G29)+MAX(0,H29-O29)+MAX(0,P29-I29))*24)</f>
        <v>17</v>
      </c>
      <c r="AH29" s="313">
        <v>4.5</v>
      </c>
      <c r="AI29" s="314"/>
      <c r="AJ29" s="314"/>
      <c r="AK29" s="315"/>
      <c r="AL29" s="295"/>
      <c r="AM29" s="296"/>
      <c r="AN29" s="296"/>
      <c r="AO29" s="297"/>
      <c r="AP29" s="292"/>
      <c r="AQ29" s="293"/>
      <c r="AR29" s="294"/>
      <c r="AS29" s="159"/>
      <c r="AT29" s="185">
        <f t="shared" si="5"/>
        <v>4.250000000000001</v>
      </c>
      <c r="AU29" s="5">
        <f t="shared" si="6"/>
        <v>7.250000000000001</v>
      </c>
      <c r="AV29" s="160"/>
      <c r="AW29" s="1"/>
      <c r="AX29" s="27"/>
      <c r="AZ29" s="44"/>
      <c r="BA29" s="26" t="str">
        <f>IF(AND(OR(AZ6="x",AZ17="x"))," Année incomplète","")</f>
        <v> Année incomplète</v>
      </c>
      <c r="BB29" s="24"/>
    </row>
    <row r="30" spans="2:50" ht="18" customHeight="1">
      <c r="B30" s="348"/>
      <c r="C30" s="139">
        <f t="shared" si="7"/>
        <v>43476</v>
      </c>
      <c r="D30" s="129">
        <v>0.2916666666666667</v>
      </c>
      <c r="E30" s="109">
        <v>0.3541666666666667</v>
      </c>
      <c r="F30" s="109">
        <v>0.46875</v>
      </c>
      <c r="G30" s="109">
        <v>0.5520833333333334</v>
      </c>
      <c r="H30" s="109">
        <v>0.6770833333333334</v>
      </c>
      <c r="I30" s="110">
        <v>0.7083333333333334</v>
      </c>
      <c r="J30" s="135">
        <f t="shared" si="8"/>
        <v>4.250000000000001</v>
      </c>
      <c r="K30" s="129">
        <v>0.25</v>
      </c>
      <c r="L30" s="109"/>
      <c r="M30" s="109"/>
      <c r="N30" s="109"/>
      <c r="O30" s="109"/>
      <c r="P30" s="110">
        <v>0.7083333333333334</v>
      </c>
      <c r="Q30" s="134">
        <f t="shared" si="9"/>
        <v>11</v>
      </c>
      <c r="R30" s="325"/>
      <c r="S30" s="326"/>
      <c r="T30" s="327"/>
      <c r="U30" s="322"/>
      <c r="V30" s="323"/>
      <c r="W30" s="324"/>
      <c r="X30" s="322"/>
      <c r="Y30" s="323"/>
      <c r="Z30" s="324"/>
      <c r="AA30" s="322"/>
      <c r="AB30" s="323"/>
      <c r="AC30" s="324"/>
      <c r="AD30" s="322"/>
      <c r="AE30" s="323"/>
      <c r="AF30" s="324"/>
      <c r="AG30" s="226">
        <f>IF(J30=0,Q30,IF(Q30=0,0,MAX(0,D30-K30)+MAX(0,L30-E30)+MAX(0,F30-M30)+MAX(0,N30-G30)+MAX(0,H30-O30)+MAX(0,P30-I30))*24)</f>
        <v>28.5</v>
      </c>
      <c r="AH30" s="313">
        <v>6.75</v>
      </c>
      <c r="AI30" s="314"/>
      <c r="AJ30" s="314"/>
      <c r="AK30" s="315"/>
      <c r="AL30" s="295"/>
      <c r="AM30" s="296"/>
      <c r="AN30" s="296"/>
      <c r="AO30" s="297"/>
      <c r="AP30" s="292"/>
      <c r="AQ30" s="293"/>
      <c r="AR30" s="294"/>
      <c r="AS30" s="159"/>
      <c r="AT30" s="185">
        <f t="shared" si="5"/>
        <v>4.250000000000001</v>
      </c>
      <c r="AU30" s="5">
        <f t="shared" si="6"/>
        <v>11</v>
      </c>
      <c r="AV30" s="160"/>
      <c r="AW30" s="1"/>
      <c r="AX30" s="27"/>
    </row>
    <row r="31" spans="2:51" ht="18" customHeight="1">
      <c r="B31" s="348"/>
      <c r="C31" s="139">
        <f t="shared" si="7"/>
        <v>43477</v>
      </c>
      <c r="D31" s="129">
        <v>0.2916666666666667</v>
      </c>
      <c r="E31" s="109">
        <v>0.3541666666666667</v>
      </c>
      <c r="F31" s="109">
        <v>0.46875</v>
      </c>
      <c r="G31" s="109">
        <v>0.5520833333333334</v>
      </c>
      <c r="H31" s="109">
        <v>0.6770833333333334</v>
      </c>
      <c r="I31" s="110">
        <v>0.7083333333333334</v>
      </c>
      <c r="J31" s="135">
        <f t="shared" si="8"/>
        <v>4.250000000000001</v>
      </c>
      <c r="K31" s="129"/>
      <c r="L31" s="109"/>
      <c r="M31" s="109">
        <v>0.4166666666666667</v>
      </c>
      <c r="N31" s="109">
        <v>0.625</v>
      </c>
      <c r="O31" s="109"/>
      <c r="P31" s="110"/>
      <c r="Q31" s="134">
        <f t="shared" si="9"/>
        <v>5</v>
      </c>
      <c r="R31" s="325"/>
      <c r="S31" s="326"/>
      <c r="T31" s="327"/>
      <c r="U31" s="322"/>
      <c r="V31" s="323"/>
      <c r="W31" s="324"/>
      <c r="X31" s="322"/>
      <c r="Y31" s="323"/>
      <c r="Z31" s="324"/>
      <c r="AA31" s="322"/>
      <c r="AB31" s="323"/>
      <c r="AC31" s="324"/>
      <c r="AD31" s="322"/>
      <c r="AE31" s="323"/>
      <c r="AF31" s="324"/>
      <c r="AG31" s="226">
        <f>IF(J31=0,Q31,IF(Q31=0,0,MAX(0,D31-K31)+MAX(0,L31-E31)+MAX(0,F31-M31)+MAX(0,N31-G31)+MAX(0,H31-O31)+MAX(0,P31-I31))*24)</f>
        <v>26.25</v>
      </c>
      <c r="AH31" s="313">
        <v>3</v>
      </c>
      <c r="AI31" s="314"/>
      <c r="AJ31" s="314"/>
      <c r="AK31" s="315"/>
      <c r="AL31" s="295"/>
      <c r="AM31" s="296"/>
      <c r="AN31" s="296"/>
      <c r="AO31" s="297"/>
      <c r="AP31" s="292"/>
      <c r="AQ31" s="293"/>
      <c r="AR31" s="294"/>
      <c r="AS31" s="159"/>
      <c r="AT31" s="185">
        <f t="shared" si="5"/>
        <v>4.250000000000001</v>
      </c>
      <c r="AU31" s="5">
        <f t="shared" si="6"/>
        <v>5</v>
      </c>
      <c r="AV31" s="160"/>
      <c r="AW31" s="1"/>
      <c r="AX31" s="27"/>
      <c r="AY31" s="43">
        <f>IF(OR(AZ8="x",AZ12="x",BC4="???"),"",IF(OR(AND(AZ27="",AZ29=""),AND(AZ27&lt;&gt;"",AZ29&lt;&gt;"")),"Veuillez mettre une X dans une des 2 cases",""))</f>
      </c>
    </row>
    <row r="32" spans="2:63" ht="18" customHeight="1">
      <c r="B32" s="348"/>
      <c r="C32" s="139">
        <f t="shared" si="7"/>
        <v>43478</v>
      </c>
      <c r="D32" s="114"/>
      <c r="E32" s="115"/>
      <c r="F32" s="115"/>
      <c r="G32" s="115"/>
      <c r="H32" s="115"/>
      <c r="I32" s="116"/>
      <c r="J32" s="135">
        <f t="shared" si="8"/>
        <v>0</v>
      </c>
      <c r="K32" s="129"/>
      <c r="L32" s="109"/>
      <c r="M32" s="109"/>
      <c r="N32" s="109"/>
      <c r="O32" s="109">
        <v>0.7083333333333334</v>
      </c>
      <c r="P32" s="110">
        <v>0.8333333333333334</v>
      </c>
      <c r="Q32" s="134">
        <f t="shared" si="9"/>
        <v>3</v>
      </c>
      <c r="R32" s="325"/>
      <c r="S32" s="326"/>
      <c r="T32" s="327"/>
      <c r="U32" s="322"/>
      <c r="V32" s="323"/>
      <c r="W32" s="324"/>
      <c r="X32" s="322"/>
      <c r="Y32" s="323"/>
      <c r="Z32" s="324"/>
      <c r="AA32" s="322"/>
      <c r="AB32" s="323"/>
      <c r="AC32" s="324"/>
      <c r="AD32" s="322"/>
      <c r="AE32" s="323"/>
      <c r="AF32" s="324"/>
      <c r="AG32" s="225"/>
      <c r="AH32" s="313">
        <v>3</v>
      </c>
      <c r="AI32" s="314"/>
      <c r="AJ32" s="314"/>
      <c r="AK32" s="315"/>
      <c r="AL32" s="295"/>
      <c r="AM32" s="296"/>
      <c r="AN32" s="296"/>
      <c r="AO32" s="297"/>
      <c r="AP32" s="292"/>
      <c r="AQ32" s="293"/>
      <c r="AR32" s="294"/>
      <c r="AS32" s="159"/>
      <c r="AT32" s="185">
        <f t="shared" si="5"/>
        <v>0</v>
      </c>
      <c r="AU32" s="5">
        <f t="shared" si="6"/>
        <v>3</v>
      </c>
      <c r="AV32" s="160"/>
      <c r="AW32" s="1"/>
      <c r="AX32" s="27"/>
      <c r="BH32" s="11"/>
      <c r="BI32" s="11"/>
      <c r="BJ32" s="11"/>
      <c r="BK32" s="11"/>
    </row>
    <row r="33" spans="2:59" ht="18" customHeight="1">
      <c r="B33" s="349"/>
      <c r="C33" s="222"/>
      <c r="D33" s="117"/>
      <c r="E33" s="118"/>
      <c r="F33" s="118"/>
      <c r="G33" s="118"/>
      <c r="H33" s="118"/>
      <c r="I33" s="119"/>
      <c r="J33" s="149">
        <f>SUM(J26:J32)</f>
        <v>31.25</v>
      </c>
      <c r="K33" s="117"/>
      <c r="L33" s="118"/>
      <c r="M33" s="118"/>
      <c r="N33" s="118"/>
      <c r="O33" s="118"/>
      <c r="P33" s="119"/>
      <c r="Q33" s="146">
        <f>SUM(Q26:Q32)</f>
        <v>54</v>
      </c>
      <c r="R33" s="319">
        <f>SUM(R26:T32)</f>
        <v>0</v>
      </c>
      <c r="S33" s="320"/>
      <c r="T33" s="321"/>
      <c r="U33" s="319">
        <f>SUM(U26:W32)</f>
        <v>0</v>
      </c>
      <c r="V33" s="320"/>
      <c r="W33" s="321"/>
      <c r="X33" s="319">
        <f>SUM(X26:Z32)</f>
        <v>0</v>
      </c>
      <c r="Y33" s="320"/>
      <c r="Z33" s="321"/>
      <c r="AA33" s="319">
        <f>SUM(AA26:AC32)</f>
        <v>0</v>
      </c>
      <c r="AB33" s="320"/>
      <c r="AC33" s="321"/>
      <c r="AD33" s="319">
        <f>SUM(AD26:AF32)</f>
        <v>0</v>
      </c>
      <c r="AE33" s="320"/>
      <c r="AF33" s="321"/>
      <c r="AG33" s="168">
        <f>IF(AG34&lt;0,0,AG34)</f>
        <v>13.75</v>
      </c>
      <c r="AH33" s="310">
        <f>IF(AH34&lt;0,0,AH34)</f>
        <v>0</v>
      </c>
      <c r="AI33" s="311"/>
      <c r="AJ33" s="311"/>
      <c r="AK33" s="312"/>
      <c r="AL33" s="310">
        <f>IF(AL34&gt;0,AL34,0)</f>
        <v>106.5</v>
      </c>
      <c r="AM33" s="311"/>
      <c r="AN33" s="311"/>
      <c r="AO33" s="312"/>
      <c r="AP33" s="301"/>
      <c r="AQ33" s="302"/>
      <c r="AR33" s="303"/>
      <c r="AS33" s="163"/>
      <c r="AT33" s="185"/>
      <c r="AU33" s="186"/>
      <c r="AV33" s="163"/>
      <c r="AY33" s="45" t="s">
        <v>40</v>
      </c>
      <c r="AZ33" s="45"/>
      <c r="BA33" s="45"/>
      <c r="BB33" s="45"/>
      <c r="BC33" s="45"/>
      <c r="BF33" s="11"/>
      <c r="BG33" s="10"/>
    </row>
    <row r="34" spans="2:63" s="3" customFormat="1" ht="4.5" customHeight="1">
      <c r="B34" s="4"/>
      <c r="C34" s="4"/>
      <c r="D34" s="4"/>
      <c r="E34" s="4"/>
      <c r="F34" s="4"/>
      <c r="G34" s="4"/>
      <c r="H34" s="4"/>
      <c r="I34" s="4"/>
      <c r="J34" s="145">
        <f>IF(J33&gt;45,J33-45,0)</f>
        <v>0</v>
      </c>
      <c r="K34" s="151">
        <f>Q33-M34</f>
        <v>-66.25</v>
      </c>
      <c r="M34" s="151">
        <f>SUM(AG26:AG32)</f>
        <v>120.25</v>
      </c>
      <c r="N34" s="223"/>
      <c r="O34" s="223"/>
      <c r="P34" s="223"/>
      <c r="Q34" s="165"/>
      <c r="X34" s="91"/>
      <c r="Y34" s="91"/>
      <c r="Z34" s="91"/>
      <c r="AA34" s="341"/>
      <c r="AB34" s="341"/>
      <c r="AC34" s="341"/>
      <c r="AD34" s="91"/>
      <c r="AE34" s="91"/>
      <c r="AF34" s="91"/>
      <c r="AG34" s="224">
        <f>IF((M34-AL33)+J33&lt;45,(M34-AL33),45-J33)</f>
        <v>13.75</v>
      </c>
      <c r="AH34" s="341">
        <f>IF(J33&gt;45,K34-45,0)</f>
        <v>0</v>
      </c>
      <c r="AI34" s="341"/>
      <c r="AJ34" s="341"/>
      <c r="AK34" s="341"/>
      <c r="AL34" s="341">
        <f>IF(J33&lt;45,J33-45+M34,M34)</f>
        <v>106.5</v>
      </c>
      <c r="AM34" s="346"/>
      <c r="AN34" s="346"/>
      <c r="AO34" s="346"/>
      <c r="AP34" s="165"/>
      <c r="AQ34" s="165"/>
      <c r="AR34" s="165"/>
      <c r="AS34" s="165"/>
      <c r="AT34" s="8"/>
      <c r="AU34" s="8"/>
      <c r="AV34" s="165"/>
      <c r="AW34" s="11"/>
      <c r="AX34" s="11"/>
      <c r="AY34" s="10"/>
      <c r="AZ34" s="10"/>
      <c r="BA34" s="10"/>
      <c r="BB34" s="10"/>
      <c r="BC34" s="10"/>
      <c r="BD34" s="11"/>
      <c r="BE34" s="11"/>
      <c r="BF34" s="11"/>
      <c r="BG34" s="11"/>
      <c r="BH34" s="11"/>
      <c r="BI34" s="11"/>
      <c r="BJ34" s="11"/>
      <c r="BK34" s="11"/>
    </row>
    <row r="35" spans="2:59" ht="18" customHeight="1">
      <c r="B35" s="347" t="s">
        <v>5</v>
      </c>
      <c r="C35" s="140">
        <f>C32+1</f>
        <v>43479</v>
      </c>
      <c r="D35" s="111">
        <v>0.2916666666666667</v>
      </c>
      <c r="E35" s="112"/>
      <c r="F35" s="109"/>
      <c r="G35" s="109"/>
      <c r="H35" s="109"/>
      <c r="I35" s="110">
        <v>0.7083333333333334</v>
      </c>
      <c r="J35" s="138">
        <f>IF(((E35-D35)+(G35-F35)+(I35-H35))*24,((E35-D35)+(G35-F35)+(I35-H35))*24,0)</f>
        <v>10</v>
      </c>
      <c r="K35" s="111">
        <v>0.25</v>
      </c>
      <c r="L35" s="112">
        <v>0.375</v>
      </c>
      <c r="M35" s="109"/>
      <c r="N35" s="109"/>
      <c r="O35" s="109"/>
      <c r="P35" s="110"/>
      <c r="Q35" s="138">
        <f>IF(((L35-K35)+(N35-M35)+(P35-O35))*24,((L35-K35)+(N35-M35)+(P35-O35))*24,0)</f>
        <v>3</v>
      </c>
      <c r="R35" s="331"/>
      <c r="S35" s="332"/>
      <c r="T35" s="333"/>
      <c r="U35" s="331"/>
      <c r="V35" s="332"/>
      <c r="W35" s="333"/>
      <c r="X35" s="331"/>
      <c r="Y35" s="332"/>
      <c r="Z35" s="333"/>
      <c r="AA35" s="331"/>
      <c r="AB35" s="332"/>
      <c r="AC35" s="333"/>
      <c r="AD35" s="331"/>
      <c r="AE35" s="332"/>
      <c r="AF35" s="333"/>
      <c r="AG35" s="226">
        <f>IF(J35=0,Q35,IF(Q35=0,0,MAX(0,D35-K35)+MAX(0,L35-E35)+MAX(0,F35-M35)+MAX(0,N35-G35)+MAX(0,H35-O35)+MAX(0,P35-I35))*24)</f>
        <v>10</v>
      </c>
      <c r="AH35" s="316">
        <v>1.5</v>
      </c>
      <c r="AI35" s="317"/>
      <c r="AJ35" s="317"/>
      <c r="AK35" s="318"/>
      <c r="AL35" s="304"/>
      <c r="AM35" s="305"/>
      <c r="AN35" s="305"/>
      <c r="AO35" s="306"/>
      <c r="AP35" s="307"/>
      <c r="AQ35" s="308"/>
      <c r="AR35" s="309"/>
      <c r="AS35" s="159"/>
      <c r="AT35" s="185">
        <f aca="true" t="shared" si="10" ref="AT35:AT41">IF(ISERROR(SEARCH(AP35," ANJE CP JF FORM CEF CM AT JEMR")),Q35,IF(AND($AO$6&lt;52,AP35="CP"),Q35,J35))</f>
        <v>10</v>
      </c>
      <c r="AU35" s="5">
        <f aca="true" t="shared" si="11" ref="AU35:AU41">IF(ISBLANK(AP35),IF($Q35&gt;$J35,$Q35,$J35),0)</f>
        <v>10</v>
      </c>
      <c r="AV35" s="160"/>
      <c r="AW35" s="1"/>
      <c r="AX35" s="27"/>
      <c r="BF35" s="11"/>
      <c r="BG35" s="11"/>
    </row>
    <row r="36" spans="2:54" ht="18" customHeight="1">
      <c r="B36" s="348"/>
      <c r="C36" s="139">
        <f aca="true" t="shared" si="12" ref="C36:C41">C35+1</f>
        <v>43480</v>
      </c>
      <c r="D36" s="129">
        <v>0.2916666666666667</v>
      </c>
      <c r="E36" s="109">
        <v>0.3541666666666667</v>
      </c>
      <c r="F36" s="109">
        <v>0.46875</v>
      </c>
      <c r="G36" s="109">
        <v>0.5520833333333334</v>
      </c>
      <c r="H36" s="109">
        <v>0.6770833333333334</v>
      </c>
      <c r="I36" s="110">
        <v>0.7083333333333334</v>
      </c>
      <c r="J36" s="135">
        <f aca="true" t="shared" si="13" ref="J36:J41">IF(((E36-D36)+(G36-F36)+(I36-H36))*24,((E36-D36)+(G36-F36)+(I36-H36))*24,0)</f>
        <v>4.250000000000001</v>
      </c>
      <c r="K36" s="129">
        <v>0.25</v>
      </c>
      <c r="L36" s="109">
        <v>0.3333333333333333</v>
      </c>
      <c r="M36" s="109"/>
      <c r="N36" s="109"/>
      <c r="O36" s="109"/>
      <c r="P36" s="110"/>
      <c r="Q36" s="134">
        <f aca="true" t="shared" si="14" ref="Q36:Q41">IF(((L36-K36)+(N36-M36)+(P36-O36))*24,((L36-K36)+(N36-M36)+(P36-O36))*24,0)</f>
        <v>1.9999999999999996</v>
      </c>
      <c r="R36" s="325"/>
      <c r="S36" s="326"/>
      <c r="T36" s="327"/>
      <c r="U36" s="322"/>
      <c r="V36" s="323"/>
      <c r="W36" s="324"/>
      <c r="X36" s="322"/>
      <c r="Y36" s="323"/>
      <c r="Z36" s="324"/>
      <c r="AA36" s="322"/>
      <c r="AB36" s="323"/>
      <c r="AC36" s="324"/>
      <c r="AD36" s="322"/>
      <c r="AE36" s="323"/>
      <c r="AF36" s="324"/>
      <c r="AG36" s="226">
        <f>IF(J36=0,Q36,IF(Q36=0,0,MAX(0,D36-K36)+MAX(0,L36-E36)+MAX(0,F36-M36)+MAX(0,N36-G36)+MAX(0,H36-O36)+MAX(0,P36-I36+MAX(0*(G36-P36)))))*24</f>
        <v>28.5</v>
      </c>
      <c r="AH36" s="313">
        <v>1</v>
      </c>
      <c r="AI36" s="314"/>
      <c r="AJ36" s="314"/>
      <c r="AK36" s="315"/>
      <c r="AL36" s="295"/>
      <c r="AM36" s="296"/>
      <c r="AN36" s="296"/>
      <c r="AO36" s="297"/>
      <c r="AP36" s="292"/>
      <c r="AQ36" s="293"/>
      <c r="AR36" s="294"/>
      <c r="AS36" s="159"/>
      <c r="AT36" s="185">
        <f t="shared" si="10"/>
        <v>4.250000000000001</v>
      </c>
      <c r="AU36" s="5">
        <f t="shared" si="11"/>
        <v>4.250000000000001</v>
      </c>
      <c r="AV36" s="160"/>
      <c r="AW36" s="1"/>
      <c r="AX36" s="27"/>
      <c r="AZ36" s="31" t="s">
        <v>54</v>
      </c>
      <c r="BA36" s="32" t="s">
        <v>41</v>
      </c>
      <c r="BB36" s="26"/>
    </row>
    <row r="37" spans="2:50" ht="18" customHeight="1">
      <c r="B37" s="348"/>
      <c r="C37" s="139">
        <f t="shared" si="12"/>
        <v>43481</v>
      </c>
      <c r="D37" s="129">
        <v>0.2916666666666667</v>
      </c>
      <c r="E37" s="109">
        <v>0.3541666666666667</v>
      </c>
      <c r="F37" s="109">
        <v>0.46875</v>
      </c>
      <c r="G37" s="109">
        <v>0.5520833333333334</v>
      </c>
      <c r="H37" s="109">
        <v>0.6770833333333334</v>
      </c>
      <c r="I37" s="110">
        <v>0.7083333333333334</v>
      </c>
      <c r="J37" s="135">
        <f t="shared" si="13"/>
        <v>4.250000000000001</v>
      </c>
      <c r="K37" s="129"/>
      <c r="L37" s="109"/>
      <c r="M37" s="109">
        <v>0.3541666666666667</v>
      </c>
      <c r="N37" s="109">
        <v>0.46875</v>
      </c>
      <c r="O37" s="109"/>
      <c r="P37" s="110"/>
      <c r="Q37" s="134">
        <f t="shared" si="14"/>
        <v>2.7499999999999996</v>
      </c>
      <c r="R37" s="325"/>
      <c r="S37" s="326"/>
      <c r="T37" s="327"/>
      <c r="U37" s="322"/>
      <c r="V37" s="323"/>
      <c r="W37" s="324"/>
      <c r="X37" s="322"/>
      <c r="Y37" s="323"/>
      <c r="Z37" s="324"/>
      <c r="AA37" s="322"/>
      <c r="AB37" s="323"/>
      <c r="AC37" s="324"/>
      <c r="AD37" s="322"/>
      <c r="AE37" s="323"/>
      <c r="AF37" s="324"/>
      <c r="AG37" s="226">
        <f>IF(J37=0,Q37,IF(Q37=0,0,MAX(0,D37-K37)+MAX(0,L37-E37)+MAX(0,F37-M37)+MAX(0,N37-G37)+MAX(0,H37-O37)+MAX(0,P37-I37))*24)</f>
        <v>26.000000000000004</v>
      </c>
      <c r="AH37" s="313">
        <v>2.75</v>
      </c>
      <c r="AI37" s="314"/>
      <c r="AJ37" s="314"/>
      <c r="AK37" s="315"/>
      <c r="AL37" s="295"/>
      <c r="AM37" s="296"/>
      <c r="AN37" s="296"/>
      <c r="AO37" s="297"/>
      <c r="AP37" s="292"/>
      <c r="AQ37" s="293"/>
      <c r="AR37" s="294"/>
      <c r="AS37" s="159"/>
      <c r="AT37" s="185">
        <f t="shared" si="10"/>
        <v>4.250000000000001</v>
      </c>
      <c r="AU37" s="5">
        <f t="shared" si="11"/>
        <v>4.250000000000001</v>
      </c>
      <c r="AV37" s="160"/>
      <c r="AW37" s="1"/>
      <c r="AX37" s="27"/>
    </row>
    <row r="38" spans="2:55" ht="18" customHeight="1">
      <c r="B38" s="348"/>
      <c r="C38" s="139">
        <f t="shared" si="12"/>
        <v>43482</v>
      </c>
      <c r="D38" s="129">
        <v>0.2916666666666667</v>
      </c>
      <c r="E38" s="109">
        <v>0.3541666666666667</v>
      </c>
      <c r="F38" s="109">
        <v>0.46875</v>
      </c>
      <c r="G38" s="109">
        <v>0.5520833333333334</v>
      </c>
      <c r="H38" s="109">
        <v>0.6770833333333334</v>
      </c>
      <c r="I38" s="110">
        <v>0.7083333333333334</v>
      </c>
      <c r="J38" s="135">
        <f t="shared" si="13"/>
        <v>4.250000000000001</v>
      </c>
      <c r="K38" s="129"/>
      <c r="L38" s="109"/>
      <c r="M38" s="109">
        <v>0.5520833333333334</v>
      </c>
      <c r="N38" s="109"/>
      <c r="O38" s="109"/>
      <c r="P38" s="110">
        <v>0.6770833333333334</v>
      </c>
      <c r="Q38" s="134">
        <f t="shared" si="14"/>
        <v>3</v>
      </c>
      <c r="R38" s="325"/>
      <c r="S38" s="326"/>
      <c r="T38" s="327"/>
      <c r="U38" s="322"/>
      <c r="V38" s="323"/>
      <c r="W38" s="324"/>
      <c r="X38" s="322"/>
      <c r="Y38" s="323"/>
      <c r="Z38" s="324"/>
      <c r="AA38" s="322"/>
      <c r="AB38" s="323"/>
      <c r="AC38" s="324"/>
      <c r="AD38" s="322"/>
      <c r="AE38" s="323"/>
      <c r="AF38" s="324"/>
      <c r="AG38" s="226">
        <f>IF(J38=0,Q38,IF(Q38=0,0,MAX(0,D38-K38)+MAX(0,L38-E38)+MAX(0,F38-M38)+MAX(0,N38-G38)+MAX(0,H38-O38)+MAX(0,P38-I38))*24)</f>
        <v>23.25</v>
      </c>
      <c r="AH38" s="313">
        <v>3</v>
      </c>
      <c r="AI38" s="314"/>
      <c r="AJ38" s="314"/>
      <c r="AK38" s="315"/>
      <c r="AL38" s="295"/>
      <c r="AM38" s="296"/>
      <c r="AN38" s="296"/>
      <c r="AO38" s="297"/>
      <c r="AP38" s="292"/>
      <c r="AQ38" s="293"/>
      <c r="AR38" s="294"/>
      <c r="AS38" s="159"/>
      <c r="AT38" s="185">
        <f t="shared" si="10"/>
        <v>4.250000000000001</v>
      </c>
      <c r="AU38" s="5">
        <f t="shared" si="11"/>
        <v>4.250000000000001</v>
      </c>
      <c r="AV38" s="160"/>
      <c r="AW38" s="1"/>
      <c r="AX38" s="27"/>
      <c r="AZ38" s="31"/>
      <c r="BA38" s="32" t="s">
        <v>42</v>
      </c>
      <c r="BB38" s="24"/>
      <c r="BC38" s="11"/>
    </row>
    <row r="39" spans="2:59" ht="18" customHeight="1">
      <c r="B39" s="348"/>
      <c r="C39" s="139">
        <f t="shared" si="12"/>
        <v>43483</v>
      </c>
      <c r="D39" s="129">
        <v>0.2916666666666667</v>
      </c>
      <c r="E39" s="109">
        <v>0.3541666666666667</v>
      </c>
      <c r="F39" s="109">
        <v>0.46875</v>
      </c>
      <c r="G39" s="109">
        <v>0.5520833333333334</v>
      </c>
      <c r="H39" s="109">
        <v>0.6770833333333334</v>
      </c>
      <c r="I39" s="110">
        <v>0.7083333333333334</v>
      </c>
      <c r="J39" s="135">
        <f t="shared" si="13"/>
        <v>4.250000000000001</v>
      </c>
      <c r="K39" s="129">
        <v>0.25</v>
      </c>
      <c r="L39" s="109"/>
      <c r="M39" s="109"/>
      <c r="N39" s="109"/>
      <c r="O39" s="109"/>
      <c r="P39" s="110">
        <v>0.75</v>
      </c>
      <c r="Q39" s="134">
        <f t="shared" si="14"/>
        <v>12</v>
      </c>
      <c r="R39" s="325"/>
      <c r="S39" s="326"/>
      <c r="T39" s="327"/>
      <c r="U39" s="322"/>
      <c r="V39" s="323"/>
      <c r="W39" s="324"/>
      <c r="X39" s="322"/>
      <c r="Y39" s="323"/>
      <c r="Z39" s="324"/>
      <c r="AA39" s="322"/>
      <c r="AB39" s="323"/>
      <c r="AC39" s="324"/>
      <c r="AD39" s="322"/>
      <c r="AE39" s="323"/>
      <c r="AF39" s="324"/>
      <c r="AG39" s="226">
        <f>IF(J39=0,Q39,IF(Q39=0,0,MAX(0,D39-K39)+MAX(0,L39-E39)+MAX(0,F39-M39)+MAX(0,N39-G39)+MAX(0,H39-O39)+MAX(0,P39-I39))*24)</f>
        <v>29.499999999999996</v>
      </c>
      <c r="AH39" s="313">
        <v>7.75</v>
      </c>
      <c r="AI39" s="314"/>
      <c r="AJ39" s="314"/>
      <c r="AK39" s="315"/>
      <c r="AL39" s="295"/>
      <c r="AM39" s="296"/>
      <c r="AN39" s="296"/>
      <c r="AO39" s="297"/>
      <c r="AP39" s="292"/>
      <c r="AQ39" s="293"/>
      <c r="AR39" s="294"/>
      <c r="AS39" s="159"/>
      <c r="AT39" s="185">
        <f t="shared" si="10"/>
        <v>4.250000000000001</v>
      </c>
      <c r="AU39" s="5">
        <f t="shared" si="11"/>
        <v>12</v>
      </c>
      <c r="AV39" s="160"/>
      <c r="AW39" s="1"/>
      <c r="AX39" s="27"/>
      <c r="BG39" s="27"/>
    </row>
    <row r="40" spans="2:51" ht="18" customHeight="1">
      <c r="B40" s="348"/>
      <c r="C40" s="139">
        <f t="shared" si="12"/>
        <v>43484</v>
      </c>
      <c r="D40" s="114"/>
      <c r="E40" s="115"/>
      <c r="F40" s="115"/>
      <c r="G40" s="115"/>
      <c r="H40" s="115"/>
      <c r="I40" s="116"/>
      <c r="J40" s="135">
        <f t="shared" si="13"/>
        <v>0</v>
      </c>
      <c r="K40" s="129"/>
      <c r="L40" s="109"/>
      <c r="M40" s="109"/>
      <c r="N40" s="109"/>
      <c r="O40" s="109"/>
      <c r="P40" s="110"/>
      <c r="Q40" s="134">
        <f t="shared" si="14"/>
        <v>0</v>
      </c>
      <c r="R40" s="325"/>
      <c r="S40" s="326"/>
      <c r="T40" s="327"/>
      <c r="U40" s="322"/>
      <c r="V40" s="323"/>
      <c r="W40" s="324"/>
      <c r="X40" s="322"/>
      <c r="Y40" s="323"/>
      <c r="Z40" s="324"/>
      <c r="AA40" s="322"/>
      <c r="AB40" s="323"/>
      <c r="AC40" s="324"/>
      <c r="AD40" s="322"/>
      <c r="AE40" s="323"/>
      <c r="AF40" s="324"/>
      <c r="AG40" s="226">
        <f>IF(J40=0,Q40,IF(Q40=0,0,MAX(0,D40-K40)+MAX(0,L40-E40)+MAX(0,F40-M40)+MAX(0,N40-G40)+MAX(0,H40-O40)+MAX(0,P40-I40))*24)</f>
        <v>0</v>
      </c>
      <c r="AH40" s="295"/>
      <c r="AI40" s="296"/>
      <c r="AJ40" s="296"/>
      <c r="AK40" s="297"/>
      <c r="AL40" s="295"/>
      <c r="AM40" s="296"/>
      <c r="AN40" s="296"/>
      <c r="AO40" s="297"/>
      <c r="AP40" s="292"/>
      <c r="AQ40" s="293"/>
      <c r="AR40" s="294"/>
      <c r="AS40" s="159"/>
      <c r="AT40" s="185">
        <f t="shared" si="10"/>
        <v>0</v>
      </c>
      <c r="AU40" s="5">
        <f t="shared" si="11"/>
        <v>0</v>
      </c>
      <c r="AV40" s="160"/>
      <c r="AW40" s="1"/>
      <c r="AX40" s="27"/>
      <c r="AY40" s="43">
        <f>IF(OR(AND(AZ36="",AZ38=""),AND(AZ36&lt;&gt;"",AZ38&lt;&gt;"")),"Veuillez mettre une X dans une des 2 cases","")</f>
      </c>
    </row>
    <row r="41" spans="2:63" ht="18" customHeight="1">
      <c r="B41" s="348"/>
      <c r="C41" s="139">
        <f t="shared" si="12"/>
        <v>43485</v>
      </c>
      <c r="D41" s="114"/>
      <c r="E41" s="115"/>
      <c r="F41" s="115"/>
      <c r="G41" s="115"/>
      <c r="H41" s="115"/>
      <c r="I41" s="116"/>
      <c r="J41" s="135">
        <f t="shared" si="13"/>
        <v>0</v>
      </c>
      <c r="K41" s="129"/>
      <c r="L41" s="109"/>
      <c r="M41" s="109"/>
      <c r="N41" s="109"/>
      <c r="O41" s="109"/>
      <c r="P41" s="110"/>
      <c r="Q41" s="134">
        <f t="shared" si="14"/>
        <v>0</v>
      </c>
      <c r="R41" s="325"/>
      <c r="S41" s="326"/>
      <c r="T41" s="327"/>
      <c r="U41" s="322"/>
      <c r="V41" s="323"/>
      <c r="W41" s="324"/>
      <c r="X41" s="322"/>
      <c r="Y41" s="323"/>
      <c r="Z41" s="324"/>
      <c r="AA41" s="322"/>
      <c r="AB41" s="323"/>
      <c r="AC41" s="324"/>
      <c r="AD41" s="322"/>
      <c r="AE41" s="323"/>
      <c r="AF41" s="324"/>
      <c r="AG41" s="167"/>
      <c r="AH41" s="295"/>
      <c r="AI41" s="296"/>
      <c r="AJ41" s="296"/>
      <c r="AK41" s="297"/>
      <c r="AL41" s="295"/>
      <c r="AM41" s="296"/>
      <c r="AN41" s="296"/>
      <c r="AO41" s="297"/>
      <c r="AP41" s="292"/>
      <c r="AQ41" s="293"/>
      <c r="AR41" s="294"/>
      <c r="AS41" s="159"/>
      <c r="AT41" s="185">
        <f t="shared" si="10"/>
        <v>0</v>
      </c>
      <c r="AU41" s="5">
        <f t="shared" si="11"/>
        <v>0</v>
      </c>
      <c r="AV41" s="160"/>
      <c r="AW41" s="1"/>
      <c r="AX41" s="27"/>
      <c r="BH41" s="11"/>
      <c r="BI41" s="11"/>
      <c r="BJ41" s="11"/>
      <c r="BK41" s="11"/>
    </row>
    <row r="42" spans="2:59" ht="18" customHeight="1">
      <c r="B42" s="349"/>
      <c r="C42" s="150"/>
      <c r="D42" s="117"/>
      <c r="E42" s="118"/>
      <c r="F42" s="118"/>
      <c r="G42" s="118"/>
      <c r="H42" s="118"/>
      <c r="I42" s="119"/>
      <c r="J42" s="149">
        <f>SUM(J35:J41)</f>
        <v>27</v>
      </c>
      <c r="K42" s="117"/>
      <c r="L42" s="118"/>
      <c r="M42" s="118"/>
      <c r="N42" s="118"/>
      <c r="O42" s="118"/>
      <c r="P42" s="119"/>
      <c r="Q42" s="146">
        <f>SUM(Q35:Q41)</f>
        <v>22.75</v>
      </c>
      <c r="R42" s="319">
        <f>SUM(R36:T41)</f>
        <v>0</v>
      </c>
      <c r="S42" s="320"/>
      <c r="T42" s="321"/>
      <c r="U42" s="353">
        <f>SUM(U36:W41)</f>
        <v>0</v>
      </c>
      <c r="V42" s="354"/>
      <c r="W42" s="355"/>
      <c r="X42" s="353">
        <f>SUM(X36:Z41)</f>
        <v>0</v>
      </c>
      <c r="Y42" s="354"/>
      <c r="Z42" s="355"/>
      <c r="AA42" s="353">
        <f>SUM(AA36:AC41)</f>
        <v>0</v>
      </c>
      <c r="AB42" s="354"/>
      <c r="AC42" s="355"/>
      <c r="AD42" s="353">
        <f>SUM(AD36:AF41)</f>
        <v>0</v>
      </c>
      <c r="AE42" s="354"/>
      <c r="AF42" s="355"/>
      <c r="AG42" s="168">
        <f>IF(AG43&lt;0,0,AG43)</f>
        <v>0</v>
      </c>
      <c r="AH42" s="310">
        <f>IF(AH43&lt;0,0,AH43)</f>
        <v>0</v>
      </c>
      <c r="AI42" s="311"/>
      <c r="AJ42" s="311"/>
      <c r="AK42" s="312"/>
      <c r="AL42" s="310">
        <f>IF(AL43&gt;0,AL43,0)</f>
        <v>0</v>
      </c>
      <c r="AM42" s="311"/>
      <c r="AN42" s="311"/>
      <c r="AO42" s="312"/>
      <c r="AP42" s="301"/>
      <c r="AQ42" s="302"/>
      <c r="AR42" s="303"/>
      <c r="AS42" s="163"/>
      <c r="AT42" s="153"/>
      <c r="AU42" s="153"/>
      <c r="AV42" s="163"/>
      <c r="AY42" s="340" t="str">
        <f>IF(AZ6="x","VOTRE CONTRAT DE TRAVAIL S'ARRÊTE-T-IL CE MOIS-CI ?",IF(AZ17="x","VOTRE CONTRAT DE TRAVAIL S'ARRÊTE-T-IL CE MOIS-CI ?",""))</f>
        <v>VOTRE CONTRAT DE TRAVAIL S'ARRÊTE-T-IL CE MOIS-CI ?</v>
      </c>
      <c r="AZ42" s="340"/>
      <c r="BA42" s="340"/>
      <c r="BB42" s="340"/>
      <c r="BC42" s="340"/>
      <c r="BD42" s="340"/>
      <c r="BE42" s="340"/>
      <c r="BF42" s="340"/>
      <c r="BG42" s="340"/>
    </row>
    <row r="43" spans="2:63" s="3" customFormat="1" ht="19.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345">
        <f>IF(R42&gt;45,R42-45,0)</f>
        <v>0</v>
      </c>
      <c r="S43" s="345"/>
      <c r="T43" s="345"/>
      <c r="U43" s="346">
        <f>AM42-AA43</f>
        <v>0</v>
      </c>
      <c r="V43" s="346"/>
      <c r="W43" s="346"/>
      <c r="X43" s="4"/>
      <c r="Y43" s="4"/>
      <c r="Z43" s="4"/>
      <c r="AA43" s="346">
        <f>SUM(AP35:AS41)</f>
        <v>0</v>
      </c>
      <c r="AB43" s="346"/>
      <c r="AC43" s="346"/>
      <c r="AD43" s="4"/>
      <c r="AE43" s="4"/>
      <c r="AF43" s="4"/>
      <c r="AG43" s="4"/>
      <c r="AH43" s="4"/>
      <c r="AI43" s="4"/>
      <c r="AJ43" s="4"/>
      <c r="AK43" s="4"/>
      <c r="AL43" s="4"/>
      <c r="AM43" s="165"/>
      <c r="AN43" s="165"/>
      <c r="AO43" s="165"/>
      <c r="AP43" s="165"/>
      <c r="AQ43" s="165"/>
      <c r="AR43" s="165"/>
      <c r="AS43" s="165"/>
      <c r="AT43" s="8"/>
      <c r="AU43" s="8"/>
      <c r="AV43" s="165"/>
      <c r="AW43" s="5"/>
      <c r="AX43" s="11"/>
      <c r="AY43" s="11"/>
      <c r="AZ43" s="46"/>
      <c r="BA43" s="46"/>
      <c r="BB43" s="46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2:50" ht="18" customHeight="1">
      <c r="B44" s="347" t="s">
        <v>6</v>
      </c>
      <c r="C44" s="140">
        <f>C41+1</f>
        <v>43486</v>
      </c>
      <c r="D44" s="111">
        <v>0.2916666666666667</v>
      </c>
      <c r="E44" s="112"/>
      <c r="F44" s="109"/>
      <c r="G44" s="109"/>
      <c r="H44" s="109"/>
      <c r="I44" s="110">
        <v>0.7083333333333334</v>
      </c>
      <c r="J44" s="138">
        <f>IF(((E44-D44)+(G44-F44)+(I44-H44))*24,((E44-D44)+(G44-F44)+(I44-H44))*24,0)</f>
        <v>10</v>
      </c>
      <c r="K44" s="111">
        <v>0.2916666666666667</v>
      </c>
      <c r="L44" s="112"/>
      <c r="M44" s="109"/>
      <c r="N44" s="109"/>
      <c r="O44" s="109"/>
      <c r="P44" s="110">
        <v>0.75</v>
      </c>
      <c r="Q44" s="138">
        <f>IF(((L44-K44)+(N44-M44)+(P44-O44))*24,((L44-K44)+(N44-M44)+(P44-O44))*24,0)</f>
        <v>11</v>
      </c>
      <c r="R44" s="331"/>
      <c r="S44" s="332"/>
      <c r="T44" s="333"/>
      <c r="U44" s="331"/>
      <c r="V44" s="332"/>
      <c r="W44" s="333"/>
      <c r="X44" s="331"/>
      <c r="Y44" s="332"/>
      <c r="Z44" s="333"/>
      <c r="AA44" s="331"/>
      <c r="AB44" s="332"/>
      <c r="AC44" s="333"/>
      <c r="AD44" s="331"/>
      <c r="AE44" s="332"/>
      <c r="AF44" s="333"/>
      <c r="AG44" s="167"/>
      <c r="AH44" s="304"/>
      <c r="AI44" s="305"/>
      <c r="AJ44" s="305"/>
      <c r="AK44" s="306"/>
      <c r="AL44" s="304"/>
      <c r="AM44" s="305"/>
      <c r="AN44" s="305"/>
      <c r="AO44" s="306"/>
      <c r="AP44" s="307"/>
      <c r="AQ44" s="308"/>
      <c r="AR44" s="309"/>
      <c r="AS44" s="159"/>
      <c r="AT44" s="185">
        <f aca="true" t="shared" si="15" ref="AT44:AT50">IF(ISERROR(SEARCH(AP44," ANJE CP JF FORM CEF CM AT JEMR")),Q44,IF(AND($AO$6&lt;52,AP44="CP"),Q44,J44))</f>
        <v>10</v>
      </c>
      <c r="AU44" s="5">
        <f aca="true" t="shared" si="16" ref="AU44:AU50">IF(ISBLANK(AP44),IF($Q44&gt;$J44,$Q44,$J44),0)</f>
        <v>11</v>
      </c>
      <c r="AV44" s="160"/>
      <c r="AX44" s="27"/>
    </row>
    <row r="45" spans="2:59" ht="18" customHeight="1">
      <c r="B45" s="348"/>
      <c r="C45" s="139">
        <f aca="true" t="shared" si="17" ref="C45:C50">C44+1</f>
        <v>43487</v>
      </c>
      <c r="D45" s="129">
        <v>0.2916666666666667</v>
      </c>
      <c r="E45" s="109">
        <v>0.3541666666666667</v>
      </c>
      <c r="F45" s="109">
        <v>0.46875</v>
      </c>
      <c r="G45" s="109">
        <v>0.5520833333333334</v>
      </c>
      <c r="H45" s="109">
        <v>0.6770833333333334</v>
      </c>
      <c r="I45" s="110">
        <v>0.7083333333333334</v>
      </c>
      <c r="J45" s="135">
        <f aca="true" t="shared" si="18" ref="J45:J50">IF(((E45-D45)+(G45-F45)+(I45-H45))*24,((E45-D45)+(G45-F45)+(I45-H45))*24,0)</f>
        <v>4.250000000000001</v>
      </c>
      <c r="K45" s="129">
        <v>0.2916666666666667</v>
      </c>
      <c r="L45" s="109"/>
      <c r="M45" s="109"/>
      <c r="N45" s="109"/>
      <c r="O45" s="109"/>
      <c r="P45" s="110">
        <v>0.6770833333333334</v>
      </c>
      <c r="Q45" s="134">
        <f aca="true" t="shared" si="19" ref="Q45:Q50">IF(((L45-K45)+(N45-M45)+(P45-O45))*24,((L45-K45)+(N45-M45)+(P45-O45))*24,0)</f>
        <v>9.25</v>
      </c>
      <c r="R45" s="325"/>
      <c r="S45" s="326"/>
      <c r="T45" s="327"/>
      <c r="U45" s="322"/>
      <c r="V45" s="323"/>
      <c r="W45" s="324"/>
      <c r="X45" s="322"/>
      <c r="Y45" s="323"/>
      <c r="Z45" s="324"/>
      <c r="AA45" s="322"/>
      <c r="AB45" s="323"/>
      <c r="AC45" s="324"/>
      <c r="AD45" s="322"/>
      <c r="AE45" s="323"/>
      <c r="AF45" s="324"/>
      <c r="AG45" s="167"/>
      <c r="AH45" s="295"/>
      <c r="AI45" s="296"/>
      <c r="AJ45" s="296"/>
      <c r="AK45" s="297"/>
      <c r="AL45" s="295"/>
      <c r="AM45" s="296"/>
      <c r="AN45" s="296"/>
      <c r="AO45" s="297"/>
      <c r="AP45" s="292"/>
      <c r="AQ45" s="293"/>
      <c r="AR45" s="294"/>
      <c r="AS45" s="159"/>
      <c r="AT45" s="185">
        <f t="shared" si="15"/>
        <v>4.250000000000001</v>
      </c>
      <c r="AU45" s="5">
        <f t="shared" si="16"/>
        <v>9.25</v>
      </c>
      <c r="AV45" s="160"/>
      <c r="AX45" s="27"/>
      <c r="AZ45" s="44"/>
      <c r="BA45" s="6" t="str">
        <f>IF(AND(OR(AZ6="x",AZ17="x"))," OUI","")</f>
        <v> OUI</v>
      </c>
      <c r="BC45" s="47"/>
      <c r="BD45" s="47"/>
      <c r="BE45" s="47"/>
      <c r="BF45" s="48"/>
      <c r="BG45" s="48"/>
    </row>
    <row r="46" spans="2:58" ht="18" customHeight="1">
      <c r="B46" s="348"/>
      <c r="C46" s="139">
        <f t="shared" si="17"/>
        <v>43488</v>
      </c>
      <c r="D46" s="129">
        <v>0.2916666666666667</v>
      </c>
      <c r="E46" s="109">
        <v>0.3541666666666667</v>
      </c>
      <c r="F46" s="109">
        <v>0.46875</v>
      </c>
      <c r="G46" s="109">
        <v>0.5520833333333334</v>
      </c>
      <c r="H46" s="109">
        <v>0.6770833333333334</v>
      </c>
      <c r="I46" s="110">
        <v>0.7083333333333334</v>
      </c>
      <c r="J46" s="135">
        <f t="shared" si="18"/>
        <v>4.250000000000001</v>
      </c>
      <c r="K46" s="129">
        <v>0.2916666666666667</v>
      </c>
      <c r="L46" s="109"/>
      <c r="M46" s="109"/>
      <c r="N46" s="109"/>
      <c r="O46" s="109"/>
      <c r="P46" s="110">
        <v>0.6770833333333334</v>
      </c>
      <c r="Q46" s="134">
        <f t="shared" si="19"/>
        <v>9.25</v>
      </c>
      <c r="R46" s="325"/>
      <c r="S46" s="326"/>
      <c r="T46" s="327"/>
      <c r="U46" s="322"/>
      <c r="V46" s="323"/>
      <c r="W46" s="324"/>
      <c r="X46" s="322"/>
      <c r="Y46" s="323"/>
      <c r="Z46" s="324"/>
      <c r="AA46" s="322"/>
      <c r="AB46" s="323"/>
      <c r="AC46" s="324"/>
      <c r="AD46" s="322"/>
      <c r="AE46" s="323"/>
      <c r="AF46" s="324"/>
      <c r="AG46" s="167"/>
      <c r="AH46" s="295"/>
      <c r="AI46" s="296"/>
      <c r="AJ46" s="296"/>
      <c r="AK46" s="297"/>
      <c r="AL46" s="295"/>
      <c r="AM46" s="296"/>
      <c r="AN46" s="296"/>
      <c r="AO46" s="297"/>
      <c r="AP46" s="292"/>
      <c r="AQ46" s="293"/>
      <c r="AR46" s="294"/>
      <c r="AS46" s="159"/>
      <c r="AT46" s="185">
        <f t="shared" si="15"/>
        <v>4.250000000000001</v>
      </c>
      <c r="AU46" s="5">
        <f t="shared" si="16"/>
        <v>9.25</v>
      </c>
      <c r="AV46" s="160"/>
      <c r="AX46" s="27"/>
      <c r="AZ46" s="11"/>
      <c r="BA46" s="11"/>
      <c r="BB46" s="10"/>
      <c r="BD46" s="27"/>
      <c r="BE46" s="27"/>
      <c r="BF46" s="27"/>
    </row>
    <row r="47" spans="2:58" ht="18" customHeight="1">
      <c r="B47" s="348"/>
      <c r="C47" s="139">
        <f t="shared" si="17"/>
        <v>43489</v>
      </c>
      <c r="D47" s="129">
        <v>0.2916666666666667</v>
      </c>
      <c r="E47" s="109">
        <v>0.3541666666666667</v>
      </c>
      <c r="F47" s="109">
        <v>0.46875</v>
      </c>
      <c r="G47" s="109">
        <v>0.5520833333333334</v>
      </c>
      <c r="H47" s="109">
        <v>0.6770833333333334</v>
      </c>
      <c r="I47" s="110">
        <v>0.7083333333333334</v>
      </c>
      <c r="J47" s="135">
        <f t="shared" si="18"/>
        <v>4.250000000000001</v>
      </c>
      <c r="K47" s="129">
        <v>0.2916666666666667</v>
      </c>
      <c r="L47" s="109"/>
      <c r="M47" s="109"/>
      <c r="N47" s="109"/>
      <c r="O47" s="109"/>
      <c r="P47" s="110">
        <v>0.6770833333333334</v>
      </c>
      <c r="Q47" s="134">
        <f t="shared" si="19"/>
        <v>9.25</v>
      </c>
      <c r="R47" s="325"/>
      <c r="S47" s="326"/>
      <c r="T47" s="327"/>
      <c r="U47" s="322"/>
      <c r="V47" s="323"/>
      <c r="W47" s="324"/>
      <c r="X47" s="322"/>
      <c r="Y47" s="323"/>
      <c r="Z47" s="324"/>
      <c r="AA47" s="322"/>
      <c r="AB47" s="323"/>
      <c r="AC47" s="324"/>
      <c r="AD47" s="322"/>
      <c r="AE47" s="323"/>
      <c r="AF47" s="324"/>
      <c r="AG47" s="167"/>
      <c r="AH47" s="295"/>
      <c r="AI47" s="296"/>
      <c r="AJ47" s="296"/>
      <c r="AK47" s="297"/>
      <c r="AL47" s="295"/>
      <c r="AM47" s="296"/>
      <c r="AN47" s="296"/>
      <c r="AO47" s="297"/>
      <c r="AP47" s="292"/>
      <c r="AQ47" s="293"/>
      <c r="AR47" s="294"/>
      <c r="AS47" s="159"/>
      <c r="AT47" s="185">
        <f t="shared" si="15"/>
        <v>4.250000000000001</v>
      </c>
      <c r="AU47" s="5">
        <f t="shared" si="16"/>
        <v>9.25</v>
      </c>
      <c r="AV47" s="160"/>
      <c r="AX47" s="27"/>
      <c r="AZ47" s="39"/>
      <c r="BA47" s="6" t="str">
        <f>IF(AND(OR(AZ6="x",AZ17="x"))," NON","")</f>
        <v> NON</v>
      </c>
      <c r="BC47" s="27"/>
      <c r="BD47" s="27"/>
      <c r="BE47" s="27"/>
      <c r="BF47" s="27"/>
    </row>
    <row r="48" spans="2:50" ht="18" customHeight="1">
      <c r="B48" s="348"/>
      <c r="C48" s="139">
        <f t="shared" si="17"/>
        <v>43490</v>
      </c>
      <c r="D48" s="129">
        <v>0.2916666666666667</v>
      </c>
      <c r="E48" s="109">
        <v>0.3541666666666667</v>
      </c>
      <c r="F48" s="109">
        <v>0.46875</v>
      </c>
      <c r="G48" s="109">
        <v>0.5520833333333334</v>
      </c>
      <c r="H48" s="109">
        <v>0.6770833333333334</v>
      </c>
      <c r="I48" s="110">
        <v>0.7083333333333334</v>
      </c>
      <c r="J48" s="135">
        <f t="shared" si="18"/>
        <v>4.250000000000001</v>
      </c>
      <c r="K48" s="129">
        <v>0.2916666666666667</v>
      </c>
      <c r="L48" s="109"/>
      <c r="M48" s="109"/>
      <c r="N48" s="109"/>
      <c r="O48" s="109"/>
      <c r="P48" s="110">
        <v>0.6770833333333334</v>
      </c>
      <c r="Q48" s="134">
        <f t="shared" si="19"/>
        <v>9.25</v>
      </c>
      <c r="R48" s="325"/>
      <c r="S48" s="326"/>
      <c r="T48" s="327"/>
      <c r="U48" s="322"/>
      <c r="V48" s="323"/>
      <c r="W48" s="324"/>
      <c r="X48" s="322"/>
      <c r="Y48" s="323"/>
      <c r="Z48" s="324"/>
      <c r="AA48" s="322"/>
      <c r="AB48" s="323"/>
      <c r="AC48" s="324"/>
      <c r="AD48" s="322"/>
      <c r="AE48" s="323"/>
      <c r="AF48" s="324"/>
      <c r="AG48" s="167"/>
      <c r="AH48" s="295"/>
      <c r="AI48" s="296"/>
      <c r="AJ48" s="296"/>
      <c r="AK48" s="297"/>
      <c r="AL48" s="295"/>
      <c r="AM48" s="296"/>
      <c r="AN48" s="296"/>
      <c r="AO48" s="297"/>
      <c r="AP48" s="292"/>
      <c r="AQ48" s="293"/>
      <c r="AR48" s="294"/>
      <c r="AS48" s="159"/>
      <c r="AT48" s="185">
        <f t="shared" si="15"/>
        <v>4.250000000000001</v>
      </c>
      <c r="AU48" s="5">
        <f t="shared" si="16"/>
        <v>9.25</v>
      </c>
      <c r="AV48" s="160"/>
      <c r="AX48" s="27"/>
    </row>
    <row r="49" spans="2:51" ht="18" customHeight="1">
      <c r="B49" s="348"/>
      <c r="C49" s="139">
        <f t="shared" si="17"/>
        <v>43491</v>
      </c>
      <c r="D49" s="114"/>
      <c r="E49" s="115"/>
      <c r="F49" s="115"/>
      <c r="G49" s="115"/>
      <c r="H49" s="115"/>
      <c r="I49" s="116"/>
      <c r="J49" s="135">
        <f t="shared" si="18"/>
        <v>0</v>
      </c>
      <c r="K49" s="129"/>
      <c r="L49" s="109"/>
      <c r="M49" s="109"/>
      <c r="N49" s="109"/>
      <c r="O49" s="109"/>
      <c r="P49" s="110"/>
      <c r="Q49" s="134">
        <f t="shared" si="19"/>
        <v>0</v>
      </c>
      <c r="R49" s="325"/>
      <c r="S49" s="326"/>
      <c r="T49" s="327"/>
      <c r="U49" s="322"/>
      <c r="V49" s="323"/>
      <c r="W49" s="324"/>
      <c r="X49" s="322"/>
      <c r="Y49" s="323"/>
      <c r="Z49" s="324"/>
      <c r="AA49" s="322"/>
      <c r="AB49" s="323"/>
      <c r="AC49" s="324"/>
      <c r="AD49" s="322"/>
      <c r="AE49" s="323"/>
      <c r="AF49" s="324"/>
      <c r="AG49" s="167"/>
      <c r="AH49" s="295"/>
      <c r="AI49" s="296"/>
      <c r="AJ49" s="296"/>
      <c r="AK49" s="297"/>
      <c r="AL49" s="295"/>
      <c r="AM49" s="296"/>
      <c r="AN49" s="296"/>
      <c r="AO49" s="297"/>
      <c r="AP49" s="292"/>
      <c r="AQ49" s="293"/>
      <c r="AR49" s="294"/>
      <c r="AS49" s="159"/>
      <c r="AT49" s="185">
        <f t="shared" si="15"/>
        <v>0</v>
      </c>
      <c r="AU49" s="5">
        <f t="shared" si="16"/>
        <v>0</v>
      </c>
      <c r="AV49" s="160"/>
      <c r="AX49" s="27"/>
      <c r="AY49" s="82" t="str">
        <f>IF(OR(AZ8="x",AZ12="x"),"",IF(OR(AND(AZ45="",AZ47=""),AND(AZ45&lt;&gt;"",AZ47&lt;&gt;"")),"Veuillez mettre une X dans une seule des 2 cases",""))</f>
        <v>Veuillez mettre une X dans une seule des 2 cases</v>
      </c>
    </row>
    <row r="50" spans="2:63" ht="18" customHeight="1">
      <c r="B50" s="348"/>
      <c r="C50" s="139">
        <f t="shared" si="17"/>
        <v>43492</v>
      </c>
      <c r="D50" s="114"/>
      <c r="E50" s="115"/>
      <c r="F50" s="115"/>
      <c r="G50" s="115"/>
      <c r="H50" s="115"/>
      <c r="I50" s="116"/>
      <c r="J50" s="135">
        <f t="shared" si="18"/>
        <v>0</v>
      </c>
      <c r="K50" s="129"/>
      <c r="L50" s="109"/>
      <c r="M50" s="109"/>
      <c r="N50" s="109"/>
      <c r="O50" s="109"/>
      <c r="P50" s="110"/>
      <c r="Q50" s="134">
        <f t="shared" si="19"/>
        <v>0</v>
      </c>
      <c r="R50" s="325"/>
      <c r="S50" s="326"/>
      <c r="T50" s="327"/>
      <c r="U50" s="322"/>
      <c r="V50" s="323"/>
      <c r="W50" s="324"/>
      <c r="X50" s="322"/>
      <c r="Y50" s="323"/>
      <c r="Z50" s="324"/>
      <c r="AA50" s="322"/>
      <c r="AB50" s="323"/>
      <c r="AC50" s="324"/>
      <c r="AD50" s="322"/>
      <c r="AE50" s="323"/>
      <c r="AF50" s="324"/>
      <c r="AG50" s="167"/>
      <c r="AH50" s="295"/>
      <c r="AI50" s="296"/>
      <c r="AJ50" s="296"/>
      <c r="AK50" s="297"/>
      <c r="AL50" s="295"/>
      <c r="AM50" s="296"/>
      <c r="AN50" s="296"/>
      <c r="AO50" s="297"/>
      <c r="AP50" s="292"/>
      <c r="AQ50" s="293"/>
      <c r="AR50" s="294"/>
      <c r="AS50" s="159"/>
      <c r="AT50" s="185">
        <f t="shared" si="15"/>
        <v>0</v>
      </c>
      <c r="AU50" s="5">
        <f t="shared" si="16"/>
        <v>0</v>
      </c>
      <c r="AV50" s="160"/>
      <c r="AX50" s="27"/>
      <c r="BH50" s="10"/>
      <c r="BI50" s="10"/>
      <c r="BJ50" s="11"/>
      <c r="BK50" s="11"/>
    </row>
    <row r="51" spans="2:55" ht="18" customHeight="1">
      <c r="B51" s="349"/>
      <c r="C51" s="150"/>
      <c r="D51" s="117"/>
      <c r="E51" s="118"/>
      <c r="F51" s="118"/>
      <c r="G51" s="118"/>
      <c r="H51" s="118"/>
      <c r="I51" s="119"/>
      <c r="J51" s="149">
        <f>SUM(J44:J50)</f>
        <v>27</v>
      </c>
      <c r="K51" s="117"/>
      <c r="L51" s="118"/>
      <c r="M51" s="118"/>
      <c r="N51" s="118"/>
      <c r="O51" s="118"/>
      <c r="P51" s="119"/>
      <c r="Q51" s="146">
        <f>SUM(Q44:Q50)</f>
        <v>48</v>
      </c>
      <c r="R51" s="319">
        <f>SUM(R45:T50)</f>
        <v>0</v>
      </c>
      <c r="S51" s="320"/>
      <c r="T51" s="321"/>
      <c r="U51" s="353">
        <f>SUM(U45:W50)</f>
        <v>0</v>
      </c>
      <c r="V51" s="354"/>
      <c r="W51" s="355"/>
      <c r="X51" s="353">
        <f>SUM(X45:Z50)</f>
        <v>0</v>
      </c>
      <c r="Y51" s="354"/>
      <c r="Z51" s="355"/>
      <c r="AA51" s="353">
        <f>SUM(AA45:AC50)</f>
        <v>0</v>
      </c>
      <c r="AB51" s="354"/>
      <c r="AC51" s="355"/>
      <c r="AD51" s="353">
        <f>SUM(AD45:AF50)</f>
        <v>0</v>
      </c>
      <c r="AE51" s="354"/>
      <c r="AF51" s="355"/>
      <c r="AG51" s="168">
        <f>IF(AG52&lt;0,0,AG52)</f>
        <v>0</v>
      </c>
      <c r="AH51" s="310">
        <f>IF(AH52&lt;0,0,AH52)</f>
        <v>0</v>
      </c>
      <c r="AI51" s="311"/>
      <c r="AJ51" s="311"/>
      <c r="AK51" s="312"/>
      <c r="AL51" s="310">
        <f>IF(AL52&gt;0,AL52,0)</f>
        <v>0</v>
      </c>
      <c r="AM51" s="311"/>
      <c r="AN51" s="311"/>
      <c r="AO51" s="312"/>
      <c r="AP51" s="301"/>
      <c r="AQ51" s="302"/>
      <c r="AR51" s="303"/>
      <c r="AS51" s="163"/>
      <c r="AT51" s="153"/>
      <c r="AU51" s="153"/>
      <c r="AV51" s="163"/>
      <c r="AY51" s="340" t="str">
        <f>IF(AZ6="x","MODALITÉ DE DÉDUCTION : ",IF(AZ17="x","MODALITÉ DE DÉDUCTION : ",""))</f>
        <v>MODALITÉ DE DÉDUCTION : </v>
      </c>
      <c r="AZ51" s="340"/>
      <c r="BA51" s="340"/>
      <c r="BB51" s="340"/>
      <c r="BC51" s="340"/>
    </row>
    <row r="52" spans="2:63" s="3" customFormat="1" ht="19.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45">
        <f>IF(R51&gt;45,R51-45,0)</f>
        <v>0</v>
      </c>
      <c r="S52" s="345"/>
      <c r="T52" s="345"/>
      <c r="U52" s="346">
        <f>AM51-AA52</f>
        <v>0</v>
      </c>
      <c r="V52" s="346"/>
      <c r="W52" s="346"/>
      <c r="X52" s="4"/>
      <c r="Y52" s="4"/>
      <c r="Z52" s="4"/>
      <c r="AA52" s="346">
        <f>SUM(AP44:AS50)</f>
        <v>0</v>
      </c>
      <c r="AB52" s="346"/>
      <c r="AC52" s="346"/>
      <c r="AD52" s="4"/>
      <c r="AE52" s="4"/>
      <c r="AF52" s="4"/>
      <c r="AG52" s="4"/>
      <c r="AH52" s="4"/>
      <c r="AI52" s="4"/>
      <c r="AJ52" s="4"/>
      <c r="AK52" s="4"/>
      <c r="AL52" s="4"/>
      <c r="AM52" s="165"/>
      <c r="AN52" s="165"/>
      <c r="AO52" s="165"/>
      <c r="AP52" s="165"/>
      <c r="AQ52" s="165"/>
      <c r="AR52" s="165"/>
      <c r="AS52" s="165"/>
      <c r="AT52" s="8"/>
      <c r="AU52" s="8"/>
      <c r="AV52" s="165"/>
      <c r="AW52" s="5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0"/>
      <c r="BI52" s="10"/>
      <c r="BJ52" s="11"/>
      <c r="BK52" s="11"/>
    </row>
    <row r="53" spans="2:59" ht="18" customHeight="1">
      <c r="B53" s="347" t="s">
        <v>7</v>
      </c>
      <c r="C53" s="140">
        <f>C50+1</f>
        <v>43493</v>
      </c>
      <c r="D53" s="111">
        <v>0.2916666666666667</v>
      </c>
      <c r="E53" s="112"/>
      <c r="F53" s="112"/>
      <c r="G53" s="112"/>
      <c r="H53" s="112"/>
      <c r="I53" s="141">
        <v>0.7083333333333334</v>
      </c>
      <c r="J53" s="138">
        <f>IF(((E53-D53)+(G53-F53)+(I53-H53))*24,((E53-D53)+(G53-F53)+(I53-H53))*24,0)</f>
        <v>10</v>
      </c>
      <c r="K53" s="111">
        <v>0.2916666666666667</v>
      </c>
      <c r="L53" s="112"/>
      <c r="M53" s="112"/>
      <c r="N53" s="112"/>
      <c r="O53" s="112"/>
      <c r="P53" s="141">
        <v>0.75</v>
      </c>
      <c r="Q53" s="138">
        <f>IF(((L53-K53)+(N53-M53)+(P53-O53))*24,((L53-K53)+(N53-M53)+(P53-O53))*24,0)</f>
        <v>11</v>
      </c>
      <c r="R53" s="331"/>
      <c r="S53" s="332"/>
      <c r="T53" s="333"/>
      <c r="U53" s="331"/>
      <c r="V53" s="332"/>
      <c r="W53" s="333"/>
      <c r="X53" s="331"/>
      <c r="Y53" s="332"/>
      <c r="Z53" s="333"/>
      <c r="AA53" s="331"/>
      <c r="AB53" s="332"/>
      <c r="AC53" s="333"/>
      <c r="AD53" s="331"/>
      <c r="AE53" s="332"/>
      <c r="AF53" s="333"/>
      <c r="AG53" s="188"/>
      <c r="AH53" s="304"/>
      <c r="AI53" s="305"/>
      <c r="AJ53" s="305"/>
      <c r="AK53" s="306"/>
      <c r="AL53" s="304"/>
      <c r="AM53" s="305"/>
      <c r="AN53" s="305"/>
      <c r="AO53" s="306"/>
      <c r="AP53" s="307"/>
      <c r="AQ53" s="308"/>
      <c r="AR53" s="309"/>
      <c r="AS53" s="159"/>
      <c r="AT53" s="185">
        <f>IF(ISERROR(SEARCH(AP53," ANJE CP JF FORM CEF CM AT JEMR")),Q53,IF(AND($AO$6&lt;52,AP53="CP"),Q53,J53))</f>
        <v>10</v>
      </c>
      <c r="AU53" s="5">
        <f>IF(ISBLANK(AP53),IF($Q53&gt;$J53,$Q53,$J53),0)</f>
        <v>11</v>
      </c>
      <c r="AV53" s="160"/>
      <c r="AW53" s="1"/>
      <c r="AX53" s="27"/>
      <c r="AY53" s="1"/>
      <c r="AZ53" s="1"/>
      <c r="BA53" s="1"/>
      <c r="BB53" s="1"/>
      <c r="BC53" s="1"/>
      <c r="BD53" s="1"/>
      <c r="BE53" s="1"/>
      <c r="BF53" s="90"/>
      <c r="BG53" s="90"/>
    </row>
    <row r="54" spans="2:63" ht="18" customHeight="1">
      <c r="B54" s="348"/>
      <c r="C54" s="139">
        <f>C53+1</f>
        <v>43494</v>
      </c>
      <c r="D54" s="129">
        <v>0.2916666666666667</v>
      </c>
      <c r="E54" s="109">
        <v>0.3541666666666667</v>
      </c>
      <c r="F54" s="109">
        <v>0.46875</v>
      </c>
      <c r="G54" s="109">
        <v>0.5520833333333334</v>
      </c>
      <c r="H54" s="109">
        <v>0.6770833333333334</v>
      </c>
      <c r="I54" s="110">
        <v>0.7083333333333334</v>
      </c>
      <c r="J54" s="135">
        <f>IF(((E54-D54)+(G54-F54)+(I54-H54))*24,((E54-D54)+(G54-F54)+(I54-H54))*24,0)</f>
        <v>4.250000000000001</v>
      </c>
      <c r="K54" s="129">
        <v>0.2916666666666667</v>
      </c>
      <c r="L54" s="109"/>
      <c r="M54" s="109"/>
      <c r="N54" s="109"/>
      <c r="O54" s="109"/>
      <c r="P54" s="110">
        <v>0.6770833333333334</v>
      </c>
      <c r="Q54" s="134">
        <f>IF(((L54-K54)+(N54-M54)+(P54-O54))*24,((L54-K54)+(N54-M54)+(P54-O54))*24,0)</f>
        <v>9.25</v>
      </c>
      <c r="R54" s="325"/>
      <c r="S54" s="326"/>
      <c r="T54" s="327"/>
      <c r="U54" s="322"/>
      <c r="V54" s="323"/>
      <c r="W54" s="324"/>
      <c r="X54" s="322"/>
      <c r="Y54" s="323"/>
      <c r="Z54" s="324"/>
      <c r="AA54" s="322"/>
      <c r="AB54" s="323"/>
      <c r="AC54" s="324"/>
      <c r="AD54" s="322"/>
      <c r="AE54" s="323"/>
      <c r="AF54" s="324"/>
      <c r="AG54" s="167"/>
      <c r="AH54" s="295"/>
      <c r="AI54" s="296"/>
      <c r="AJ54" s="296"/>
      <c r="AK54" s="297"/>
      <c r="AL54" s="295"/>
      <c r="AM54" s="296"/>
      <c r="AN54" s="296"/>
      <c r="AO54" s="297"/>
      <c r="AP54" s="292"/>
      <c r="AQ54" s="293"/>
      <c r="AR54" s="294"/>
      <c r="AS54" s="159"/>
      <c r="AT54" s="185">
        <f>IF(ISERROR(SEARCH(AP54," ANJE CP JF FORM CEF CM AT JEMR")),Q54,IF(AND($AO$6&lt;52,AP54="CP"),Q54,J54))</f>
        <v>4.250000000000001</v>
      </c>
      <c r="AU54" s="5">
        <f>IF(ISBLANK(AP54),IF($Q54&gt;$J54,$Q54,$J54),0)</f>
        <v>9.25</v>
      </c>
      <c r="AV54" s="160"/>
      <c r="AW54" s="1"/>
      <c r="AX54" s="27"/>
      <c r="AY54" s="1"/>
      <c r="AZ54" s="44"/>
      <c r="BA54" s="6" t="str">
        <f>IF(AND(OR(AZ6="x",AZ17="x"))," Cour de Cassation","")</f>
        <v> Cour de Cassation</v>
      </c>
      <c r="BC54" s="1"/>
      <c r="BD54" s="1"/>
      <c r="BE54" s="1"/>
      <c r="BF54" s="11"/>
      <c r="BG54" s="11"/>
      <c r="BH54" s="10"/>
      <c r="BI54" s="10"/>
      <c r="BJ54" s="11"/>
      <c r="BK54" s="11"/>
    </row>
    <row r="55" spans="2:63" ht="18" customHeight="1">
      <c r="B55" s="348"/>
      <c r="C55" s="139">
        <f>C54+1</f>
        <v>43495</v>
      </c>
      <c r="D55" s="129">
        <v>0.2916666666666667</v>
      </c>
      <c r="E55" s="109">
        <v>0.3541666666666667</v>
      </c>
      <c r="F55" s="109">
        <v>0.46875</v>
      </c>
      <c r="G55" s="109">
        <v>0.5520833333333334</v>
      </c>
      <c r="H55" s="109">
        <v>0.6770833333333334</v>
      </c>
      <c r="I55" s="110">
        <v>0.7083333333333334</v>
      </c>
      <c r="J55" s="135">
        <f>IF(((E55-D55)+(G55-F55)+(I55-H55))*24,((E55-D55)+(G55-F55)+(I55-H55))*24,0)</f>
        <v>4.250000000000001</v>
      </c>
      <c r="K55" s="129">
        <v>0.2916666666666667</v>
      </c>
      <c r="L55" s="109"/>
      <c r="M55" s="109"/>
      <c r="N55" s="109"/>
      <c r="O55" s="109"/>
      <c r="P55" s="110">
        <v>0.6770833333333334</v>
      </c>
      <c r="Q55" s="134">
        <f>IF(((L55-K55)+(N55-M55)+(P55-O55))*24,((L55-K55)+(N55-M55)+(P55-O55))*24,0)</f>
        <v>9.25</v>
      </c>
      <c r="R55" s="325"/>
      <c r="S55" s="326"/>
      <c r="T55" s="327"/>
      <c r="U55" s="322"/>
      <c r="V55" s="323"/>
      <c r="W55" s="324"/>
      <c r="X55" s="322"/>
      <c r="Y55" s="323"/>
      <c r="Z55" s="324"/>
      <c r="AA55" s="322"/>
      <c r="AB55" s="323"/>
      <c r="AC55" s="324"/>
      <c r="AD55" s="322"/>
      <c r="AE55" s="323"/>
      <c r="AF55" s="324"/>
      <c r="AG55" s="167"/>
      <c r="AH55" s="295"/>
      <c r="AI55" s="296"/>
      <c r="AJ55" s="296"/>
      <c r="AK55" s="297"/>
      <c r="AL55" s="295"/>
      <c r="AM55" s="296"/>
      <c r="AN55" s="296"/>
      <c r="AO55" s="297"/>
      <c r="AP55" s="292"/>
      <c r="AQ55" s="293"/>
      <c r="AR55" s="294"/>
      <c r="AS55" s="159"/>
      <c r="AT55" s="185">
        <f>IF(ISERROR(SEARCH(AP55," ANJE CP JF FORM CEF CM AT JEMR")),Q55,IF(AND($AO$6&lt;52,AP55="CP"),Q55,J55))</f>
        <v>4.250000000000001</v>
      </c>
      <c r="AU55" s="5">
        <f>IF(ISBLANK(AP55),IF($Q55&gt;$J55,$Q55,$J55),0)</f>
        <v>9.25</v>
      </c>
      <c r="AV55" s="160"/>
      <c r="AW55" s="1"/>
      <c r="AX55" s="27"/>
      <c r="AY55" s="1"/>
      <c r="AZ55" s="1"/>
      <c r="BA55" s="1"/>
      <c r="BB55" s="1"/>
      <c r="BC55" s="1"/>
      <c r="BD55" s="1"/>
      <c r="BE55" s="1"/>
      <c r="BF55" s="11"/>
      <c r="BG55" s="11"/>
      <c r="BH55" s="10"/>
      <c r="BI55" s="10"/>
      <c r="BJ55" s="11"/>
      <c r="BK55" s="11"/>
    </row>
    <row r="56" spans="2:63" ht="18" customHeight="1">
      <c r="B56" s="348"/>
      <c r="C56" s="139">
        <f>C55+1</f>
        <v>43496</v>
      </c>
      <c r="D56" s="129">
        <v>0.2916666666666667</v>
      </c>
      <c r="E56" s="109">
        <v>0.3541666666666667</v>
      </c>
      <c r="F56" s="109">
        <v>0.46875</v>
      </c>
      <c r="G56" s="109">
        <v>0.5520833333333334</v>
      </c>
      <c r="H56" s="109">
        <v>0.6770833333333334</v>
      </c>
      <c r="I56" s="110">
        <v>0.7083333333333334</v>
      </c>
      <c r="J56" s="135">
        <f>IF(((E56-D56)+(G56-F56)+(I56-H56))*24,((E56-D56)+(G56-F56)+(I56-H56))*24,0)</f>
        <v>4.250000000000001</v>
      </c>
      <c r="K56" s="129">
        <v>0.2916666666666667</v>
      </c>
      <c r="L56" s="109"/>
      <c r="M56" s="109"/>
      <c r="N56" s="109"/>
      <c r="O56" s="109"/>
      <c r="P56" s="110">
        <v>0.6770833333333334</v>
      </c>
      <c r="Q56" s="134">
        <f>IF(((L56-K56)+(N56-M56)+(P56-O56))*24,((L56-K56)+(N56-M56)+(P56-O56))*24,0)</f>
        <v>9.25</v>
      </c>
      <c r="R56" s="325"/>
      <c r="S56" s="326"/>
      <c r="T56" s="327"/>
      <c r="U56" s="322"/>
      <c r="V56" s="323"/>
      <c r="W56" s="324"/>
      <c r="X56" s="322"/>
      <c r="Y56" s="323"/>
      <c r="Z56" s="324"/>
      <c r="AA56" s="322"/>
      <c r="AB56" s="323"/>
      <c r="AC56" s="324"/>
      <c r="AD56" s="322"/>
      <c r="AE56" s="323"/>
      <c r="AF56" s="324"/>
      <c r="AG56" s="167"/>
      <c r="AH56" s="295"/>
      <c r="AI56" s="296"/>
      <c r="AJ56" s="296"/>
      <c r="AK56" s="297"/>
      <c r="AL56" s="295"/>
      <c r="AM56" s="296"/>
      <c r="AN56" s="296"/>
      <c r="AO56" s="297"/>
      <c r="AP56" s="292"/>
      <c r="AQ56" s="293"/>
      <c r="AR56" s="294"/>
      <c r="AS56" s="159"/>
      <c r="AT56" s="185">
        <f>IF(ISERROR(SEARCH(AP56," ANJE CP JF FORM CEF CM AT JEMR")),Q56,IF(AND($AO$6&lt;52,AP56="CP"),Q56,J56))</f>
        <v>4.250000000000001</v>
      </c>
      <c r="AU56" s="5">
        <f>IF(ISBLANK(AP56),IF($Q56&gt;$J56,$Q56,$J56),0)</f>
        <v>9.25</v>
      </c>
      <c r="AV56" s="160"/>
      <c r="AW56" s="1"/>
      <c r="AX56" s="27"/>
      <c r="AY56" s="1"/>
      <c r="AZ56" s="1"/>
      <c r="BA56" s="1"/>
      <c r="BB56" s="1"/>
      <c r="BC56" s="1"/>
      <c r="BD56" s="1"/>
      <c r="BE56" s="1"/>
      <c r="BF56" s="11"/>
      <c r="BG56" s="11"/>
      <c r="BH56" s="10"/>
      <c r="BI56" s="10"/>
      <c r="BJ56" s="11"/>
      <c r="BK56" s="11"/>
    </row>
    <row r="57" spans="2:54" ht="18.75" customHeight="1">
      <c r="B57" s="349"/>
      <c r="C57" s="150"/>
      <c r="D57" s="142">
        <v>0.2916666666666667</v>
      </c>
      <c r="E57" s="143">
        <v>0.3541666666666667</v>
      </c>
      <c r="F57" s="143">
        <v>0.46875</v>
      </c>
      <c r="G57" s="143">
        <v>0.5520833333333334</v>
      </c>
      <c r="H57" s="143">
        <v>0.6770833333333334</v>
      </c>
      <c r="I57" s="144">
        <v>0.7083333333333334</v>
      </c>
      <c r="J57" s="148">
        <f>IF(((E57-D57)+(G57-F57)+(I57-H57))*24,((E57-D57)+(G57-F57)+(I57-H57))*24,0)</f>
        <v>4.250000000000001</v>
      </c>
      <c r="K57" s="142">
        <v>0.2916666666666667</v>
      </c>
      <c r="L57" s="143"/>
      <c r="M57" s="143"/>
      <c r="N57" s="143"/>
      <c r="O57" s="143"/>
      <c r="P57" s="144">
        <v>0.6770833333333334</v>
      </c>
      <c r="Q57" s="147">
        <f>IF(((L57-K57)+(N57-M57)+(P57-O57))*24,((L57-K57)+(N57-M57)+(P57-O57))*24,0)</f>
        <v>9.25</v>
      </c>
      <c r="R57" s="418"/>
      <c r="S57" s="419"/>
      <c r="T57" s="420"/>
      <c r="U57" s="367"/>
      <c r="V57" s="368"/>
      <c r="W57" s="369"/>
      <c r="X57" s="367"/>
      <c r="Y57" s="368"/>
      <c r="Z57" s="369"/>
      <c r="AA57" s="367"/>
      <c r="AB57" s="368"/>
      <c r="AC57" s="369"/>
      <c r="AD57" s="367"/>
      <c r="AE57" s="368"/>
      <c r="AF57" s="369"/>
      <c r="AG57" s="189"/>
      <c r="AH57" s="298"/>
      <c r="AI57" s="299"/>
      <c r="AJ57" s="299"/>
      <c r="AK57" s="300"/>
      <c r="AL57" s="298"/>
      <c r="AM57" s="299"/>
      <c r="AN57" s="299"/>
      <c r="AO57" s="300"/>
      <c r="AP57" s="301"/>
      <c r="AQ57" s="302"/>
      <c r="AR57" s="303"/>
      <c r="AS57" s="163"/>
      <c r="AT57" s="153"/>
      <c r="AU57" s="153"/>
      <c r="AV57" s="163"/>
      <c r="AY57" s="1"/>
      <c r="AZ57" s="39" t="s">
        <v>54</v>
      </c>
      <c r="BA57" s="6" t="str">
        <f>IF(AND(OR(AZ6="x",AZ17="x"))," Au réel","")</f>
        <v> Au réel</v>
      </c>
      <c r="BB57" s="10"/>
    </row>
    <row r="58" spans="2:63" s="87" customFormat="1" ht="18.75" customHeight="1">
      <c r="B58" s="89"/>
      <c r="C58" s="89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356">
        <f>IF(R57&gt;45,R57-45,0)</f>
        <v>0</v>
      </c>
      <c r="S58" s="356"/>
      <c r="T58" s="356"/>
      <c r="U58" s="337">
        <f>AM57-AA58</f>
        <v>0</v>
      </c>
      <c r="V58" s="337"/>
      <c r="W58" s="337"/>
      <c r="X58" s="162"/>
      <c r="Y58" s="162"/>
      <c r="Z58" s="162"/>
      <c r="AA58" s="337">
        <f>SUM(AP53:AS56)</f>
        <v>0</v>
      </c>
      <c r="AB58" s="337"/>
      <c r="AC58" s="337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356" t="e">
        <f>IF((AA58-#REF!)+R57&lt;45,(AA58-#REF!),45-R57)</f>
        <v>#REF!</v>
      </c>
      <c r="AQ58" s="356"/>
      <c r="AR58" s="356"/>
      <c r="AS58" s="356"/>
      <c r="AT58" s="356">
        <f>IF(R57&gt;45,U58-45,0)</f>
        <v>0</v>
      </c>
      <c r="AU58" s="356"/>
      <c r="AV58" s="356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</row>
    <row r="59" spans="18:63" ht="18.75" customHeight="1">
      <c r="R59" s="344" t="e">
        <f>IF(BF9="x",#REF!+R33+R42+R51+R57,#REF!+R33+R42+R51)</f>
        <v>#REF!</v>
      </c>
      <c r="S59" s="344"/>
      <c r="T59" s="344"/>
      <c r="U59" s="344" t="e">
        <f>AH24+AL24+#REF!+#REF!+AT42+#REF!+AT51+#REF!+AT57+#REF!</f>
        <v>#REF!</v>
      </c>
      <c r="V59" s="344"/>
      <c r="W59" s="344"/>
      <c r="AP59" s="344">
        <f>IF(BF9="x",(AG24+AP33+AP42+AP51+AP57),IF(BF13="x",(AG24+AP33+AP42+AP51+AP57),IF(AZ45="x",(AG24+AP33+AP42+AP51+AP57),AG24+AP33+AP42+AP51)))</f>
        <v>13.75</v>
      </c>
      <c r="AQ59" s="344"/>
      <c r="AR59" s="344"/>
      <c r="AS59" s="344"/>
      <c r="AT59" s="344" t="e">
        <f>AH24+#REF!+AT42+AT51+AT57</f>
        <v>#REF!</v>
      </c>
      <c r="AU59" s="344"/>
      <c r="AV59" s="344"/>
      <c r="AW59" s="1"/>
      <c r="AX59" s="1"/>
      <c r="BA59" s="36"/>
      <c r="BG59" s="1"/>
      <c r="BH59" s="1"/>
      <c r="BI59" s="1"/>
      <c r="BJ59" s="1"/>
      <c r="BK59" s="1"/>
    </row>
    <row r="60" spans="49:63" ht="18.75" customHeight="1">
      <c r="AW60" s="1"/>
      <c r="AX60" s="1"/>
      <c r="BA60" s="36"/>
      <c r="BG60" s="1"/>
      <c r="BH60" s="1"/>
      <c r="BI60" s="1"/>
      <c r="BJ60" s="1"/>
      <c r="BK60" s="1"/>
    </row>
    <row r="61" spans="2:63" ht="18.75">
      <c r="B61" s="48"/>
      <c r="C61" s="48"/>
      <c r="D61" s="48"/>
      <c r="E61" s="48"/>
      <c r="F61" s="281" t="s">
        <v>67</v>
      </c>
      <c r="G61" s="281"/>
      <c r="H61" s="281"/>
      <c r="I61" s="281"/>
      <c r="J61" s="281"/>
      <c r="K61" s="281"/>
      <c r="L61" s="282"/>
      <c r="M61" s="283" t="s">
        <v>55</v>
      </c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2"/>
      <c r="AL61" s="48"/>
      <c r="AM61" s="48"/>
      <c r="AN61" s="48"/>
      <c r="AO61" s="48"/>
      <c r="AP61" s="48"/>
      <c r="AQ61" s="48"/>
      <c r="AW61" s="1"/>
      <c r="AX61" s="1"/>
      <c r="AY61" s="99" t="str">
        <f>IF(OR(AZ8="x",AZ12="x"),"",IF(OR(AND(AZ54="",AZ57=""),AND(AZ54&lt;&gt;"",AZ57&lt;&gt;"")),"Veuillez mettre une X dans une seule des 2 cases","Indiquez le nombre d'heures à déduire sur la ligne 36 de l'onglet de déduction de janvier DEDUC.01"))</f>
        <v>Indiquez le nombre d'heures à déduire sur la ligne 36 de l'onglet de déduction de janvier DEDUC.01</v>
      </c>
      <c r="BD61" s="90"/>
      <c r="BE61" s="90"/>
      <c r="BF61" s="27"/>
      <c r="BG61" s="1"/>
      <c r="BH61" s="1"/>
      <c r="BI61" s="1"/>
      <c r="BJ61" s="1"/>
      <c r="BK61" s="1"/>
    </row>
    <row r="62" spans="2:63" ht="15" customHeight="1">
      <c r="B62" s="103"/>
      <c r="C62" s="103"/>
      <c r="D62" s="103"/>
      <c r="E62" s="103"/>
      <c r="F62" s="197" t="s">
        <v>93</v>
      </c>
      <c r="G62" s="101"/>
      <c r="H62" s="101"/>
      <c r="I62" s="101"/>
      <c r="J62" s="101"/>
      <c r="K62" s="101"/>
      <c r="L62" s="102"/>
      <c r="M62" s="193"/>
      <c r="N62" s="194"/>
      <c r="O62" s="194"/>
      <c r="P62" s="194"/>
      <c r="Q62" s="194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6"/>
      <c r="AL62" s="198"/>
      <c r="AM62" s="198"/>
      <c r="AN62" s="198"/>
      <c r="AO62" s="198"/>
      <c r="AP62" s="198"/>
      <c r="AQ62" s="198"/>
      <c r="AW62" s="1"/>
      <c r="AX62" s="1"/>
      <c r="AY62" s="99"/>
      <c r="BD62" s="90"/>
      <c r="BE62" s="90"/>
      <c r="BF62" s="27"/>
      <c r="BG62" s="1"/>
      <c r="BH62" s="1"/>
      <c r="BI62" s="1"/>
      <c r="BJ62" s="1"/>
      <c r="BK62" s="1"/>
    </row>
    <row r="63" spans="2:63" ht="15">
      <c r="B63" s="50"/>
      <c r="C63" s="50"/>
      <c r="D63" s="50"/>
      <c r="E63" s="50"/>
      <c r="F63" s="136" t="s">
        <v>89</v>
      </c>
      <c r="G63" s="136"/>
      <c r="H63" s="136"/>
      <c r="I63" s="136"/>
      <c r="J63" s="136"/>
      <c r="K63" s="136"/>
      <c r="L63" s="137"/>
      <c r="M63" s="92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4"/>
      <c r="AL63" s="93"/>
      <c r="AM63" s="93"/>
      <c r="AN63" s="93"/>
      <c r="AO63" s="93"/>
      <c r="AP63" s="93"/>
      <c r="AQ63" s="93"/>
      <c r="AW63" s="1"/>
      <c r="AX63" s="1"/>
      <c r="AY63" s="11"/>
      <c r="AZ63" s="46"/>
      <c r="BA63" s="46"/>
      <c r="BB63" s="46"/>
      <c r="BC63" s="11"/>
      <c r="BD63" s="11"/>
      <c r="BE63" s="11"/>
      <c r="BF63" s="27"/>
      <c r="BG63" s="1"/>
      <c r="BH63" s="1"/>
      <c r="BI63" s="1"/>
      <c r="BJ63" s="1"/>
      <c r="BK63" s="1"/>
    </row>
    <row r="64" spans="2:63" ht="15">
      <c r="B64" s="50"/>
      <c r="C64" s="50"/>
      <c r="D64" s="50"/>
      <c r="E64" s="50"/>
      <c r="F64" s="136" t="s">
        <v>66</v>
      </c>
      <c r="G64" s="136"/>
      <c r="H64" s="136"/>
      <c r="I64" s="136"/>
      <c r="J64" s="136"/>
      <c r="K64" s="136"/>
      <c r="L64" s="137"/>
      <c r="M64" s="92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4"/>
      <c r="AL64" s="93"/>
      <c r="AM64" s="93"/>
      <c r="AN64" s="93"/>
      <c r="AO64" s="93"/>
      <c r="AP64" s="93"/>
      <c r="AQ64" s="93"/>
      <c r="AW64" s="1"/>
      <c r="AX64" s="1"/>
      <c r="BF64" s="27"/>
      <c r="BG64" s="1"/>
      <c r="BH64" s="1"/>
      <c r="BI64" s="1"/>
      <c r="BJ64" s="1"/>
      <c r="BK64" s="1"/>
    </row>
    <row r="65" spans="2:63" ht="15.75">
      <c r="B65" s="50"/>
      <c r="C65" s="50"/>
      <c r="D65" s="50"/>
      <c r="E65" s="50"/>
      <c r="F65" s="136" t="s">
        <v>64</v>
      </c>
      <c r="G65" s="136"/>
      <c r="H65" s="136"/>
      <c r="I65" s="136"/>
      <c r="J65" s="136"/>
      <c r="K65" s="136"/>
      <c r="L65" s="137"/>
      <c r="M65" s="92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4"/>
      <c r="AL65" s="93"/>
      <c r="AM65" s="93"/>
      <c r="AN65" s="93"/>
      <c r="AO65" s="93"/>
      <c r="AP65" s="93"/>
      <c r="AQ65" s="93"/>
      <c r="AW65" s="1"/>
      <c r="AX65" s="1"/>
      <c r="AZ65" s="1"/>
      <c r="BA65" s="1"/>
      <c r="BC65" s="47"/>
      <c r="BD65" s="47"/>
      <c r="BE65" s="47"/>
      <c r="BF65" s="27"/>
      <c r="BG65" s="1"/>
      <c r="BH65" s="1"/>
      <c r="BI65" s="1"/>
      <c r="BJ65" s="1"/>
      <c r="BK65" s="1"/>
    </row>
    <row r="66" spans="2:57" ht="15">
      <c r="B66" s="50"/>
      <c r="C66" s="50"/>
      <c r="D66" s="50"/>
      <c r="E66" s="50"/>
      <c r="F66" s="136" t="s">
        <v>65</v>
      </c>
      <c r="G66" s="136"/>
      <c r="H66" s="136"/>
      <c r="I66" s="136"/>
      <c r="J66" s="136"/>
      <c r="K66" s="136"/>
      <c r="L66" s="137"/>
      <c r="M66" s="92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4"/>
      <c r="AL66" s="93"/>
      <c r="AM66" s="93"/>
      <c r="AN66" s="93"/>
      <c r="AO66" s="93"/>
      <c r="AP66" s="93"/>
      <c r="AQ66" s="93"/>
      <c r="AW66" s="1"/>
      <c r="AX66" s="1"/>
      <c r="BD66" s="27"/>
      <c r="BE66" s="27"/>
    </row>
    <row r="67" spans="2:57" ht="15">
      <c r="B67" s="50"/>
      <c r="C67" s="50"/>
      <c r="D67" s="50"/>
      <c r="E67" s="50"/>
      <c r="F67" s="136" t="s">
        <v>56</v>
      </c>
      <c r="G67" s="136"/>
      <c r="H67" s="136"/>
      <c r="I67" s="136"/>
      <c r="J67" s="136"/>
      <c r="K67" s="136"/>
      <c r="L67" s="137"/>
      <c r="M67" s="92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4"/>
      <c r="AL67" s="93"/>
      <c r="AM67" s="93"/>
      <c r="AN67" s="93"/>
      <c r="AO67" s="93"/>
      <c r="AP67" s="93"/>
      <c r="AQ67" s="93"/>
      <c r="AW67" s="1"/>
      <c r="AX67" s="1"/>
      <c r="AZ67" s="1"/>
      <c r="BA67" s="1"/>
      <c r="BC67" s="27"/>
      <c r="BD67" s="27"/>
      <c r="BE67" s="27"/>
    </row>
    <row r="68" spans="2:50" ht="15">
      <c r="B68" s="50"/>
      <c r="C68" s="50"/>
      <c r="D68" s="50"/>
      <c r="E68" s="50"/>
      <c r="F68" s="136" t="s">
        <v>58</v>
      </c>
      <c r="G68" s="136"/>
      <c r="H68" s="136"/>
      <c r="I68" s="136"/>
      <c r="J68" s="136"/>
      <c r="K68" s="136"/>
      <c r="L68" s="137"/>
      <c r="M68" s="92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4"/>
      <c r="AL68" s="93"/>
      <c r="AM68" s="93"/>
      <c r="AN68" s="93"/>
      <c r="AO68" s="93"/>
      <c r="AP68" s="93"/>
      <c r="AQ68" s="93"/>
      <c r="AW68" s="1"/>
      <c r="AX68" s="1"/>
    </row>
    <row r="69" spans="2:50" ht="15">
      <c r="B69" s="50"/>
      <c r="C69" s="50"/>
      <c r="D69" s="50"/>
      <c r="E69" s="50"/>
      <c r="F69" s="136" t="s">
        <v>91</v>
      </c>
      <c r="G69" s="136"/>
      <c r="H69" s="136"/>
      <c r="I69" s="136"/>
      <c r="J69" s="136"/>
      <c r="K69" s="136"/>
      <c r="L69" s="137"/>
      <c r="M69" s="92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4"/>
      <c r="AL69" s="93"/>
      <c r="AM69" s="93"/>
      <c r="AN69" s="93"/>
      <c r="AO69" s="93"/>
      <c r="AP69" s="93"/>
      <c r="AQ69" s="93"/>
      <c r="AW69" s="1"/>
      <c r="AX69" s="1"/>
    </row>
    <row r="70" spans="2:50" ht="15">
      <c r="B70" s="50"/>
      <c r="C70" s="50"/>
      <c r="D70" s="50"/>
      <c r="E70" s="50"/>
      <c r="F70" s="136" t="s">
        <v>63</v>
      </c>
      <c r="G70" s="136"/>
      <c r="H70" s="136"/>
      <c r="I70" s="136"/>
      <c r="J70" s="136"/>
      <c r="K70" s="136"/>
      <c r="L70" s="137"/>
      <c r="M70" s="92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4"/>
      <c r="AL70" s="93"/>
      <c r="AM70" s="93"/>
      <c r="AN70" s="93"/>
      <c r="AO70" s="93"/>
      <c r="AP70" s="93"/>
      <c r="AQ70" s="93"/>
      <c r="AW70" s="49"/>
      <c r="AX70" s="49"/>
    </row>
    <row r="71" spans="2:43" ht="15">
      <c r="B71" s="50"/>
      <c r="C71" s="50"/>
      <c r="D71" s="50"/>
      <c r="E71" s="50"/>
      <c r="F71" s="136" t="s">
        <v>88</v>
      </c>
      <c r="G71" s="136"/>
      <c r="H71" s="136"/>
      <c r="I71" s="136"/>
      <c r="J71" s="136"/>
      <c r="K71" s="136"/>
      <c r="L71" s="137"/>
      <c r="M71" s="92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4"/>
      <c r="AL71" s="93"/>
      <c r="AM71" s="93"/>
      <c r="AN71" s="93"/>
      <c r="AO71" s="93"/>
      <c r="AP71" s="93"/>
      <c r="AQ71" s="93"/>
    </row>
    <row r="72" spans="2:43" ht="15">
      <c r="B72" s="50"/>
      <c r="C72" s="50"/>
      <c r="D72" s="50"/>
      <c r="E72" s="50"/>
      <c r="F72" s="136" t="s">
        <v>90</v>
      </c>
      <c r="G72" s="136"/>
      <c r="H72" s="136"/>
      <c r="I72" s="136"/>
      <c r="J72" s="136"/>
      <c r="K72" s="136"/>
      <c r="L72" s="137"/>
      <c r="M72" s="92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4"/>
      <c r="AL72" s="93"/>
      <c r="AM72" s="93"/>
      <c r="AN72" s="93"/>
      <c r="AO72" s="93"/>
      <c r="AP72" s="93"/>
      <c r="AQ72" s="93"/>
    </row>
    <row r="73" spans="2:43" ht="15">
      <c r="B73" s="50"/>
      <c r="C73" s="50"/>
      <c r="D73" s="50"/>
      <c r="E73" s="50"/>
      <c r="F73" s="136" t="s">
        <v>59</v>
      </c>
      <c r="G73" s="136"/>
      <c r="H73" s="136"/>
      <c r="I73" s="136"/>
      <c r="J73" s="136"/>
      <c r="K73" s="136"/>
      <c r="L73" s="137"/>
      <c r="M73" s="92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4"/>
      <c r="AL73" s="93"/>
      <c r="AM73" s="93"/>
      <c r="AN73" s="93"/>
      <c r="AO73" s="93"/>
      <c r="AP73" s="93"/>
      <c r="AQ73" s="93"/>
    </row>
    <row r="74" spans="2:57" ht="15" customHeight="1">
      <c r="B74" s="50"/>
      <c r="C74" s="50"/>
      <c r="D74" s="50"/>
      <c r="E74" s="50"/>
      <c r="F74" s="136" t="s">
        <v>92</v>
      </c>
      <c r="G74" s="136"/>
      <c r="H74" s="136"/>
      <c r="I74" s="136"/>
      <c r="J74" s="136"/>
      <c r="K74" s="136"/>
      <c r="L74" s="137"/>
      <c r="M74" s="92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4"/>
      <c r="AL74" s="93"/>
      <c r="AM74" s="93"/>
      <c r="AN74" s="93"/>
      <c r="AO74" s="93"/>
      <c r="AP74" s="93"/>
      <c r="AQ74" s="93"/>
      <c r="AZ74" s="204"/>
      <c r="BA74" s="204"/>
      <c r="BB74" s="204"/>
      <c r="BC74" s="204"/>
      <c r="BD74" s="204"/>
      <c r="BE74" s="204"/>
    </row>
    <row r="75" spans="2:57" ht="15" customHeight="1">
      <c r="B75" s="50"/>
      <c r="C75" s="50"/>
      <c r="D75" s="50"/>
      <c r="E75" s="50"/>
      <c r="F75" s="136" t="s">
        <v>61</v>
      </c>
      <c r="G75" s="136"/>
      <c r="H75" s="136"/>
      <c r="I75" s="136"/>
      <c r="J75" s="136"/>
      <c r="K75" s="136"/>
      <c r="L75" s="137"/>
      <c r="M75" s="92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4"/>
      <c r="AL75" s="93"/>
      <c r="AM75" s="93"/>
      <c r="AN75" s="93"/>
      <c r="AO75" s="93"/>
      <c r="AP75" s="93"/>
      <c r="AQ75" s="93"/>
      <c r="AZ75" s="204"/>
      <c r="BA75" s="204"/>
      <c r="BB75" s="204"/>
      <c r="BC75" s="204"/>
      <c r="BD75" s="204"/>
      <c r="BE75" s="204"/>
    </row>
    <row r="76" spans="2:63" ht="15" customHeight="1">
      <c r="B76" s="50"/>
      <c r="C76" s="50"/>
      <c r="D76" s="50"/>
      <c r="E76" s="50"/>
      <c r="F76" s="136" t="s">
        <v>60</v>
      </c>
      <c r="G76" s="136"/>
      <c r="H76" s="136"/>
      <c r="I76" s="136"/>
      <c r="J76" s="136"/>
      <c r="K76" s="136"/>
      <c r="L76" s="137"/>
      <c r="M76" s="92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4"/>
      <c r="AL76" s="93"/>
      <c r="AM76" s="93"/>
      <c r="AN76" s="93"/>
      <c r="AO76" s="93"/>
      <c r="AP76" s="93"/>
      <c r="AQ76" s="93"/>
      <c r="AZ76" s="204"/>
      <c r="BA76" s="204"/>
      <c r="BB76" s="204"/>
      <c r="BC76" s="204"/>
      <c r="BD76" s="204"/>
      <c r="BE76" s="204"/>
      <c r="BG76" s="27"/>
      <c r="BH76" s="27"/>
      <c r="BI76" s="27"/>
      <c r="BJ76" s="27"/>
      <c r="BK76" s="27"/>
    </row>
    <row r="77" spans="2:63" ht="15" customHeight="1">
      <c r="B77" s="50"/>
      <c r="C77" s="50"/>
      <c r="D77" s="50"/>
      <c r="E77" s="50"/>
      <c r="F77" s="136" t="s">
        <v>62</v>
      </c>
      <c r="G77" s="136"/>
      <c r="H77" s="136"/>
      <c r="I77" s="136"/>
      <c r="J77" s="136"/>
      <c r="K77" s="136"/>
      <c r="L77" s="137"/>
      <c r="M77" s="92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4"/>
      <c r="AL77" s="93"/>
      <c r="AM77" s="93"/>
      <c r="AN77" s="93"/>
      <c r="AO77" s="93"/>
      <c r="AP77" s="93"/>
      <c r="AQ77" s="93"/>
      <c r="AZ77" s="204"/>
      <c r="BA77" s="204"/>
      <c r="BB77" s="204"/>
      <c r="BC77" s="204"/>
      <c r="BD77" s="204"/>
      <c r="BE77" s="204"/>
      <c r="BG77" s="27"/>
      <c r="BH77" s="27"/>
      <c r="BI77" s="27"/>
      <c r="BJ77" s="27"/>
      <c r="BK77" s="27"/>
    </row>
    <row r="78" spans="2:63" ht="15">
      <c r="B78" s="50"/>
      <c r="C78" s="50"/>
      <c r="D78" s="50"/>
      <c r="E78" s="50"/>
      <c r="F78" s="155" t="s">
        <v>57</v>
      </c>
      <c r="G78" s="155"/>
      <c r="H78" s="155"/>
      <c r="I78" s="155"/>
      <c r="J78" s="155"/>
      <c r="K78" s="155"/>
      <c r="L78" s="156"/>
      <c r="M78" s="95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7"/>
      <c r="AL78" s="93"/>
      <c r="AM78" s="93"/>
      <c r="AN78" s="93"/>
      <c r="AO78" s="93"/>
      <c r="AP78" s="93"/>
      <c r="AQ78" s="93"/>
      <c r="BG78" s="27"/>
      <c r="BH78" s="27"/>
      <c r="BI78" s="27"/>
      <c r="BJ78" s="27"/>
      <c r="BK78" s="27"/>
    </row>
    <row r="79" spans="51:59" ht="15">
      <c r="AY79" s="27"/>
      <c r="AZ79" s="27"/>
      <c r="BA79" s="27"/>
      <c r="BB79" s="27"/>
      <c r="BC79" s="27"/>
      <c r="BD79" s="27"/>
      <c r="BE79" s="27"/>
      <c r="BF79" s="27"/>
      <c r="BG79" s="27"/>
    </row>
    <row r="80" spans="2:59" ht="24.75" customHeight="1">
      <c r="B80" s="284"/>
      <c r="C80" s="284"/>
      <c r="D80" s="284"/>
      <c r="E80" s="284"/>
      <c r="F80" s="284"/>
      <c r="G80" s="284"/>
      <c r="H80" s="284"/>
      <c r="I80" s="276"/>
      <c r="J80" s="285" t="s">
        <v>68</v>
      </c>
      <c r="K80" s="286"/>
      <c r="L80" s="275" t="s">
        <v>69</v>
      </c>
      <c r="M80" s="276"/>
      <c r="N80" s="287" t="s">
        <v>107</v>
      </c>
      <c r="O80" s="288"/>
      <c r="P80" s="275" t="s">
        <v>71</v>
      </c>
      <c r="Q80" s="276"/>
      <c r="R80" s="289" t="s">
        <v>72</v>
      </c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90"/>
      <c r="AN80" s="290"/>
      <c r="AO80" s="290"/>
      <c r="AP80" s="290"/>
      <c r="AQ80" s="290"/>
      <c r="AR80" s="291"/>
      <c r="AY80" s="27"/>
      <c r="AZ80" s="27"/>
      <c r="BA80" s="27"/>
      <c r="BB80" s="27"/>
      <c r="BC80" s="27"/>
      <c r="BD80" s="27"/>
      <c r="BE80" s="27"/>
      <c r="BF80" s="27"/>
      <c r="BG80" s="27"/>
    </row>
    <row r="81" spans="2:59" ht="21" customHeight="1">
      <c r="B81" s="6"/>
      <c r="J81" s="65"/>
      <c r="K81" s="52"/>
      <c r="L81" s="403">
        <f>IF(AZ8="x",R59,AO8)</f>
        <v>195</v>
      </c>
      <c r="M81" s="404"/>
      <c r="N81" s="405">
        <f>AO10</f>
        <v>3.97</v>
      </c>
      <c r="O81" s="406"/>
      <c r="P81" s="405">
        <f>IF(L81="",0,L81*N81)</f>
        <v>774.1500000000001</v>
      </c>
      <c r="Q81" s="406"/>
      <c r="R81" s="32" t="s">
        <v>73</v>
      </c>
      <c r="Z81" s="236" t="e">
        <f>R24+#REF!+#REF!+#REF!+#REF!</f>
        <v>#REF!</v>
      </c>
      <c r="AA81" s="236"/>
      <c r="AD81" s="100"/>
      <c r="AE81" s="100"/>
      <c r="AF81" s="72"/>
      <c r="AH81" s="6" t="s">
        <v>74</v>
      </c>
      <c r="AQ81" s="332" t="e">
        <f>SUM(#REF!)+SUM(#REF!)+SUM(#REF!)+SUM(#REF!)+SUM(#REF!)</f>
        <v>#REF!</v>
      </c>
      <c r="AR81" s="333"/>
      <c r="AY81" s="27"/>
      <c r="AZ81" s="27"/>
      <c r="BA81" s="27"/>
      <c r="BB81" s="27"/>
      <c r="BC81" s="27"/>
      <c r="BD81" s="27"/>
      <c r="BE81" s="27"/>
      <c r="BF81" s="27"/>
      <c r="BG81" s="27"/>
    </row>
    <row r="82" spans="2:31" ht="21" customHeight="1">
      <c r="B82" s="6"/>
      <c r="J82" s="80"/>
      <c r="K82" s="52"/>
      <c r="L82" s="269">
        <f>IF(AZ8="x",0,AO9)</f>
        <v>21.67</v>
      </c>
      <c r="M82" s="270"/>
      <c r="N82" s="253">
        <f>N81</f>
        <v>3.97</v>
      </c>
      <c r="O82" s="254"/>
      <c r="P82" s="253">
        <f>IF(L82="",0,L82*N82)</f>
        <v>86.02990000000001</v>
      </c>
      <c r="Q82" s="254"/>
      <c r="R82" s="65"/>
      <c r="V82" s="25"/>
      <c r="W82" s="25"/>
      <c r="AD82" s="100"/>
      <c r="AE82" s="100"/>
    </row>
    <row r="83" spans="2:44" ht="21" customHeight="1">
      <c r="B83" s="6"/>
      <c r="J83" s="271">
        <v>10</v>
      </c>
      <c r="K83" s="272"/>
      <c r="L83" s="267" t="e">
        <f>AT59</f>
        <v>#REF!</v>
      </c>
      <c r="M83" s="268"/>
      <c r="N83" s="253">
        <f>(N81*J83)/100</f>
        <v>0.397</v>
      </c>
      <c r="O83" s="254"/>
      <c r="P83" s="253" t="e">
        <f>L83*N83</f>
        <v>#REF!</v>
      </c>
      <c r="Q83" s="254"/>
      <c r="R83" s="73" t="s">
        <v>75</v>
      </c>
      <c r="V83" s="6"/>
      <c r="X83" s="236" t="e">
        <f>#REF!+#REF!+#REF!+#REF!+#REF!</f>
        <v>#REF!</v>
      </c>
      <c r="Y83" s="236"/>
      <c r="AC83" s="6" t="s">
        <v>76</v>
      </c>
      <c r="AD83" s="100"/>
      <c r="AE83" s="100"/>
      <c r="AQ83" s="236" t="e">
        <f>AD95+(W100*2.9%)</f>
        <v>#REF!</v>
      </c>
      <c r="AR83" s="508"/>
    </row>
    <row r="84" spans="2:31" ht="21" customHeight="1">
      <c r="B84" s="6"/>
      <c r="J84" s="65"/>
      <c r="K84" s="52"/>
      <c r="L84" s="267">
        <f>AP59</f>
        <v>13.75</v>
      </c>
      <c r="M84" s="268"/>
      <c r="N84" s="253">
        <f>N81</f>
        <v>3.97</v>
      </c>
      <c r="O84" s="254"/>
      <c r="P84" s="253">
        <f>L84*N84</f>
        <v>54.587500000000006</v>
      </c>
      <c r="Q84" s="254"/>
      <c r="R84" s="65"/>
      <c r="V84" s="2"/>
      <c r="W84" s="74"/>
      <c r="X84" s="79"/>
      <c r="AD84" s="100"/>
      <c r="AE84" s="100"/>
    </row>
    <row r="85" spans="2:44" ht="21" customHeight="1">
      <c r="B85" s="6"/>
      <c r="J85" s="271">
        <v>25</v>
      </c>
      <c r="K85" s="272"/>
      <c r="L85" s="267" t="e">
        <f>#REF!+#REF!+AM32+AM41+AM50</f>
        <v>#REF!</v>
      </c>
      <c r="M85" s="268"/>
      <c r="N85" s="253">
        <f>(N81*J85)/100</f>
        <v>0.9925</v>
      </c>
      <c r="O85" s="254"/>
      <c r="P85" s="253" t="e">
        <f>L85*N85</f>
        <v>#REF!</v>
      </c>
      <c r="Q85" s="254"/>
      <c r="R85" s="32" t="s">
        <v>77</v>
      </c>
      <c r="Y85" s="417" t="e">
        <f>COUNTIF(#REF!,"&gt;=8")+COUNTIF(AM26:AO32,"&gt;=8")+COUNTIF(AM35:AO41,"&gt;=8")+COUNTIF(AM44:AO50,"&gt;=8")+COUNTIF(AM53:AO55,"&gt;=8")</f>
        <v>#REF!</v>
      </c>
      <c r="Z85" s="417"/>
      <c r="AA85" s="417"/>
      <c r="AC85" s="81" t="s">
        <v>78</v>
      </c>
      <c r="AD85" s="100"/>
      <c r="AE85" s="100"/>
      <c r="AQ85" s="415" t="e">
        <f>SUMIF(#REF!,"&lt;8")+SUMIF(AM26:AO32,"&lt;8")+SUMIF(AM35:AO41,"&lt;8")+SUMIF(AM44:AO50,"&lt;8")+SUMIF(AM53:AO55,"&lt;8")</f>
        <v>#REF!</v>
      </c>
      <c r="AR85" s="416"/>
    </row>
    <row r="86" spans="2:31" ht="21" customHeight="1">
      <c r="B86" s="6"/>
      <c r="J86" s="271">
        <v>25</v>
      </c>
      <c r="K86" s="272"/>
      <c r="L86" s="267" t="e">
        <f>IF(AZ8="x",U59,#REF!)</f>
        <v>#REF!</v>
      </c>
      <c r="M86" s="268"/>
      <c r="N86" s="253">
        <f>N81+(N81*J86)/100</f>
        <v>4.9625</v>
      </c>
      <c r="O86" s="254"/>
      <c r="P86" s="253" t="e">
        <f>L86*N86</f>
        <v>#REF!</v>
      </c>
      <c r="Q86" s="254"/>
      <c r="R86" s="65"/>
      <c r="AD86" s="100"/>
      <c r="AE86" s="100"/>
    </row>
    <row r="87" spans="2:31" ht="21" customHeight="1">
      <c r="B87" s="6"/>
      <c r="J87" s="271">
        <v>25</v>
      </c>
      <c r="K87" s="272"/>
      <c r="L87" s="265"/>
      <c r="M87" s="266"/>
      <c r="N87" s="253">
        <f>(N81*J87)/100</f>
        <v>0.9925</v>
      </c>
      <c r="O87" s="254"/>
      <c r="P87" s="253">
        <f>L87*N87</f>
        <v>0</v>
      </c>
      <c r="Q87" s="254"/>
      <c r="R87" s="32" t="s">
        <v>106</v>
      </c>
      <c r="AA87" s="530">
        <f>P93</f>
        <v>0</v>
      </c>
      <c r="AB87" s="235"/>
      <c r="AC87" s="235"/>
      <c r="AD87" s="100"/>
      <c r="AE87" s="100"/>
    </row>
    <row r="88" spans="2:59" ht="21" customHeight="1">
      <c r="B88" s="6"/>
      <c r="J88" s="65"/>
      <c r="K88" s="52"/>
      <c r="L88" s="199"/>
      <c r="M88" s="200"/>
      <c r="N88" s="263"/>
      <c r="O88" s="264"/>
      <c r="P88" s="279"/>
      <c r="Q88" s="280"/>
      <c r="R88" s="65"/>
      <c r="AD88" s="100"/>
      <c r="AE88" s="100"/>
      <c r="AY88" s="27"/>
      <c r="AZ88" s="27"/>
      <c r="BA88" s="27"/>
      <c r="BB88" s="27"/>
      <c r="BC88" s="27"/>
      <c r="BD88" s="27"/>
      <c r="BE88" s="27"/>
      <c r="BF88" s="27"/>
      <c r="BG88" s="27"/>
    </row>
    <row r="89" spans="2:59" ht="21" customHeight="1">
      <c r="B89" s="6"/>
      <c r="J89" s="65"/>
      <c r="K89" s="52"/>
      <c r="L89" s="279"/>
      <c r="M89" s="280"/>
      <c r="N89" s="261">
        <f>IF(AZ8="x",0.1,0)</f>
        <v>0</v>
      </c>
      <c r="O89" s="262"/>
      <c r="P89" s="253">
        <f>IF(AZ8="x",L89*N89,L89)</f>
        <v>0</v>
      </c>
      <c r="Q89" s="254"/>
      <c r="R89" s="32" t="s">
        <v>79</v>
      </c>
      <c r="S89" s="6"/>
      <c r="U89" s="6"/>
      <c r="W89" s="407"/>
      <c r="X89" s="407"/>
      <c r="Y89" s="407"/>
      <c r="Z89" s="407"/>
      <c r="AC89" s="6" t="s">
        <v>80</v>
      </c>
      <c r="AD89" s="100"/>
      <c r="AE89" s="100"/>
      <c r="AF89" s="408"/>
      <c r="AG89" s="408"/>
      <c r="AH89" s="408"/>
      <c r="AI89" s="408"/>
      <c r="AJ89" s="408"/>
      <c r="AK89" s="408"/>
      <c r="AL89" s="408"/>
      <c r="AY89" s="27"/>
      <c r="AZ89" s="27"/>
      <c r="BA89" s="27"/>
      <c r="BB89" s="27"/>
      <c r="BC89" s="27"/>
      <c r="BD89" s="27"/>
      <c r="BE89" s="27"/>
      <c r="BF89" s="27"/>
      <c r="BG89" s="27"/>
    </row>
    <row r="90" spans="2:59" ht="21" customHeight="1">
      <c r="B90" s="6"/>
      <c r="J90" s="65"/>
      <c r="K90" s="52"/>
      <c r="L90" s="279"/>
      <c r="M90" s="280"/>
      <c r="N90" s="261">
        <f>IF(BC4="C.D.D",0.1,0)</f>
        <v>0</v>
      </c>
      <c r="O90" s="262"/>
      <c r="P90" s="253">
        <f>IF(BC4="C.D.D",L90*N90,0)</f>
        <v>0</v>
      </c>
      <c r="Q90" s="254"/>
      <c r="R90" s="32"/>
      <c r="S90" s="6"/>
      <c r="T90" s="75"/>
      <c r="U90" s="6"/>
      <c r="AD90" s="100"/>
      <c r="AE90" s="100"/>
      <c r="AY90" s="27"/>
      <c r="AZ90" s="27"/>
      <c r="BA90" s="27"/>
      <c r="BB90" s="27"/>
      <c r="BC90" s="27"/>
      <c r="BD90" s="27"/>
      <c r="BE90" s="27"/>
      <c r="BF90" s="27"/>
      <c r="BG90" s="27"/>
    </row>
    <row r="91" spans="2:59" ht="21" customHeight="1">
      <c r="B91" s="6"/>
      <c r="J91" s="65"/>
      <c r="K91" s="52"/>
      <c r="L91" s="279"/>
      <c r="M91" s="280"/>
      <c r="N91" s="259">
        <f>N81</f>
        <v>3.97</v>
      </c>
      <c r="O91" s="260"/>
      <c r="P91" s="253">
        <f>L91*N91</f>
        <v>0</v>
      </c>
      <c r="Q91" s="254"/>
      <c r="R91" s="65"/>
      <c r="AD91" s="100"/>
      <c r="AE91" s="100"/>
      <c r="AY91" s="27"/>
      <c r="AZ91" s="27"/>
      <c r="BA91" s="27"/>
      <c r="BB91" s="27"/>
      <c r="BC91" s="27"/>
      <c r="BD91" s="27"/>
      <c r="BE91" s="27"/>
      <c r="BF91" s="27"/>
      <c r="BG91" s="27"/>
    </row>
    <row r="92" spans="2:59" ht="21" customHeight="1">
      <c r="B92" s="6"/>
      <c r="J92" s="108"/>
      <c r="K92" s="52"/>
      <c r="L92" s="267" t="e">
        <f>IF(AZ54="x",#REF!,#REF!)</f>
        <v>#REF!</v>
      </c>
      <c r="M92" s="268"/>
      <c r="N92" s="257">
        <f>N81</f>
        <v>3.97</v>
      </c>
      <c r="O92" s="258"/>
      <c r="P92" s="253" t="e">
        <f>L92*N92</f>
        <v>#REF!</v>
      </c>
      <c r="Q92" s="254"/>
      <c r="R92" s="32" t="s">
        <v>82</v>
      </c>
      <c r="S92" s="6"/>
      <c r="T92" s="6"/>
      <c r="U92" s="6"/>
      <c r="W92" s="6"/>
      <c r="X92" s="6"/>
      <c r="AC92" s="6" t="s">
        <v>83</v>
      </c>
      <c r="AD92" s="100"/>
      <c r="AE92" s="100"/>
      <c r="AY92" s="27"/>
      <c r="AZ92" s="27"/>
      <c r="BA92" s="27"/>
      <c r="BB92" s="27"/>
      <c r="BC92" s="27"/>
      <c r="BD92" s="27"/>
      <c r="BE92" s="27"/>
      <c r="BF92" s="27"/>
      <c r="BG92" s="27"/>
    </row>
    <row r="93" spans="2:59" ht="21" customHeight="1">
      <c r="B93" s="157"/>
      <c r="C93" s="157"/>
      <c r="D93" s="157"/>
      <c r="E93" s="157"/>
      <c r="F93" s="157"/>
      <c r="G93" s="157"/>
      <c r="H93" s="157"/>
      <c r="I93" s="157"/>
      <c r="J93" s="273"/>
      <c r="K93" s="274"/>
      <c r="L93" s="277"/>
      <c r="M93" s="278"/>
      <c r="N93" s="255"/>
      <c r="O93" s="256"/>
      <c r="P93" s="338">
        <f>L93-N93</f>
        <v>0</v>
      </c>
      <c r="Q93" s="339"/>
      <c r="R93" s="201"/>
      <c r="S93" s="202"/>
      <c r="AH93" s="32"/>
      <c r="AI93" s="6"/>
      <c r="AJ93" s="6"/>
      <c r="AK93" s="6"/>
      <c r="AM93" s="6"/>
      <c r="AN93" s="6"/>
      <c r="AS93" s="6"/>
      <c r="AY93" s="27"/>
      <c r="AZ93" s="27"/>
      <c r="BA93" s="27"/>
      <c r="BB93" s="27"/>
      <c r="BC93" s="27"/>
      <c r="BD93" s="27"/>
      <c r="BE93" s="27"/>
      <c r="BF93" s="27"/>
      <c r="BG93" s="27"/>
    </row>
    <row r="94" spans="6:59" ht="21" customHeight="1">
      <c r="F94" s="190" t="s">
        <v>100</v>
      </c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2"/>
      <c r="S94" s="527" t="e">
        <f>AD94-P93</f>
        <v>#REF!</v>
      </c>
      <c r="T94" s="528"/>
      <c r="U94" s="528"/>
      <c r="V94" s="529"/>
      <c r="W94" s="524" t="s">
        <v>101</v>
      </c>
      <c r="X94" s="525"/>
      <c r="Y94" s="525"/>
      <c r="Z94" s="525"/>
      <c r="AA94" s="525"/>
      <c r="AB94" s="525"/>
      <c r="AC94" s="526"/>
      <c r="AD94" s="497" t="e">
        <f>SUM(P81:Q91)-P92</f>
        <v>#REF!</v>
      </c>
      <c r="AE94" s="498"/>
      <c r="AF94" s="498"/>
      <c r="AG94" s="499"/>
      <c r="AH94" s="32"/>
      <c r="AI94" s="6"/>
      <c r="AJ94" s="6"/>
      <c r="AK94" s="6"/>
      <c r="AM94" s="6"/>
      <c r="AN94" s="6"/>
      <c r="AS94" s="6"/>
      <c r="AY94" s="27"/>
      <c r="AZ94" s="27"/>
      <c r="BA94" s="27"/>
      <c r="BB94" s="27"/>
      <c r="BC94" s="27"/>
      <c r="BD94" s="27"/>
      <c r="BE94" s="27"/>
      <c r="BF94" s="27"/>
      <c r="BG94" s="27"/>
    </row>
    <row r="95" spans="6:59" ht="21" customHeight="1">
      <c r="F95" s="531" t="s">
        <v>102</v>
      </c>
      <c r="G95" s="532"/>
      <c r="H95" s="532"/>
      <c r="I95" s="532"/>
      <c r="J95" s="532"/>
      <c r="K95" s="532"/>
      <c r="L95" s="532"/>
      <c r="M95" s="532"/>
      <c r="N95" s="532"/>
      <c r="O95" s="532"/>
      <c r="P95" s="532"/>
      <c r="Q95" s="532"/>
      <c r="R95" s="532"/>
      <c r="S95" s="532"/>
      <c r="T95" s="532"/>
      <c r="U95" s="532"/>
      <c r="V95" s="532"/>
      <c r="W95" s="532"/>
      <c r="X95" s="532"/>
      <c r="Y95" s="532"/>
      <c r="Z95" s="532"/>
      <c r="AA95" s="532"/>
      <c r="AB95" s="532"/>
      <c r="AC95" s="533"/>
      <c r="AD95" s="497" t="e">
        <f>IF(AZ36="x",S94*0.7801,IF(AZ38="x",S94*0.7651,0))</f>
        <v>#REF!</v>
      </c>
      <c r="AE95" s="498"/>
      <c r="AF95" s="498"/>
      <c r="AG95" s="499"/>
      <c r="AH95" s="32"/>
      <c r="AI95" s="6"/>
      <c r="AJ95" s="6"/>
      <c r="AK95" s="6"/>
      <c r="AM95" s="6"/>
      <c r="AN95" s="6"/>
      <c r="AS95" s="6"/>
      <c r="AY95" s="27"/>
      <c r="AZ95" s="27"/>
      <c r="BA95" s="27"/>
      <c r="BB95" s="27"/>
      <c r="BC95" s="27"/>
      <c r="BD95" s="27"/>
      <c r="BE95" s="27"/>
      <c r="BF95" s="27"/>
      <c r="BG95" s="27"/>
    </row>
    <row r="96" spans="6:59" ht="21" customHeight="1">
      <c r="F96" s="521" t="s">
        <v>103</v>
      </c>
      <c r="G96" s="522"/>
      <c r="H96" s="522"/>
      <c r="I96" s="522"/>
      <c r="J96" s="522"/>
      <c r="K96" s="522"/>
      <c r="L96" s="522"/>
      <c r="M96" s="522"/>
      <c r="N96" s="522"/>
      <c r="O96" s="522"/>
      <c r="P96" s="522"/>
      <c r="Q96" s="522"/>
      <c r="R96" s="522"/>
      <c r="S96" s="522"/>
      <c r="T96" s="522"/>
      <c r="U96" s="522"/>
      <c r="V96" s="522"/>
      <c r="W96" s="522"/>
      <c r="X96" s="522"/>
      <c r="Y96" s="522"/>
      <c r="Z96" s="522"/>
      <c r="AA96" s="522"/>
      <c r="AB96" s="522"/>
      <c r="AC96" s="523"/>
      <c r="AD96" s="409" t="e">
        <f>ROUNDDOWN((AD95+P93),2)</f>
        <v>#REF!</v>
      </c>
      <c r="AE96" s="410"/>
      <c r="AF96" s="410"/>
      <c r="AG96" s="411"/>
      <c r="AH96" s="32"/>
      <c r="AI96" s="6"/>
      <c r="AJ96" s="6"/>
      <c r="AK96" s="6"/>
      <c r="AM96" s="6"/>
      <c r="AN96" s="6"/>
      <c r="AS96" s="6"/>
      <c r="AY96" s="27"/>
      <c r="AZ96" s="27"/>
      <c r="BA96" s="27"/>
      <c r="BB96" s="27"/>
      <c r="BC96" s="27"/>
      <c r="BD96" s="27"/>
      <c r="BE96" s="27"/>
      <c r="BF96" s="27"/>
      <c r="BG96" s="27"/>
    </row>
    <row r="97" spans="6:59" ht="18" customHeight="1">
      <c r="F97" s="275" t="s">
        <v>81</v>
      </c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76"/>
      <c r="W97" s="275" t="s">
        <v>69</v>
      </c>
      <c r="X97" s="284"/>
      <c r="Y97" s="284"/>
      <c r="Z97" s="276"/>
      <c r="AA97" s="275" t="s">
        <v>70</v>
      </c>
      <c r="AB97" s="284"/>
      <c r="AC97" s="458"/>
      <c r="AD97" s="504" t="s">
        <v>71</v>
      </c>
      <c r="AE97" s="284"/>
      <c r="AF97" s="284"/>
      <c r="AG97" s="276"/>
      <c r="AH97" s="65"/>
      <c r="AI97" s="6"/>
      <c r="AJ97" s="6"/>
      <c r="AK97" s="6"/>
      <c r="AM97" s="5"/>
      <c r="AN97" s="6"/>
      <c r="AY97" s="27"/>
      <c r="AZ97" s="27"/>
      <c r="BA97" s="27"/>
      <c r="BB97" s="27"/>
      <c r="BC97" s="27"/>
      <c r="BD97" s="27"/>
      <c r="BE97" s="27"/>
      <c r="BF97" s="27"/>
      <c r="BG97" s="27"/>
    </row>
    <row r="98" spans="6:59" ht="18" customHeight="1">
      <c r="F98" s="481" t="s">
        <v>84</v>
      </c>
      <c r="G98" s="482"/>
      <c r="H98" s="482"/>
      <c r="I98" s="482"/>
      <c r="J98" s="482"/>
      <c r="K98" s="482"/>
      <c r="L98" s="482"/>
      <c r="M98" s="482"/>
      <c r="N98" s="482"/>
      <c r="O98" s="482"/>
      <c r="P98" s="482"/>
      <c r="Q98" s="483"/>
      <c r="R98" s="454"/>
      <c r="S98" s="454"/>
      <c r="T98" s="454"/>
      <c r="U98" s="454"/>
      <c r="V98" s="454"/>
      <c r="W98" s="455" t="e">
        <f>AD94-P93</f>
        <v>#REF!</v>
      </c>
      <c r="X98" s="456"/>
      <c r="Y98" s="456"/>
      <c r="Z98" s="457"/>
      <c r="AA98" s="443">
        <f>IF(AZ36="x",0.1246,IF(AZ38="x",0.1396))</f>
        <v>0.1246</v>
      </c>
      <c r="AB98" s="444"/>
      <c r="AC98" s="445"/>
      <c r="AD98" s="452" t="e">
        <f>W98*AA98</f>
        <v>#REF!</v>
      </c>
      <c r="AE98" s="452"/>
      <c r="AF98" s="452"/>
      <c r="AG98" s="453"/>
      <c r="AH98" s="76"/>
      <c r="AI98" s="5"/>
      <c r="AJ98" s="5"/>
      <c r="AK98" s="5"/>
      <c r="AL98" s="5"/>
      <c r="AM98" s="5"/>
      <c r="AN98" s="5"/>
      <c r="AY98" s="27"/>
      <c r="AZ98" s="27"/>
      <c r="BA98" s="27"/>
      <c r="BB98" s="27"/>
      <c r="BC98" s="27"/>
      <c r="BD98" s="27"/>
      <c r="BE98" s="27"/>
      <c r="BF98" s="27"/>
      <c r="BG98" s="27"/>
    </row>
    <row r="99" spans="6:59" ht="18" customHeight="1">
      <c r="F99" s="381"/>
      <c r="G99" s="382"/>
      <c r="H99" s="382"/>
      <c r="I99" s="382"/>
      <c r="J99" s="382"/>
      <c r="K99" s="382"/>
      <c r="L99" s="382"/>
      <c r="M99" s="382"/>
      <c r="N99" s="382"/>
      <c r="O99" s="382"/>
      <c r="P99" s="382"/>
      <c r="Q99" s="383"/>
      <c r="R99" s="454"/>
      <c r="S99" s="454"/>
      <c r="T99" s="454"/>
      <c r="U99" s="454"/>
      <c r="V99" s="454"/>
      <c r="W99" s="487" t="e">
        <f>W98</f>
        <v>#REF!</v>
      </c>
      <c r="X99" s="452"/>
      <c r="Y99" s="452"/>
      <c r="Z99" s="453"/>
      <c r="AA99" s="488">
        <v>0.41796</v>
      </c>
      <c r="AB99" s="489"/>
      <c r="AC99" s="490"/>
      <c r="AD99" s="452" t="e">
        <f>W99*AA99</f>
        <v>#REF!</v>
      </c>
      <c r="AE99" s="452"/>
      <c r="AF99" s="452"/>
      <c r="AG99" s="453"/>
      <c r="AH99" s="76"/>
      <c r="AI99" s="5"/>
      <c r="AJ99" s="5"/>
      <c r="AK99" s="5"/>
      <c r="AL99" s="5"/>
      <c r="AM99" s="5"/>
      <c r="AN99" s="5"/>
      <c r="AY99" s="27"/>
      <c r="AZ99" s="27"/>
      <c r="BA99" s="27"/>
      <c r="BB99" s="27"/>
      <c r="BC99" s="27"/>
      <c r="BD99" s="27"/>
      <c r="BE99" s="27"/>
      <c r="BF99" s="27"/>
      <c r="BG99" s="27"/>
    </row>
    <row r="100" spans="6:59" ht="18" customHeight="1">
      <c r="F100" s="491" t="s">
        <v>85</v>
      </c>
      <c r="G100" s="492"/>
      <c r="H100" s="492"/>
      <c r="I100" s="492"/>
      <c r="J100" s="492"/>
      <c r="K100" s="492"/>
      <c r="L100" s="492"/>
      <c r="M100" s="492"/>
      <c r="N100" s="492"/>
      <c r="O100" s="492"/>
      <c r="P100" s="492"/>
      <c r="Q100" s="493"/>
      <c r="R100" s="454"/>
      <c r="S100" s="454"/>
      <c r="T100" s="454"/>
      <c r="U100" s="454"/>
      <c r="V100" s="454"/>
      <c r="W100" s="455" t="e">
        <f>AD94*0.9825</f>
        <v>#REF!</v>
      </c>
      <c r="X100" s="456"/>
      <c r="Y100" s="456"/>
      <c r="Z100" s="457"/>
      <c r="AA100" s="443">
        <v>0.097</v>
      </c>
      <c r="AB100" s="444"/>
      <c r="AC100" s="445"/>
      <c r="AD100" s="455" t="e">
        <f>W100*AA100</f>
        <v>#REF!</v>
      </c>
      <c r="AE100" s="456"/>
      <c r="AF100" s="456"/>
      <c r="AG100" s="457"/>
      <c r="AH100" s="76"/>
      <c r="AI100" s="5"/>
      <c r="AJ100" s="5"/>
      <c r="AK100" s="5"/>
      <c r="AL100" s="5"/>
      <c r="AM100" s="5"/>
      <c r="AN100" s="5"/>
      <c r="AY100" s="27"/>
      <c r="AZ100" s="27"/>
      <c r="BA100" s="27"/>
      <c r="BB100" s="27"/>
      <c r="BC100" s="27"/>
      <c r="BD100" s="27"/>
      <c r="BE100" s="27"/>
      <c r="BF100" s="27"/>
      <c r="BG100" s="27"/>
    </row>
    <row r="101" spans="6:48" ht="21">
      <c r="F101" s="428" t="s">
        <v>86</v>
      </c>
      <c r="G101" s="429"/>
      <c r="H101" s="429"/>
      <c r="I101" s="429"/>
      <c r="J101" s="429"/>
      <c r="K101" s="429"/>
      <c r="L101" s="429"/>
      <c r="M101" s="429"/>
      <c r="N101" s="429"/>
      <c r="O101" s="429"/>
      <c r="P101" s="430"/>
      <c r="Q101" s="484" t="e">
        <f>AD96+Z81+AQ81+X83+AD101</f>
        <v>#REF!</v>
      </c>
      <c r="R101" s="485"/>
      <c r="S101" s="486"/>
      <c r="T101" s="494" t="str">
        <f>IF(BC4="C.D.D","","Indemnité conventionnelle de rupture")</f>
        <v>Indemnité conventionnelle de rupture</v>
      </c>
      <c r="U101" s="495"/>
      <c r="V101" s="495"/>
      <c r="W101" s="495"/>
      <c r="X101" s="495"/>
      <c r="Y101" s="495"/>
      <c r="Z101" s="495"/>
      <c r="AA101" s="495"/>
      <c r="AB101" s="495"/>
      <c r="AC101" s="496"/>
      <c r="AD101" s="505"/>
      <c r="AE101" s="506"/>
      <c r="AF101" s="506"/>
      <c r="AG101" s="507"/>
      <c r="AH101" s="77"/>
      <c r="AI101" s="78"/>
      <c r="AJ101" s="78"/>
      <c r="AK101" s="78"/>
      <c r="AL101" s="78"/>
      <c r="AM101" s="78"/>
      <c r="AN101" s="78"/>
      <c r="AO101" s="60"/>
      <c r="AP101" s="60"/>
      <c r="AQ101" s="60"/>
      <c r="AR101" s="60"/>
      <c r="AS101" s="60"/>
      <c r="AT101" s="187"/>
      <c r="AU101" s="187"/>
      <c r="AV101" s="60"/>
    </row>
    <row r="103" spans="6:48" ht="24.75" customHeight="1">
      <c r="F103" s="437" t="s">
        <v>94</v>
      </c>
      <c r="G103" s="438"/>
      <c r="H103" s="438"/>
      <c r="I103" s="438"/>
      <c r="J103" s="438"/>
      <c r="K103" s="438"/>
      <c r="L103" s="438"/>
      <c r="M103" s="439"/>
      <c r="N103" s="446" t="s">
        <v>95</v>
      </c>
      <c r="O103" s="447"/>
      <c r="P103" s="447"/>
      <c r="Q103" s="447"/>
      <c r="R103" s="447"/>
      <c r="S103" s="447"/>
      <c r="T103" s="447"/>
      <c r="U103" s="447"/>
      <c r="V103" s="448"/>
      <c r="W103" s="471"/>
      <c r="X103" s="472"/>
      <c r="Y103" s="472"/>
      <c r="Z103" s="472"/>
      <c r="AA103" s="465" t="s">
        <v>96</v>
      </c>
      <c r="AB103" s="466"/>
      <c r="AC103" s="466"/>
      <c r="AD103" s="466"/>
      <c r="AE103" s="466"/>
      <c r="AF103" s="466"/>
      <c r="AG103" s="467"/>
      <c r="AH103" s="465">
        <f>ROUNDUP(W103/4*2.5,0)</f>
        <v>0</v>
      </c>
      <c r="AI103" s="466"/>
      <c r="AJ103" s="467"/>
      <c r="AK103" s="513" t="s">
        <v>97</v>
      </c>
      <c r="AL103" s="514"/>
      <c r="AM103" s="514"/>
      <c r="AN103" s="514"/>
      <c r="AO103" s="514"/>
      <c r="AP103" s="514"/>
      <c r="AQ103" s="514"/>
      <c r="AR103" s="514"/>
      <c r="AS103" s="515"/>
      <c r="AT103" s="509"/>
      <c r="AU103" s="509"/>
      <c r="AV103" s="510"/>
    </row>
    <row r="104" spans="6:48" ht="24.75" customHeight="1">
      <c r="F104" s="440"/>
      <c r="G104" s="441"/>
      <c r="H104" s="441"/>
      <c r="I104" s="441"/>
      <c r="J104" s="441"/>
      <c r="K104" s="441"/>
      <c r="L104" s="441"/>
      <c r="M104" s="442"/>
      <c r="N104" s="449"/>
      <c r="O104" s="450"/>
      <c r="P104" s="450"/>
      <c r="Q104" s="450"/>
      <c r="R104" s="450"/>
      <c r="S104" s="450"/>
      <c r="T104" s="450"/>
      <c r="U104" s="450"/>
      <c r="V104" s="451"/>
      <c r="W104" s="473"/>
      <c r="X104" s="474"/>
      <c r="Y104" s="474"/>
      <c r="Z104" s="474"/>
      <c r="AA104" s="468"/>
      <c r="AB104" s="469"/>
      <c r="AC104" s="469"/>
      <c r="AD104" s="469"/>
      <c r="AE104" s="469"/>
      <c r="AF104" s="469"/>
      <c r="AG104" s="470"/>
      <c r="AH104" s="468"/>
      <c r="AI104" s="469"/>
      <c r="AJ104" s="470"/>
      <c r="AK104" s="516"/>
      <c r="AL104" s="517"/>
      <c r="AM104" s="517"/>
      <c r="AN104" s="517"/>
      <c r="AO104" s="517"/>
      <c r="AP104" s="517"/>
      <c r="AQ104" s="517"/>
      <c r="AR104" s="517"/>
      <c r="AS104" s="518"/>
      <c r="AT104" s="511"/>
      <c r="AU104" s="511"/>
      <c r="AV104" s="512"/>
    </row>
    <row r="106" spans="6:48" ht="24.75" customHeight="1">
      <c r="F106" s="431" t="s">
        <v>98</v>
      </c>
      <c r="G106" s="432"/>
      <c r="H106" s="432"/>
      <c r="I106" s="432"/>
      <c r="J106" s="432"/>
      <c r="K106" s="432"/>
      <c r="L106" s="432"/>
      <c r="M106" s="433"/>
      <c r="N106" s="475" t="s">
        <v>104</v>
      </c>
      <c r="O106" s="476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  <c r="AB106" s="476"/>
      <c r="AC106" s="476"/>
      <c r="AD106" s="476"/>
      <c r="AE106" s="476"/>
      <c r="AF106" s="476"/>
      <c r="AG106" s="477"/>
      <c r="AH106" s="422"/>
      <c r="AI106" s="423"/>
      <c r="AJ106" s="424"/>
      <c r="AK106" s="500" t="s">
        <v>105</v>
      </c>
      <c r="AL106" s="501"/>
      <c r="AM106" s="501"/>
      <c r="AN106" s="501"/>
      <c r="AO106" s="501"/>
      <c r="AP106" s="501"/>
      <c r="AQ106" s="501"/>
      <c r="AR106" s="501"/>
      <c r="AS106" s="501"/>
      <c r="AT106" s="459"/>
      <c r="AU106" s="460"/>
      <c r="AV106" s="461"/>
    </row>
    <row r="107" spans="6:48" ht="24.75" customHeight="1">
      <c r="F107" s="434"/>
      <c r="G107" s="435"/>
      <c r="H107" s="435"/>
      <c r="I107" s="435"/>
      <c r="J107" s="435"/>
      <c r="K107" s="435"/>
      <c r="L107" s="435"/>
      <c r="M107" s="436"/>
      <c r="N107" s="478"/>
      <c r="O107" s="479"/>
      <c r="P107" s="479"/>
      <c r="Q107" s="479"/>
      <c r="R107" s="479"/>
      <c r="S107" s="479"/>
      <c r="T107" s="479"/>
      <c r="U107" s="479"/>
      <c r="V107" s="479"/>
      <c r="W107" s="479"/>
      <c r="X107" s="479"/>
      <c r="Y107" s="479"/>
      <c r="Z107" s="479"/>
      <c r="AA107" s="479"/>
      <c r="AB107" s="479"/>
      <c r="AC107" s="479"/>
      <c r="AD107" s="479"/>
      <c r="AE107" s="479"/>
      <c r="AF107" s="479"/>
      <c r="AG107" s="480"/>
      <c r="AH107" s="425"/>
      <c r="AI107" s="426"/>
      <c r="AJ107" s="427"/>
      <c r="AK107" s="502"/>
      <c r="AL107" s="503"/>
      <c r="AM107" s="503"/>
      <c r="AN107" s="503"/>
      <c r="AO107" s="503"/>
      <c r="AP107" s="503"/>
      <c r="AQ107" s="503"/>
      <c r="AR107" s="503"/>
      <c r="AS107" s="503"/>
      <c r="AT107" s="462"/>
      <c r="AU107" s="463"/>
      <c r="AV107" s="464"/>
    </row>
    <row r="109" spans="19:21" ht="15">
      <c r="S109" s="421"/>
      <c r="T109" s="421"/>
      <c r="U109" s="421"/>
    </row>
  </sheetData>
  <sheetProtection selectLockedCells="1"/>
  <mergeCells count="471">
    <mergeCell ref="AP23:AR23"/>
    <mergeCell ref="AP22:AR22"/>
    <mergeCell ref="AP21:AR21"/>
    <mergeCell ref="AP20:AR20"/>
    <mergeCell ref="AP19:AR19"/>
    <mergeCell ref="U16:W16"/>
    <mergeCell ref="AL18:AO18"/>
    <mergeCell ref="AL19:AO19"/>
    <mergeCell ref="X19:Z19"/>
    <mergeCell ref="X20:Z20"/>
    <mergeCell ref="AG14:AG16"/>
    <mergeCell ref="U17:W17"/>
    <mergeCell ref="X17:Z17"/>
    <mergeCell ref="AP14:AR16"/>
    <mergeCell ref="AP17:AR17"/>
    <mergeCell ref="AL14:AO16"/>
    <mergeCell ref="AH14:AK16"/>
    <mergeCell ref="AH17:AK17"/>
    <mergeCell ref="AD16:AF16"/>
    <mergeCell ref="R24:T24"/>
    <mergeCell ref="R22:T22"/>
    <mergeCell ref="R18:T18"/>
    <mergeCell ref="Q14:Q16"/>
    <mergeCell ref="R20:T20"/>
    <mergeCell ref="U14:AF15"/>
    <mergeCell ref="O15:P15"/>
    <mergeCell ref="D15:E15"/>
    <mergeCell ref="F15:G15"/>
    <mergeCell ref="J14:J16"/>
    <mergeCell ref="R14:T16"/>
    <mergeCell ref="R17:T17"/>
    <mergeCell ref="F96:AC96"/>
    <mergeCell ref="AD94:AG94"/>
    <mergeCell ref="W94:AC94"/>
    <mergeCell ref="S94:V94"/>
    <mergeCell ref="AA87:AC87"/>
    <mergeCell ref="F95:AC95"/>
    <mergeCell ref="AD56:AF56"/>
    <mergeCell ref="U23:W23"/>
    <mergeCell ref="X23:Z23"/>
    <mergeCell ref="AA23:AC23"/>
    <mergeCell ref="AD23:AF23"/>
    <mergeCell ref="U47:W47"/>
    <mergeCell ref="X49:Z49"/>
    <mergeCell ref="U24:W24"/>
    <mergeCell ref="AD27:AF27"/>
    <mergeCell ref="AD49:AF49"/>
    <mergeCell ref="AH103:AJ104"/>
    <mergeCell ref="AQ83:AR83"/>
    <mergeCell ref="AT103:AV104"/>
    <mergeCell ref="AK103:AS104"/>
    <mergeCell ref="AP59:AS59"/>
    <mergeCell ref="AP25:AS25"/>
    <mergeCell ref="AH25:AK25"/>
    <mergeCell ref="AT58:AV58"/>
    <mergeCell ref="AP27:AR27"/>
    <mergeCell ref="AL28:AO28"/>
    <mergeCell ref="AP24:AR24"/>
    <mergeCell ref="AD95:AG95"/>
    <mergeCell ref="AK106:AS107"/>
    <mergeCell ref="AT59:AV59"/>
    <mergeCell ref="AQ81:AR81"/>
    <mergeCell ref="Z81:AA81"/>
    <mergeCell ref="AP58:AS58"/>
    <mergeCell ref="AD97:AG97"/>
    <mergeCell ref="AD99:AG99"/>
    <mergeCell ref="AD101:AG101"/>
    <mergeCell ref="Q101:S101"/>
    <mergeCell ref="W98:Z98"/>
    <mergeCell ref="W99:Z99"/>
    <mergeCell ref="AA99:AC99"/>
    <mergeCell ref="F100:Q100"/>
    <mergeCell ref="T101:AC101"/>
    <mergeCell ref="R98:V98"/>
    <mergeCell ref="F97:V97"/>
    <mergeCell ref="AD100:AG100"/>
    <mergeCell ref="AA97:AC97"/>
    <mergeCell ref="AT106:AV107"/>
    <mergeCell ref="AA103:AG104"/>
    <mergeCell ref="W103:Z104"/>
    <mergeCell ref="N106:AG107"/>
    <mergeCell ref="W100:Z100"/>
    <mergeCell ref="F98:Q99"/>
    <mergeCell ref="R100:V100"/>
    <mergeCell ref="S109:U109"/>
    <mergeCell ref="AH106:AJ107"/>
    <mergeCell ref="F101:P101"/>
    <mergeCell ref="F106:M107"/>
    <mergeCell ref="F103:M104"/>
    <mergeCell ref="AA98:AC98"/>
    <mergeCell ref="N103:V104"/>
    <mergeCell ref="AD98:AG98"/>
    <mergeCell ref="R99:V99"/>
    <mergeCell ref="AA100:AC100"/>
    <mergeCell ref="AD96:AG96"/>
    <mergeCell ref="B14:B24"/>
    <mergeCell ref="AQ85:AR85"/>
    <mergeCell ref="U22:W22"/>
    <mergeCell ref="Y85:AA85"/>
    <mergeCell ref="W97:Z97"/>
    <mergeCell ref="R57:T57"/>
    <mergeCell ref="R53:T53"/>
    <mergeCell ref="U52:W52"/>
    <mergeCell ref="AD57:AF57"/>
    <mergeCell ref="L89:M89"/>
    <mergeCell ref="L81:M81"/>
    <mergeCell ref="N81:O81"/>
    <mergeCell ref="W89:Z89"/>
    <mergeCell ref="AF89:AL89"/>
    <mergeCell ref="X83:Y83"/>
    <mergeCell ref="P82:Q82"/>
    <mergeCell ref="P81:Q81"/>
    <mergeCell ref="P88:Q88"/>
    <mergeCell ref="P87:Q87"/>
    <mergeCell ref="AA57:AC57"/>
    <mergeCell ref="R50:T50"/>
    <mergeCell ref="U51:W51"/>
    <mergeCell ref="U53:W53"/>
    <mergeCell ref="AA53:AC53"/>
    <mergeCell ref="X51:Z51"/>
    <mergeCell ref="R56:T56"/>
    <mergeCell ref="U56:W56"/>
    <mergeCell ref="X56:Z56"/>
    <mergeCell ref="AA56:AC56"/>
    <mergeCell ref="AO5:AR5"/>
    <mergeCell ref="AO10:AR10"/>
    <mergeCell ref="AO12:AR12"/>
    <mergeCell ref="AA21:AC21"/>
    <mergeCell ref="AA22:AC22"/>
    <mergeCell ref="U21:W21"/>
    <mergeCell ref="U20:W20"/>
    <mergeCell ref="U19:W19"/>
    <mergeCell ref="U18:W18"/>
    <mergeCell ref="X18:Z18"/>
    <mergeCell ref="AY42:BG42"/>
    <mergeCell ref="AD41:AF41"/>
    <mergeCell ref="AA41:AC41"/>
    <mergeCell ref="AD35:AF35"/>
    <mergeCell ref="AD42:AF42"/>
    <mergeCell ref="AD40:AF40"/>
    <mergeCell ref="AA37:AC37"/>
    <mergeCell ref="AD37:AF37"/>
    <mergeCell ref="AA35:AC35"/>
    <mergeCell ref="AD39:AF39"/>
    <mergeCell ref="AL21:AO21"/>
    <mergeCell ref="AL17:AO17"/>
    <mergeCell ref="AH21:AK21"/>
    <mergeCell ref="AH20:AK20"/>
    <mergeCell ref="AL24:AO24"/>
    <mergeCell ref="AH22:AK22"/>
    <mergeCell ref="AH23:AK23"/>
    <mergeCell ref="AH24:AK24"/>
    <mergeCell ref="AD19:AF19"/>
    <mergeCell ref="AD24:AF24"/>
    <mergeCell ref="X22:Z22"/>
    <mergeCell ref="AA18:AC18"/>
    <mergeCell ref="AA19:AC19"/>
    <mergeCell ref="AA20:AC20"/>
    <mergeCell ref="AD20:AF20"/>
    <mergeCell ref="AD21:AF21"/>
    <mergeCell ref="AD22:AF22"/>
    <mergeCell ref="X21:Z21"/>
    <mergeCell ref="AY1:BG2"/>
    <mergeCell ref="BD4:BK4"/>
    <mergeCell ref="BG9:BJ10"/>
    <mergeCell ref="BG13:BJ14"/>
    <mergeCell ref="AY24:BC24"/>
    <mergeCell ref="BD24:BE24"/>
    <mergeCell ref="AA45:AC45"/>
    <mergeCell ref="U45:W45"/>
    <mergeCell ref="AA44:AC44"/>
    <mergeCell ref="AL25:AO25"/>
    <mergeCell ref="B1:AR2"/>
    <mergeCell ref="R44:T44"/>
    <mergeCell ref="C14:C16"/>
    <mergeCell ref="X24:Z24"/>
    <mergeCell ref="AA24:AC24"/>
    <mergeCell ref="R42:T42"/>
    <mergeCell ref="B4:L4"/>
    <mergeCell ref="Q7:V7"/>
    <mergeCell ref="Q9:V9"/>
    <mergeCell ref="P10:Q10"/>
    <mergeCell ref="AA27:AC27"/>
    <mergeCell ref="B10:L12"/>
    <mergeCell ref="AA25:AC25"/>
    <mergeCell ref="R23:T23"/>
    <mergeCell ref="H15:I15"/>
    <mergeCell ref="D14:I14"/>
    <mergeCell ref="R43:T43"/>
    <mergeCell ref="U42:W42"/>
    <mergeCell ref="R45:T45"/>
    <mergeCell ref="AP18:AR18"/>
    <mergeCell ref="AA51:AC51"/>
    <mergeCell ref="X50:Z50"/>
    <mergeCell ref="U49:W49"/>
    <mergeCell ref="R47:T47"/>
    <mergeCell ref="U50:W50"/>
    <mergeCell ref="X41:Z41"/>
    <mergeCell ref="AD45:AF45"/>
    <mergeCell ref="X44:Z44"/>
    <mergeCell ref="X45:Z45"/>
    <mergeCell ref="U44:W44"/>
    <mergeCell ref="AA54:AC54"/>
    <mergeCell ref="AA52:AC52"/>
    <mergeCell ref="AD46:AF46"/>
    <mergeCell ref="X46:Z46"/>
    <mergeCell ref="AD53:AF53"/>
    <mergeCell ref="AA50:AC50"/>
    <mergeCell ref="R38:T38"/>
    <mergeCell ref="U39:W39"/>
    <mergeCell ref="R40:T40"/>
    <mergeCell ref="AD36:AF36"/>
    <mergeCell ref="U36:W36"/>
    <mergeCell ref="X36:Z36"/>
    <mergeCell ref="R36:T36"/>
    <mergeCell ref="U38:W38"/>
    <mergeCell ref="AA36:AC36"/>
    <mergeCell ref="AA38:AC38"/>
    <mergeCell ref="M4:AA4"/>
    <mergeCell ref="U35:W35"/>
    <mergeCell ref="X35:Z35"/>
    <mergeCell ref="R19:T19"/>
    <mergeCell ref="R21:T21"/>
    <mergeCell ref="R35:T35"/>
    <mergeCell ref="AA34:AC34"/>
    <mergeCell ref="K14:P14"/>
    <mergeCell ref="K15:L15"/>
    <mergeCell ref="M15:N15"/>
    <mergeCell ref="R37:T37"/>
    <mergeCell ref="U54:W54"/>
    <mergeCell ref="X54:Z54"/>
    <mergeCell ref="X53:Z53"/>
    <mergeCell ref="AA40:AC40"/>
    <mergeCell ref="AA39:AC39"/>
    <mergeCell ref="R54:T54"/>
    <mergeCell ref="X37:Z37"/>
    <mergeCell ref="AA48:AC48"/>
    <mergeCell ref="X38:Z38"/>
    <mergeCell ref="AB4:AR4"/>
    <mergeCell ref="AO6:AR6"/>
    <mergeCell ref="AO7:AR7"/>
    <mergeCell ref="AO8:AR8"/>
    <mergeCell ref="AO9:AR9"/>
    <mergeCell ref="AL34:AO34"/>
    <mergeCell ref="AH18:AK18"/>
    <mergeCell ref="AH19:AK19"/>
    <mergeCell ref="AL22:AO22"/>
    <mergeCell ref="AL23:AO23"/>
    <mergeCell ref="U37:W37"/>
    <mergeCell ref="AD38:AF38"/>
    <mergeCell ref="X48:Z48"/>
    <mergeCell ref="X39:Z39"/>
    <mergeCell ref="X47:Z47"/>
    <mergeCell ref="U40:W40"/>
    <mergeCell ref="X40:Z40"/>
    <mergeCell ref="X42:Z42"/>
    <mergeCell ref="AA42:AC42"/>
    <mergeCell ref="AA43:AC43"/>
    <mergeCell ref="B53:B57"/>
    <mergeCell ref="AA46:AC46"/>
    <mergeCell ref="R51:T51"/>
    <mergeCell ref="AA58:AC58"/>
    <mergeCell ref="R59:T59"/>
    <mergeCell ref="R58:T58"/>
    <mergeCell ref="U57:W57"/>
    <mergeCell ref="R49:T49"/>
    <mergeCell ref="AA47:AC47"/>
    <mergeCell ref="X57:Z57"/>
    <mergeCell ref="U46:W46"/>
    <mergeCell ref="R46:T46"/>
    <mergeCell ref="AD54:AF54"/>
    <mergeCell ref="AD55:AF55"/>
    <mergeCell ref="AH55:AK55"/>
    <mergeCell ref="R55:T55"/>
    <mergeCell ref="U55:W55"/>
    <mergeCell ref="X55:Z55"/>
    <mergeCell ref="AA55:AC55"/>
    <mergeCell ref="AD48:AF48"/>
    <mergeCell ref="U41:W41"/>
    <mergeCell ref="U43:W43"/>
    <mergeCell ref="B26:B33"/>
    <mergeCell ref="AD47:AF47"/>
    <mergeCell ref="R39:T39"/>
    <mergeCell ref="R48:T48"/>
    <mergeCell ref="X27:Z27"/>
    <mergeCell ref="B35:B42"/>
    <mergeCell ref="U48:W48"/>
    <mergeCell ref="B44:B51"/>
    <mergeCell ref="AA49:AC49"/>
    <mergeCell ref="AL27:AO27"/>
    <mergeCell ref="P8:U8"/>
    <mergeCell ref="O7:P7"/>
    <mergeCell ref="U59:W59"/>
    <mergeCell ref="R27:T27"/>
    <mergeCell ref="U27:W27"/>
    <mergeCell ref="R30:T30"/>
    <mergeCell ref="R52:T52"/>
    <mergeCell ref="R41:T41"/>
    <mergeCell ref="AL20:AO20"/>
    <mergeCell ref="AY51:BC51"/>
    <mergeCell ref="AD26:AF26"/>
    <mergeCell ref="AH26:AK26"/>
    <mergeCell ref="AL26:AO26"/>
    <mergeCell ref="AP26:AR26"/>
    <mergeCell ref="AH34:AK34"/>
    <mergeCell ref="AD51:AF51"/>
    <mergeCell ref="AD50:AF50"/>
    <mergeCell ref="AD44:AF44"/>
    <mergeCell ref="U58:W58"/>
    <mergeCell ref="P93:Q93"/>
    <mergeCell ref="P92:Q92"/>
    <mergeCell ref="P91:Q91"/>
    <mergeCell ref="P90:Q90"/>
    <mergeCell ref="P89:Q89"/>
    <mergeCell ref="P86:Q86"/>
    <mergeCell ref="P85:Q85"/>
    <mergeCell ref="P84:Q84"/>
    <mergeCell ref="P83:Q83"/>
    <mergeCell ref="R26:T26"/>
    <mergeCell ref="U26:W26"/>
    <mergeCell ref="X26:Z26"/>
    <mergeCell ref="AA26:AC26"/>
    <mergeCell ref="X16:Z16"/>
    <mergeCell ref="AH27:AK27"/>
    <mergeCell ref="AA16:AC16"/>
    <mergeCell ref="AA17:AC17"/>
    <mergeCell ref="AD17:AF17"/>
    <mergeCell ref="AD18:AF18"/>
    <mergeCell ref="R28:T28"/>
    <mergeCell ref="U28:W28"/>
    <mergeCell ref="X28:Z28"/>
    <mergeCell ref="AA28:AC28"/>
    <mergeCell ref="AD28:AF28"/>
    <mergeCell ref="AH28:AK28"/>
    <mergeCell ref="R29:T29"/>
    <mergeCell ref="U29:W29"/>
    <mergeCell ref="X29:Z29"/>
    <mergeCell ref="AA29:AC29"/>
    <mergeCell ref="AD29:AF29"/>
    <mergeCell ref="AH29:AK29"/>
    <mergeCell ref="X30:Z30"/>
    <mergeCell ref="AA30:AC30"/>
    <mergeCell ref="AD30:AF30"/>
    <mergeCell ref="AH30:AK30"/>
    <mergeCell ref="AL30:AO30"/>
    <mergeCell ref="AP28:AR28"/>
    <mergeCell ref="AL29:AO29"/>
    <mergeCell ref="AP29:AR29"/>
    <mergeCell ref="AP30:AR30"/>
    <mergeCell ref="R31:T31"/>
    <mergeCell ref="U31:W31"/>
    <mergeCell ref="X31:Z31"/>
    <mergeCell ref="AA31:AC31"/>
    <mergeCell ref="AD31:AF31"/>
    <mergeCell ref="AH31:AK31"/>
    <mergeCell ref="AL31:AO31"/>
    <mergeCell ref="AP31:AR31"/>
    <mergeCell ref="U30:W30"/>
    <mergeCell ref="R32:T32"/>
    <mergeCell ref="U32:W32"/>
    <mergeCell ref="X32:Z32"/>
    <mergeCell ref="AA32:AC32"/>
    <mergeCell ref="AD32:AF32"/>
    <mergeCell ref="AH32:AK32"/>
    <mergeCell ref="AL32:AO32"/>
    <mergeCell ref="AP32:AR32"/>
    <mergeCell ref="R33:T33"/>
    <mergeCell ref="U33:W33"/>
    <mergeCell ref="X33:Z33"/>
    <mergeCell ref="AA33:AC33"/>
    <mergeCell ref="AD33:AF33"/>
    <mergeCell ref="AH33:AK33"/>
    <mergeCell ref="AL33:AO33"/>
    <mergeCell ref="AP33:AR33"/>
    <mergeCell ref="AH35:AK35"/>
    <mergeCell ref="AL35:AO35"/>
    <mergeCell ref="AP35:AR35"/>
    <mergeCell ref="AH36:AK36"/>
    <mergeCell ref="AL36:AO36"/>
    <mergeCell ref="AP36:AR36"/>
    <mergeCell ref="AL37:AO37"/>
    <mergeCell ref="AP37:AR37"/>
    <mergeCell ref="AH38:AK38"/>
    <mergeCell ref="AL38:AO38"/>
    <mergeCell ref="AP38:AR38"/>
    <mergeCell ref="AH39:AK39"/>
    <mergeCell ref="AL39:AO39"/>
    <mergeCell ref="AP39:AR39"/>
    <mergeCell ref="AH37:AK37"/>
    <mergeCell ref="AL40:AO40"/>
    <mergeCell ref="AP40:AR40"/>
    <mergeCell ref="AH41:AK41"/>
    <mergeCell ref="AL41:AO41"/>
    <mergeCell ref="AP41:AR41"/>
    <mergeCell ref="AH42:AK42"/>
    <mergeCell ref="AL42:AO42"/>
    <mergeCell ref="AP42:AR42"/>
    <mergeCell ref="AH40:AK40"/>
    <mergeCell ref="AH44:AK44"/>
    <mergeCell ref="AL44:AO44"/>
    <mergeCell ref="AP44:AR44"/>
    <mergeCell ref="AH45:AK45"/>
    <mergeCell ref="AL45:AO45"/>
    <mergeCell ref="AP45:AR45"/>
    <mergeCell ref="AH46:AK46"/>
    <mergeCell ref="AL46:AO46"/>
    <mergeCell ref="AP46:AR46"/>
    <mergeCell ref="AH47:AK47"/>
    <mergeCell ref="AL47:AO47"/>
    <mergeCell ref="AP47:AR47"/>
    <mergeCell ref="AH48:AK48"/>
    <mergeCell ref="AL48:AO48"/>
    <mergeCell ref="AP48:AR48"/>
    <mergeCell ref="AH49:AK49"/>
    <mergeCell ref="AL49:AO49"/>
    <mergeCell ref="AP49:AR49"/>
    <mergeCell ref="AH50:AK50"/>
    <mergeCell ref="AL50:AO50"/>
    <mergeCell ref="AP50:AR50"/>
    <mergeCell ref="AH51:AK51"/>
    <mergeCell ref="AL51:AO51"/>
    <mergeCell ref="AP51:AR51"/>
    <mergeCell ref="AH53:AK53"/>
    <mergeCell ref="AL53:AO53"/>
    <mergeCell ref="AP53:AR53"/>
    <mergeCell ref="AH54:AK54"/>
    <mergeCell ref="AL54:AO54"/>
    <mergeCell ref="AP54:AR54"/>
    <mergeCell ref="AP55:AR55"/>
    <mergeCell ref="AH56:AK56"/>
    <mergeCell ref="AL56:AO56"/>
    <mergeCell ref="AP56:AR56"/>
    <mergeCell ref="AH57:AK57"/>
    <mergeCell ref="AL57:AO57"/>
    <mergeCell ref="AP57:AR57"/>
    <mergeCell ref="AL55:AO55"/>
    <mergeCell ref="F61:L61"/>
    <mergeCell ref="M61:AK61"/>
    <mergeCell ref="B80:I80"/>
    <mergeCell ref="J80:K80"/>
    <mergeCell ref="N80:O80"/>
    <mergeCell ref="P80:Q80"/>
    <mergeCell ref="R80:AR80"/>
    <mergeCell ref="J87:K87"/>
    <mergeCell ref="J86:K86"/>
    <mergeCell ref="J85:K85"/>
    <mergeCell ref="J83:K83"/>
    <mergeCell ref="J93:K93"/>
    <mergeCell ref="L80:M80"/>
    <mergeCell ref="L93:M93"/>
    <mergeCell ref="L92:M92"/>
    <mergeCell ref="L91:M91"/>
    <mergeCell ref="L90:M90"/>
    <mergeCell ref="L87:M87"/>
    <mergeCell ref="L86:M86"/>
    <mergeCell ref="L85:M85"/>
    <mergeCell ref="L84:M84"/>
    <mergeCell ref="L83:M83"/>
    <mergeCell ref="L82:M82"/>
    <mergeCell ref="N93:O93"/>
    <mergeCell ref="N92:O92"/>
    <mergeCell ref="N91:O91"/>
    <mergeCell ref="N90:O90"/>
    <mergeCell ref="N89:O89"/>
    <mergeCell ref="N88:O88"/>
    <mergeCell ref="N87:O87"/>
    <mergeCell ref="N86:O86"/>
    <mergeCell ref="N85:O85"/>
    <mergeCell ref="N84:O84"/>
    <mergeCell ref="N83:O83"/>
    <mergeCell ref="N82:O82"/>
  </mergeCells>
  <conditionalFormatting sqref="BD24">
    <cfRule type="expression" priority="94" dxfId="35" stopIfTrue="1">
      <formula>LEN($AY$24)</formula>
    </cfRule>
  </conditionalFormatting>
  <conditionalFormatting sqref="AZ27">
    <cfRule type="expression" priority="93" dxfId="36" stopIfTrue="1">
      <formula>LEN($BA$27)</formula>
    </cfRule>
  </conditionalFormatting>
  <conditionalFormatting sqref="AZ29">
    <cfRule type="expression" priority="92" dxfId="36" stopIfTrue="1">
      <formula>LEN($BA$29)</formula>
    </cfRule>
  </conditionalFormatting>
  <conditionalFormatting sqref="AY42:BG42">
    <cfRule type="containsBlanks" priority="89" dxfId="0" stopIfTrue="1">
      <formula>LEN(TRIM(AY42))=0</formula>
    </cfRule>
  </conditionalFormatting>
  <conditionalFormatting sqref="AZ45">
    <cfRule type="expression" priority="88" dxfId="36" stopIfTrue="1">
      <formula>LEN($BA$45)</formula>
    </cfRule>
  </conditionalFormatting>
  <conditionalFormatting sqref="AZ47">
    <cfRule type="expression" priority="87" dxfId="36" stopIfTrue="1">
      <formula>LEN($BA$47)</formula>
    </cfRule>
  </conditionalFormatting>
  <conditionalFormatting sqref="BF9:BF10">
    <cfRule type="expression" priority="98" dxfId="36" stopIfTrue="1">
      <formula>LEN($AZ$8)</formula>
    </cfRule>
  </conditionalFormatting>
  <conditionalFormatting sqref="BF13:BF14">
    <cfRule type="expression" priority="100" dxfId="36" stopIfTrue="1">
      <formula>LEN($AZ$12)</formula>
    </cfRule>
  </conditionalFormatting>
  <conditionalFormatting sqref="AG6">
    <cfRule type="expression" priority="105" dxfId="37" stopIfTrue="1">
      <formula>LEN($AA$6)</formula>
    </cfRule>
  </conditionalFormatting>
  <conditionalFormatting sqref="AO6">
    <cfRule type="expression" priority="82" dxfId="37" stopIfTrue="1">
      <formula>LEN($AB$6)</formula>
    </cfRule>
  </conditionalFormatting>
  <conditionalFormatting sqref="AO7">
    <cfRule type="expression" priority="81" dxfId="4" stopIfTrue="1">
      <formula>LEN($AB$7)</formula>
    </cfRule>
  </conditionalFormatting>
  <conditionalFormatting sqref="AY49">
    <cfRule type="expression" priority="78" dxfId="24" stopIfTrue="1">
      <formula>LEN($AY$42)</formula>
    </cfRule>
  </conditionalFormatting>
  <conditionalFormatting sqref="AT57:AV57 AT25:AV25 AH14:AK16 AT51:AV52 AV44:AV50 AT33:AV34 AV26:AV32 AT42:AV43 AV35:AV41 AV53:AV54 L82 P82 N82 P91 N91 AH23:AK24">
    <cfRule type="expression" priority="71" dxfId="0" stopIfTrue="1">
      <formula>LEN($AZ$8)</formula>
    </cfRule>
  </conditionalFormatting>
  <conditionalFormatting sqref="J83">
    <cfRule type="expression" priority="70" dxfId="0" stopIfTrue="1">
      <formula>LEN($AZ$8)</formula>
    </cfRule>
  </conditionalFormatting>
  <conditionalFormatting sqref="L83">
    <cfRule type="expression" priority="69" dxfId="8" stopIfTrue="1">
      <formula>LEN($AZ$8)</formula>
    </cfRule>
  </conditionalFormatting>
  <conditionalFormatting sqref="N83">
    <cfRule type="expression" priority="66" dxfId="8" stopIfTrue="1">
      <formula>LEN($AZ$8)</formula>
    </cfRule>
  </conditionalFormatting>
  <conditionalFormatting sqref="P83">
    <cfRule type="expression" priority="59" dxfId="8" stopIfTrue="1">
      <formula>LEN($AZ$8)</formula>
    </cfRule>
  </conditionalFormatting>
  <conditionalFormatting sqref="AD101">
    <cfRule type="expression" priority="55" dxfId="4" stopIfTrue="1">
      <formula>LEN($T$101)</formula>
    </cfRule>
  </conditionalFormatting>
  <conditionalFormatting sqref="AO12">
    <cfRule type="expression" priority="35" dxfId="8" stopIfTrue="1">
      <formula>LEN($AZ$8)</formula>
    </cfRule>
  </conditionalFormatting>
  <conditionalFormatting sqref="L87">
    <cfRule type="expression" priority="27" dxfId="0" stopIfTrue="1">
      <formula>LEN($AZ$8)</formula>
    </cfRule>
  </conditionalFormatting>
  <conditionalFormatting sqref="AY51">
    <cfRule type="containsBlanks" priority="22" dxfId="0" stopIfTrue="1">
      <formula>LEN(TRIM(AY51))=0</formula>
    </cfRule>
  </conditionalFormatting>
  <conditionalFormatting sqref="AZ54">
    <cfRule type="expression" priority="21" dxfId="36" stopIfTrue="1">
      <formula>LEN($BA$54)</formula>
    </cfRule>
  </conditionalFormatting>
  <conditionalFormatting sqref="AZ57">
    <cfRule type="expression" priority="20" dxfId="36" stopIfTrue="1">
      <formula>LEN($BA$57)</formula>
    </cfRule>
  </conditionalFormatting>
  <conditionalFormatting sqref="AK103:AV104 F103:AG104 F106:AV107">
    <cfRule type="expression" priority="18" dxfId="11" stopIfTrue="1">
      <formula>LEN($AZ$8)</formula>
    </cfRule>
  </conditionalFormatting>
  <conditionalFormatting sqref="AH103:AJ104">
    <cfRule type="expression" priority="15" dxfId="11" stopIfTrue="1">
      <formula>LEN($AZ$8)</formula>
    </cfRule>
  </conditionalFormatting>
  <conditionalFormatting sqref="AY61:BK62">
    <cfRule type="expression" priority="13" dxfId="10" stopIfTrue="1">
      <formula>LEN($AY$51)</formula>
    </cfRule>
  </conditionalFormatting>
  <conditionalFormatting sqref="AV55">
    <cfRule type="expression" priority="11" dxfId="0" stopIfTrue="1">
      <formula>LEN($AZ$8)</formula>
    </cfRule>
  </conditionalFormatting>
  <conditionalFormatting sqref="AL10:AM10">
    <cfRule type="expression" priority="10" dxfId="8" stopIfTrue="1">
      <formula>$AG$10=0</formula>
    </cfRule>
  </conditionalFormatting>
  <conditionalFormatting sqref="AO10">
    <cfRule type="expression" priority="9" dxfId="7" stopIfTrue="1">
      <formula>$AG$10&gt;0</formula>
    </cfRule>
  </conditionalFormatting>
  <conditionalFormatting sqref="AV56">
    <cfRule type="expression" priority="7" dxfId="0" stopIfTrue="1">
      <formula>LEN($AZ$8)</formula>
    </cfRule>
  </conditionalFormatting>
  <conditionalFormatting sqref="AG7">
    <cfRule type="expression" priority="511" dxfId="4" stopIfTrue="1">
      <formula>LEN($R$7)</formula>
    </cfRule>
  </conditionalFormatting>
  <conditionalFormatting sqref="AO5:AR5">
    <cfRule type="expression" priority="6" dxfId="4" stopIfTrue="1">
      <formula>LEN($AB$5)</formula>
    </cfRule>
  </conditionalFormatting>
  <conditionalFormatting sqref="AH33:AK33">
    <cfRule type="expression" priority="5" dxfId="0" stopIfTrue="1">
      <formula>LEN($AZ$8)</formula>
    </cfRule>
  </conditionalFormatting>
  <conditionalFormatting sqref="AH40:AK42">
    <cfRule type="expression" priority="4" dxfId="0" stopIfTrue="1">
      <formula>LEN($AZ$8)</formula>
    </cfRule>
  </conditionalFormatting>
  <conditionalFormatting sqref="AH44:AK51">
    <cfRule type="expression" priority="3" dxfId="0" stopIfTrue="1">
      <formula>LEN($AZ$8)</formula>
    </cfRule>
  </conditionalFormatting>
  <conditionalFormatting sqref="AH53:AK57">
    <cfRule type="expression" priority="1" dxfId="0" stopIfTrue="1">
      <formula>LEN($AZ$8)</formula>
    </cfRule>
  </conditionalFormatting>
  <printOptions horizontalCentered="1"/>
  <pageMargins left="0" right="0" top="0.1968503937007874" bottom="0.1968503937007874" header="0.1968503937007874" footer="0.1968503937007874"/>
  <pageSetup fitToHeight="2" horizontalDpi="300" verticalDpi="300" orientation="landscape" paperSize="9" scale="52" r:id="rId3"/>
  <headerFooter alignWithMargins="0">
    <oddFooter>&amp;R&amp;"Calibri,Normal"Copyright Janvier 2019 - Reproduction interdite - Tous droits réservés aux SYDAM SPE FO 03 et 15</oddFooter>
  </headerFooter>
  <rowBreaks count="1" manualBreakCount="1">
    <brk id="60" max="6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SYDAM SPE FO 03-15</dc:creator>
  <cp:keywords/>
  <dc:description/>
  <cp:lastModifiedBy>Admin</cp:lastModifiedBy>
  <cp:lastPrinted>2019-02-14T11:20:36Z</cp:lastPrinted>
  <dcterms:created xsi:type="dcterms:W3CDTF">2010-11-02T20:21:37Z</dcterms:created>
  <dcterms:modified xsi:type="dcterms:W3CDTF">2019-02-21T16:54:50Z</dcterms:modified>
  <cp:category/>
  <cp:version/>
  <cp:contentType/>
  <cp:contentStatus/>
</cp:coreProperties>
</file>