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FB5652F5-FE17-4978-8DC9-B4D1F2BF701D}" xr6:coauthVersionLast="40" xr6:coauthVersionMax="40" xr10:uidLastSave="{00000000-0000-0000-0000-000000000000}"/>
  <bookViews>
    <workbookView xWindow="0" yWindow="0" windowWidth="19200" windowHeight="10650" activeTab="1" xr2:uid="{00000000-000D-0000-FFFF-FFFF00000000}"/>
  </bookViews>
  <sheets>
    <sheet name="tcd" sheetId="2" r:id="rId1"/>
    <sheet name="Feuil1" sheetId="1" r:id="rId2"/>
  </sheets>
  <calcPr calcId="18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" i="1" l="1"/>
  <c r="U16" i="1"/>
  <c r="U5" i="1"/>
  <c r="U4" i="1"/>
  <c r="R34" i="1"/>
  <c r="I3" i="1"/>
  <c r="I4" i="1"/>
  <c r="I5" i="1"/>
  <c r="I6" i="1"/>
  <c r="I7" i="1"/>
  <c r="I2" i="1"/>
  <c r="G2" i="1"/>
  <c r="G7" i="1"/>
  <c r="G3" i="1"/>
  <c r="G4" i="1"/>
  <c r="G5" i="1"/>
  <c r="G6" i="1"/>
  <c r="F3" i="1"/>
  <c r="F4" i="1"/>
  <c r="F5" i="1"/>
  <c r="F6" i="1"/>
  <c r="F7" i="1"/>
  <c r="F2" i="1"/>
  <c r="W22" i="1" l="1"/>
  <c r="U7" i="1"/>
  <c r="U26" i="1" l="1"/>
  <c r="U25" i="1"/>
  <c r="U24" i="1"/>
  <c r="X11" i="1"/>
  <c r="X10" i="1"/>
  <c r="X9" i="1"/>
  <c r="X8" i="1"/>
  <c r="X7" i="1"/>
  <c r="X6" i="1"/>
  <c r="X5" i="1"/>
  <c r="R27" i="1"/>
  <c r="R29" i="1"/>
  <c r="R28" i="1"/>
  <c r="R26" i="1"/>
  <c r="R25" i="1"/>
  <c r="R31" i="1" l="1"/>
  <c r="U27" i="1"/>
  <c r="X13" i="1"/>
  <c r="R18" i="1"/>
  <c r="R17" i="1"/>
  <c r="R16" i="1"/>
  <c r="R11" i="1"/>
  <c r="R6" i="1"/>
  <c r="R5" i="1"/>
  <c r="R8" i="1" l="1"/>
  <c r="R20" i="1" l="1"/>
</calcChain>
</file>

<file path=xl/sharedStrings.xml><?xml version="1.0" encoding="utf-8"?>
<sst xmlns="http://schemas.openxmlformats.org/spreadsheetml/2006/main" count="117" uniqueCount="63">
  <si>
    <t>Nom</t>
  </si>
  <si>
    <t>sexe</t>
  </si>
  <si>
    <t>GIR</t>
  </si>
  <si>
    <t>autre</t>
  </si>
  <si>
    <t>aide à domicile</t>
  </si>
  <si>
    <t>SEXE</t>
  </si>
  <si>
    <t>h</t>
  </si>
  <si>
    <t>f</t>
  </si>
  <si>
    <t>total</t>
  </si>
  <si>
    <t>Moyenne d'âge</t>
  </si>
  <si>
    <t>Gir 4</t>
  </si>
  <si>
    <t>Gir 5</t>
  </si>
  <si>
    <t>Gir 6</t>
  </si>
  <si>
    <t>Age à l'entrée</t>
  </si>
  <si>
    <t>date d'entrée</t>
  </si>
  <si>
    <t>catégorie</t>
  </si>
  <si>
    <t>étudiant</t>
  </si>
  <si>
    <t>sénior</t>
  </si>
  <si>
    <t>cpn</t>
  </si>
  <si>
    <t>ars</t>
  </si>
  <si>
    <t>Catégorie</t>
  </si>
  <si>
    <t>Total</t>
  </si>
  <si>
    <t>toilette</t>
  </si>
  <si>
    <t>ménage</t>
  </si>
  <si>
    <t>toilette course</t>
  </si>
  <si>
    <t>course ménage</t>
  </si>
  <si>
    <t>toilette ménage</t>
  </si>
  <si>
    <t xml:space="preserve">course </t>
  </si>
  <si>
    <t>portage</t>
  </si>
  <si>
    <t>alarme</t>
  </si>
  <si>
    <t>tmc</t>
  </si>
  <si>
    <t>t</t>
  </si>
  <si>
    <t>m</t>
  </si>
  <si>
    <t>c</t>
  </si>
  <si>
    <t>tm</t>
  </si>
  <si>
    <t>tc</t>
  </si>
  <si>
    <t>cm</t>
  </si>
  <si>
    <t>portage alarme</t>
  </si>
  <si>
    <t>port/alarme</t>
  </si>
  <si>
    <t>p</t>
  </si>
  <si>
    <t>a</t>
  </si>
  <si>
    <t>pa</t>
  </si>
  <si>
    <t>date de naissance catégorie</t>
  </si>
  <si>
    <t>moyenne d'agé en fonction des catégories</t>
  </si>
  <si>
    <t>étudiants</t>
  </si>
  <si>
    <t>Age actuel</t>
  </si>
  <si>
    <t>durée du séjour</t>
  </si>
  <si>
    <t>Curatelle</t>
  </si>
  <si>
    <t>o</t>
  </si>
  <si>
    <t>n</t>
  </si>
  <si>
    <t>curatelle</t>
  </si>
  <si>
    <t>oui</t>
  </si>
  <si>
    <t>non</t>
  </si>
  <si>
    <t>arrivée/départ</t>
  </si>
  <si>
    <t>d</t>
  </si>
  <si>
    <t>Arrivée/départ dans l'année</t>
  </si>
  <si>
    <t>arrivée</t>
  </si>
  <si>
    <t>départ</t>
  </si>
  <si>
    <t>date de départ</t>
  </si>
  <si>
    <t>Étiquettes de lignes</t>
  </si>
  <si>
    <t>Total général</t>
  </si>
  <si>
    <t>Moyenne de Age actuel</t>
  </si>
  <si>
    <t>moyenne d'age /catégorie/sexe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</si>
</sst>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14" fontId="0" fillId="0" borderId="1" xfId="0" applyNumberFormat="1" applyBorder="1"/>
    <xf numFmtId="0" fontId="0" fillId="10" borderId="0" xfId="0" applyFill="1"/>
    <xf numFmtId="14" fontId="0" fillId="0" borderId="1" xfId="0" applyNumberFormat="1" applyBorder="1" applyAlignment="1">
      <alignment horizontal="right"/>
    </xf>
    <xf numFmtId="0" fontId="0" fillId="0" borderId="0" xfId="0" applyFill="1"/>
    <xf numFmtId="0" fontId="0" fillId="2" borderId="2" xfId="0" applyFill="1" applyBorder="1"/>
    <xf numFmtId="0" fontId="0" fillId="10" borderId="0" xfId="0" applyFill="1" applyBorder="1" applyAlignment="1">
      <alignment vertical="center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2" borderId="5" xfId="0" applyFill="1" applyBorder="1" applyAlignment="1">
      <alignment vertical="center"/>
    </xf>
    <xf numFmtId="0" fontId="0" fillId="7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9" borderId="5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6" borderId="5" xfId="0" applyFill="1" applyBorder="1" applyAlignment="1">
      <alignment vertical="center" wrapText="1" shrinkToFit="1"/>
    </xf>
    <xf numFmtId="0" fontId="0" fillId="6" borderId="6" xfId="0" applyFill="1" applyBorder="1" applyAlignment="1">
      <alignment vertical="center" wrapText="1" shrinkToFit="1"/>
    </xf>
    <xf numFmtId="0" fontId="0" fillId="0" borderId="7" xfId="0" applyBorder="1"/>
    <xf numFmtId="0" fontId="0" fillId="0" borderId="8" xfId="0" applyBorder="1"/>
    <xf numFmtId="14" fontId="0" fillId="0" borderId="8" xfId="0" applyNumberFormat="1" applyBorder="1"/>
    <xf numFmtId="0" fontId="0" fillId="0" borderId="9" xfId="0" applyBorder="1"/>
    <xf numFmtId="0" fontId="1" fillId="10" borderId="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vertic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11" borderId="0" xfId="0" applyFill="1"/>
  </cellXfs>
  <cellStyles count="1">
    <cellStyle name="Normal" xfId="0" builtinId="0"/>
  </cellStyles>
  <dxfs count="17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33CC"/>
      <color rgb="FFFF99FF"/>
      <color rgb="FF00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10</xdr:row>
      <xdr:rowOff>152400</xdr:rowOff>
    </xdr:from>
    <xdr:to>
      <xdr:col>6</xdr:col>
      <xdr:colOff>381000</xdr:colOff>
      <xdr:row>18</xdr:row>
      <xdr:rowOff>161925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C48D986-2D0C-4627-B8FF-7269B79CC9B4}"/>
            </a:ext>
          </a:extLst>
        </xdr:cNvPr>
        <xdr:cNvSpPr txBox="1"/>
      </xdr:nvSpPr>
      <xdr:spPr>
        <a:xfrm>
          <a:off x="3019425" y="2505075"/>
          <a:ext cx="4914900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/>
            <a:t>J'ai mis sous forme de tableau . Il s'incrémente au fur et a mesue que tu écris.quand tu auras écrit</a:t>
          </a:r>
          <a:r>
            <a:rPr lang="fr-BE" sz="1100" baseline="0"/>
            <a:t> le nom, et les dates, les autres operations se feront seules.</a:t>
          </a:r>
        </a:p>
        <a:p>
          <a:endParaRPr lang="fr-BE" sz="1100"/>
        </a:p>
        <a:p>
          <a:r>
            <a:rPr lang="fr-BE" sz="1100"/>
            <a:t>Resultats en W17</a:t>
          </a:r>
        </a:p>
        <a:p>
          <a:endParaRPr lang="fr-BE" sz="1100"/>
        </a:p>
        <a:p>
          <a:r>
            <a:rPr lang="fr-BE" sz="1100"/>
            <a:t>On peut aussi utiliser un TCD pour faire toutes tes stats.</a:t>
          </a:r>
          <a:r>
            <a:rPr lang="fr-BE" sz="1100" baseline="0"/>
            <a:t> Je t'ai mis un exemple</a:t>
          </a:r>
          <a:endParaRPr lang="fr-BE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3490.761593634263" createdVersion="6" refreshedVersion="6" minRefreshableVersion="3" recordCount="6" xr:uid="{8945D96B-F7B1-4BCA-A1CA-1F3B1E50F144}">
  <cacheSource type="worksheet">
    <worksheetSource name="Tableau1"/>
  </cacheSource>
  <cacheFields count="14">
    <cacheField name="Nom" numFmtId="0">
      <sharedItems containsNonDate="0" containsString="0" containsBlank="1"/>
    </cacheField>
    <cacheField name="sexe" numFmtId="0">
      <sharedItems count="2">
        <s v="h"/>
        <s v="f"/>
      </sharedItems>
    </cacheField>
    <cacheField name="catégorie" numFmtId="0">
      <sharedItems count="5">
        <s v="étudiant"/>
        <s v="sénior"/>
        <s v="cpn"/>
        <s v="ars"/>
        <s v="autre"/>
      </sharedItems>
    </cacheField>
    <cacheField name="date de naissance catégorie" numFmtId="14">
      <sharedItems containsSemiMixedTypes="0" containsNonDate="0" containsDate="1" containsString="0" minDate="1928-04-09T00:00:00" maxDate="2000-08-26T00:00:00"/>
    </cacheField>
    <cacheField name="date d'entrée" numFmtId="14">
      <sharedItems containsSemiMixedTypes="0" containsNonDate="0" containsDate="1" containsString="0" minDate="2016-11-26T00:00:00" maxDate="2019-01-11T00:00:00"/>
    </cacheField>
    <cacheField name="Age à l'entrée" numFmtId="0">
      <sharedItems containsSemiMixedTypes="0" containsString="0" containsNumber="1" containsInteger="1" minValue="18" maxValue="90"/>
    </cacheField>
    <cacheField name="Age actuel" numFmtId="0">
      <sharedItems containsSemiMixedTypes="0" containsString="0" containsNumber="1" containsInteger="1" minValue="18" maxValue="90"/>
    </cacheField>
    <cacheField name="GIR" numFmtId="0">
      <sharedItems containsSemiMixedTypes="0" containsString="0" containsNumber="1" containsInteger="1" minValue="4" maxValue="6"/>
    </cacheField>
    <cacheField name="durée du séjour" numFmtId="0">
      <sharedItems/>
    </cacheField>
    <cacheField name="aide à domicile" numFmtId="0">
      <sharedItems/>
    </cacheField>
    <cacheField name="portage alarme" numFmtId="0">
      <sharedItems/>
    </cacheField>
    <cacheField name="Curatelle" numFmtId="0">
      <sharedItems/>
    </cacheField>
    <cacheField name="arrivée/départ" numFmtId="0">
      <sharedItems containsBlank="1"/>
    </cacheField>
    <cacheField name="date de départ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m/>
    <x v="0"/>
    <x v="0"/>
    <d v="1950-03-05T00:00:00"/>
    <d v="2016-11-26T00:00:00"/>
    <n v="66"/>
    <n v="68"/>
    <n v="4"/>
    <s v="2ans1mois"/>
    <s v="t"/>
    <s v="p"/>
    <s v="o"/>
    <s v="a"/>
    <m/>
  </r>
  <r>
    <m/>
    <x v="0"/>
    <x v="1"/>
    <d v="1928-04-09T00:00:00"/>
    <d v="2019-01-10T00:00:00"/>
    <n v="90"/>
    <n v="90"/>
    <n v="4"/>
    <s v="0ans0mois"/>
    <s v="m"/>
    <s v="a"/>
    <s v="n"/>
    <m/>
    <m/>
  </r>
  <r>
    <m/>
    <x v="0"/>
    <x v="2"/>
    <d v="1937-12-08T00:00:00"/>
    <d v="2018-04-30T00:00:00"/>
    <n v="80"/>
    <n v="81"/>
    <n v="5"/>
    <s v="0ans8mois"/>
    <s v="c"/>
    <s v="pa"/>
    <s v="n"/>
    <s v="d"/>
    <m/>
  </r>
  <r>
    <m/>
    <x v="0"/>
    <x v="3"/>
    <d v="1945-10-15T00:00:00"/>
    <d v="2017-05-10T00:00:00"/>
    <n v="71"/>
    <n v="73"/>
    <n v="6"/>
    <s v="1ans8mois"/>
    <s v="tmc"/>
    <s v="a"/>
    <s v="n"/>
    <s v="d"/>
    <m/>
  </r>
  <r>
    <m/>
    <x v="1"/>
    <x v="4"/>
    <d v="1998-11-12T00:00:00"/>
    <d v="2018-09-18T00:00:00"/>
    <n v="19"/>
    <n v="20"/>
    <n v="4"/>
    <s v="0ans4mois"/>
    <s v="cm"/>
    <s v="a"/>
    <s v="o"/>
    <s v="a"/>
    <m/>
  </r>
  <r>
    <m/>
    <x v="1"/>
    <x v="3"/>
    <d v="2000-08-25T00:00:00"/>
    <d v="2018-09-13T00:00:00"/>
    <n v="18"/>
    <n v="18"/>
    <n v="5"/>
    <s v="0ans4mois"/>
    <s v="tm"/>
    <s v="p"/>
    <s v="o"/>
    <s v="d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1D0510-287D-40BE-9340-EA855E0D01C1}" name="Tableau croisé dynamique1" cacheId="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4:B9" firstHeaderRow="1" firstDataRow="1" firstDataCol="1" rowPageCount="1" colPageCount="1"/>
  <pivotFields count="14">
    <pivotField showAll="0"/>
    <pivotField axis="axisPage" showAll="0">
      <items count="3">
        <item x="1"/>
        <item x="0"/>
        <item t="default"/>
      </items>
    </pivotField>
    <pivotField axis="axisRow" showAll="0">
      <items count="6">
        <item x="3"/>
        <item x="4"/>
        <item x="2"/>
        <item x="0"/>
        <item x="1"/>
        <item t="default"/>
      </items>
    </pivotField>
    <pivotField numFmtId="14" showAll="0"/>
    <pivotField numFmtId="14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5">
    <i>
      <x/>
    </i>
    <i>
      <x v="2"/>
    </i>
    <i>
      <x v="3"/>
    </i>
    <i>
      <x v="4"/>
    </i>
    <i t="grand">
      <x/>
    </i>
  </rowItems>
  <colItems count="1">
    <i/>
  </colItems>
  <pageFields count="1">
    <pageField fld="1" item="1" hier="-1"/>
  </pageFields>
  <dataFields count="1">
    <dataField name="Moyenne de Age actuel" fld="6" subtotal="average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E6AF26-BAC7-4FD7-8558-379C6233E0D6}" name="Tableau1" displayName="Tableau1" ref="A1:N7" totalsRowShown="0" headerRowBorderDxfId="15" tableBorderDxfId="16" totalsRowBorderDxfId="14">
  <autoFilter ref="A1:N7" xr:uid="{DE0E48BE-7C67-4B2F-969A-02C150D19B55}"/>
  <tableColumns count="14">
    <tableColumn id="1" xr3:uid="{C2FEDB4B-9197-4291-BA8C-8A0BEA15059D}" name="Nom" dataDxfId="13"/>
    <tableColumn id="2" xr3:uid="{01A11209-8077-4B12-BB17-73F22FBEBDF1}" name="sexe" dataDxfId="12"/>
    <tableColumn id="3" xr3:uid="{823D04E2-44BA-4917-95E3-F76935144D24}" name="catégorie" dataDxfId="11"/>
    <tableColumn id="4" xr3:uid="{6656BB7F-3127-462B-81D0-61E2F7BCB36F}" name="date de naissance catégorie" dataDxfId="10"/>
    <tableColumn id="5" xr3:uid="{2DE159A9-7182-480D-8801-5067AB4877DF}" name="date d'entrée" dataDxfId="9"/>
    <tableColumn id="6" xr3:uid="{A9BC5F11-4C99-4A36-A6EF-42ED8212936F}" name="Age à l'entrée" dataDxfId="8">
      <calculatedColumnFormula>DATEDIF(D2,E2,"y")</calculatedColumnFormula>
    </tableColumn>
    <tableColumn id="7" xr3:uid="{26BC95C1-8095-431B-8D36-87AF96068C88}" name="Age actuel" dataDxfId="7">
      <calculatedColumnFormula>DATEDIF(D2,TODAY(),"y")</calculatedColumnFormula>
    </tableColumn>
    <tableColumn id="8" xr3:uid="{69D6D3FB-D374-4567-9F39-E5FB762EF423}" name="GIR" dataDxfId="6"/>
    <tableColumn id="9" xr3:uid="{3FDDFC1C-C605-43D4-B63E-9FC8974FE099}" name="durée du séjour" dataDxfId="5">
      <calculatedColumnFormula>DATEDIF(E2,TODAY(),"y")&amp;"ans"&amp;DATEDIF(E2,TODAY(),"ym")&amp;"mois"</calculatedColumnFormula>
    </tableColumn>
    <tableColumn id="10" xr3:uid="{F9F54118-738A-48DE-A63F-9E1D000F718B}" name="aide à domicile" dataDxfId="4"/>
    <tableColumn id="11" xr3:uid="{806E7DEA-6B97-454D-AA8B-B2582B12EF02}" name="portage alarme" dataDxfId="3"/>
    <tableColumn id="12" xr3:uid="{067A2194-9844-42C2-B09B-9EC9E3EAD163}" name="Curatelle" dataDxfId="2"/>
    <tableColumn id="13" xr3:uid="{83C25138-84EE-4BE7-8329-28B4DD60FBF1}" name="arrivée/départ" dataDxfId="1"/>
    <tableColumn id="14" xr3:uid="{33C3A7D3-69C7-49AA-AAEE-CE7068111BC2}" name="date de dépar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45F1F-B773-4B49-AA7F-CADB4ECD0EF0}">
  <dimension ref="A2:B9"/>
  <sheetViews>
    <sheetView workbookViewId="0">
      <selection activeCell="A4" sqref="A4"/>
    </sheetView>
  </sheetViews>
  <sheetFormatPr baseColWidth="10" defaultRowHeight="15" x14ac:dyDescent="0.25"/>
  <cols>
    <col min="1" max="1" width="21" bestFit="1" customWidth="1"/>
    <col min="2" max="2" width="22.28515625" bestFit="1" customWidth="1"/>
  </cols>
  <sheetData>
    <row r="2" spans="1:2" x14ac:dyDescent="0.25">
      <c r="A2" s="35" t="s">
        <v>1</v>
      </c>
      <c r="B2" t="s">
        <v>6</v>
      </c>
    </row>
    <row r="4" spans="1:2" x14ac:dyDescent="0.25">
      <c r="A4" s="35" t="s">
        <v>59</v>
      </c>
      <c r="B4" t="s">
        <v>61</v>
      </c>
    </row>
    <row r="5" spans="1:2" x14ac:dyDescent="0.25">
      <c r="A5" s="37" t="s">
        <v>19</v>
      </c>
      <c r="B5" s="36">
        <v>73</v>
      </c>
    </row>
    <row r="6" spans="1:2" x14ac:dyDescent="0.25">
      <c r="A6" s="37" t="s">
        <v>18</v>
      </c>
      <c r="B6" s="36">
        <v>81</v>
      </c>
    </row>
    <row r="7" spans="1:2" x14ac:dyDescent="0.25">
      <c r="A7" s="37" t="s">
        <v>16</v>
      </c>
      <c r="B7" s="36">
        <v>68</v>
      </c>
    </row>
    <row r="8" spans="1:2" x14ac:dyDescent="0.25">
      <c r="A8" s="37" t="s">
        <v>17</v>
      </c>
      <c r="B8" s="36">
        <v>90</v>
      </c>
    </row>
    <row r="9" spans="1:2" x14ac:dyDescent="0.25">
      <c r="A9" s="37" t="s">
        <v>60</v>
      </c>
      <c r="B9" s="36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8"/>
  <sheetViews>
    <sheetView tabSelected="1" workbookViewId="0">
      <pane ySplit="1" topLeftCell="A2" activePane="bottomLeft" state="frozen"/>
      <selection pane="bottomLeft" activeCell="I19" sqref="I19"/>
    </sheetView>
  </sheetViews>
  <sheetFormatPr baseColWidth="10" defaultColWidth="9.140625" defaultRowHeight="15" x14ac:dyDescent="0.25"/>
  <cols>
    <col min="1" max="1" width="28.85546875" customWidth="1"/>
    <col min="2" max="2" width="7.28515625" customWidth="1"/>
    <col min="3" max="3" width="17" customWidth="1"/>
    <col min="4" max="4" width="27.5703125" customWidth="1"/>
    <col min="5" max="5" width="15.7109375" customWidth="1"/>
    <col min="6" max="6" width="16.85546875" bestFit="1" customWidth="1"/>
    <col min="7" max="7" width="12.5703125" customWidth="1"/>
    <col min="8" max="8" width="6.28515625" customWidth="1"/>
    <col min="9" max="9" width="17.140625" customWidth="1"/>
    <col min="10" max="11" width="16.5703125" customWidth="1"/>
    <col min="12" max="12" width="11.28515625" customWidth="1"/>
    <col min="13" max="14" width="16.140625" customWidth="1"/>
    <col min="17" max="17" width="11.7109375" customWidth="1"/>
    <col min="21" max="21" width="9.5703125" bestFit="1" customWidth="1"/>
  </cols>
  <sheetData>
    <row r="1" spans="1:25" ht="50.25" customHeight="1" x14ac:dyDescent="0.25">
      <c r="A1" s="33" t="s">
        <v>0</v>
      </c>
      <c r="B1" s="19" t="s">
        <v>1</v>
      </c>
      <c r="C1" s="20" t="s">
        <v>15</v>
      </c>
      <c r="D1" s="34" t="s">
        <v>42</v>
      </c>
      <c r="E1" s="34" t="s">
        <v>14</v>
      </c>
      <c r="F1" s="34" t="s">
        <v>13</v>
      </c>
      <c r="G1" s="21" t="s">
        <v>45</v>
      </c>
      <c r="H1" s="22" t="s">
        <v>2</v>
      </c>
      <c r="I1" s="23" t="s">
        <v>46</v>
      </c>
      <c r="J1" s="24" t="s">
        <v>4</v>
      </c>
      <c r="K1" s="25" t="s">
        <v>37</v>
      </c>
      <c r="L1" s="26" t="s">
        <v>47</v>
      </c>
      <c r="M1" s="27" t="s">
        <v>53</v>
      </c>
      <c r="N1" s="28" t="s">
        <v>58</v>
      </c>
      <c r="O1" s="15"/>
      <c r="P1" s="15"/>
    </row>
    <row r="2" spans="1:25" x14ac:dyDescent="0.25">
      <c r="A2" s="17"/>
      <c r="B2" s="1" t="s">
        <v>6</v>
      </c>
      <c r="C2" s="1" t="s">
        <v>16</v>
      </c>
      <c r="D2" s="10">
        <v>18327</v>
      </c>
      <c r="E2" s="10">
        <v>42700</v>
      </c>
      <c r="F2" s="1">
        <f>DATEDIF(D2,E2,"y")</f>
        <v>66</v>
      </c>
      <c r="G2" s="1">
        <f t="shared" ref="G2:G24" ca="1" si="0">DATEDIF(D2,TODAY(),"y")</f>
        <v>68</v>
      </c>
      <c r="H2" s="1">
        <v>4</v>
      </c>
      <c r="I2" s="1" t="str">
        <f ca="1">DATEDIF(E2,TODAY(),"y")&amp;"ans"&amp;DATEDIF(E2,TODAY(),"ym")&amp;"mois"</f>
        <v>2ans1mois</v>
      </c>
      <c r="J2" s="1" t="s">
        <v>31</v>
      </c>
      <c r="K2" s="1" t="s">
        <v>39</v>
      </c>
      <c r="L2" s="1" t="s">
        <v>48</v>
      </c>
      <c r="M2" s="1" t="s">
        <v>40</v>
      </c>
      <c r="N2" s="18"/>
      <c r="O2" s="16"/>
      <c r="P2" s="16"/>
    </row>
    <row r="3" spans="1:25" x14ac:dyDescent="0.25">
      <c r="A3" s="17"/>
      <c r="B3" s="1" t="s">
        <v>6</v>
      </c>
      <c r="C3" s="1" t="s">
        <v>17</v>
      </c>
      <c r="D3" s="10">
        <v>10327</v>
      </c>
      <c r="E3" s="10">
        <v>43475</v>
      </c>
      <c r="F3" s="1">
        <f t="shared" ref="F3:F11" si="1">DATEDIF(D3,E3,"y")</f>
        <v>90</v>
      </c>
      <c r="G3" s="1">
        <f t="shared" ca="1" si="0"/>
        <v>90</v>
      </c>
      <c r="H3" s="1">
        <v>4</v>
      </c>
      <c r="I3" s="1" t="str">
        <f t="shared" ref="I3:I23" ca="1" si="2">DATEDIF(E3,TODAY(),"y")&amp;"ans"&amp;DATEDIF(E3,TODAY(),"ym")&amp;"mois"</f>
        <v>0ans0mois</v>
      </c>
      <c r="J3" s="1" t="s">
        <v>32</v>
      </c>
      <c r="K3" s="1" t="s">
        <v>40</v>
      </c>
      <c r="L3" s="1" t="s">
        <v>49</v>
      </c>
      <c r="M3" s="1"/>
      <c r="N3" s="18"/>
      <c r="O3" s="17"/>
      <c r="P3" s="17"/>
      <c r="Q3" s="14" t="s">
        <v>5</v>
      </c>
      <c r="R3" s="2"/>
      <c r="T3" s="3" t="s">
        <v>50</v>
      </c>
      <c r="U3" s="3"/>
      <c r="W3" s="8" t="s">
        <v>4</v>
      </c>
      <c r="X3" s="8"/>
    </row>
    <row r="4" spans="1:25" x14ac:dyDescent="0.25">
      <c r="A4" s="17"/>
      <c r="B4" s="1" t="s">
        <v>6</v>
      </c>
      <c r="C4" s="1" t="s">
        <v>18</v>
      </c>
      <c r="D4" s="10">
        <v>13857</v>
      </c>
      <c r="E4" s="12">
        <v>43220</v>
      </c>
      <c r="F4" s="1">
        <f t="shared" si="1"/>
        <v>80</v>
      </c>
      <c r="G4" s="1">
        <f t="shared" ca="1" si="0"/>
        <v>81</v>
      </c>
      <c r="H4" s="1">
        <v>5</v>
      </c>
      <c r="I4" s="1" t="str">
        <f t="shared" ca="1" si="2"/>
        <v>0ans8mois</v>
      </c>
      <c r="J4" s="1" t="s">
        <v>33</v>
      </c>
      <c r="K4" s="1" t="s">
        <v>41</v>
      </c>
      <c r="L4" s="1" t="s">
        <v>49</v>
      </c>
      <c r="M4" s="1" t="s">
        <v>54</v>
      </c>
      <c r="N4" s="18"/>
      <c r="O4" s="17"/>
      <c r="P4" s="17"/>
      <c r="Q4" s="14"/>
      <c r="R4" s="2"/>
      <c r="T4" s="3" t="s">
        <v>51</v>
      </c>
      <c r="U4" s="3">
        <f>COUNTIF(L2:L35,"o")</f>
        <v>3</v>
      </c>
      <c r="W4" s="8"/>
      <c r="X4" s="8"/>
    </row>
    <row r="5" spans="1:25" x14ac:dyDescent="0.25">
      <c r="A5" s="17"/>
      <c r="B5" s="1" t="s">
        <v>6</v>
      </c>
      <c r="C5" s="1" t="s">
        <v>19</v>
      </c>
      <c r="D5" s="10">
        <v>16725</v>
      </c>
      <c r="E5" s="10">
        <v>42865</v>
      </c>
      <c r="F5" s="1">
        <f t="shared" si="1"/>
        <v>71</v>
      </c>
      <c r="G5" s="1">
        <f t="shared" ca="1" si="0"/>
        <v>73</v>
      </c>
      <c r="H5" s="1">
        <v>6</v>
      </c>
      <c r="I5" s="1" t="str">
        <f t="shared" ca="1" si="2"/>
        <v>1ans8mois</v>
      </c>
      <c r="J5" s="1" t="s">
        <v>30</v>
      </c>
      <c r="K5" s="1" t="s">
        <v>40</v>
      </c>
      <c r="L5" s="1" t="s">
        <v>49</v>
      </c>
      <c r="M5" s="1" t="s">
        <v>54</v>
      </c>
      <c r="N5" s="18"/>
      <c r="O5" s="17"/>
      <c r="P5" s="17"/>
      <c r="Q5" s="14" t="s">
        <v>6</v>
      </c>
      <c r="R5" s="2">
        <f>COUNTIF(B2:B70,"h")</f>
        <v>4</v>
      </c>
      <c r="T5" s="3" t="s">
        <v>52</v>
      </c>
      <c r="U5" s="3">
        <f>COUNTIF(L2:L35,"n")</f>
        <v>3</v>
      </c>
      <c r="W5" s="8" t="s">
        <v>22</v>
      </c>
      <c r="X5" s="8">
        <f>COUNTIF(J2:J70,"t")</f>
        <v>1</v>
      </c>
      <c r="Y5" t="s">
        <v>31</v>
      </c>
    </row>
    <row r="6" spans="1:25" x14ac:dyDescent="0.25">
      <c r="A6" s="17"/>
      <c r="B6" s="1" t="s">
        <v>7</v>
      </c>
      <c r="C6" s="1" t="s">
        <v>3</v>
      </c>
      <c r="D6" s="10">
        <v>36111</v>
      </c>
      <c r="E6" s="10">
        <v>43361</v>
      </c>
      <c r="F6" s="1">
        <f t="shared" si="1"/>
        <v>19</v>
      </c>
      <c r="G6" s="1">
        <f t="shared" ca="1" si="0"/>
        <v>20</v>
      </c>
      <c r="H6" s="1">
        <v>4</v>
      </c>
      <c r="I6" s="1" t="str">
        <f t="shared" ca="1" si="2"/>
        <v>0ans4mois</v>
      </c>
      <c r="J6" s="1" t="s">
        <v>36</v>
      </c>
      <c r="K6" s="1" t="s">
        <v>40</v>
      </c>
      <c r="L6" s="1" t="s">
        <v>48</v>
      </c>
      <c r="M6" s="1" t="s">
        <v>40</v>
      </c>
      <c r="N6" s="18"/>
      <c r="O6" s="17"/>
      <c r="P6" s="17"/>
      <c r="Q6" s="14" t="s">
        <v>7</v>
      </c>
      <c r="R6" s="2">
        <f>COUNTIF(B2:B70,"F")</f>
        <v>2</v>
      </c>
      <c r="T6" s="3"/>
      <c r="U6" s="3"/>
      <c r="W6" s="8" t="s">
        <v>23</v>
      </c>
      <c r="X6" s="8">
        <f>COUNTIF(J2:J70,"m")</f>
        <v>1</v>
      </c>
      <c r="Y6" t="s">
        <v>32</v>
      </c>
    </row>
    <row r="7" spans="1:25" x14ac:dyDescent="0.25">
      <c r="A7" s="29"/>
      <c r="B7" s="30" t="s">
        <v>7</v>
      </c>
      <c r="C7" s="30" t="s">
        <v>19</v>
      </c>
      <c r="D7" s="31">
        <v>36763</v>
      </c>
      <c r="E7" s="31">
        <v>43356</v>
      </c>
      <c r="F7" s="30">
        <f t="shared" si="1"/>
        <v>18</v>
      </c>
      <c r="G7" s="30">
        <f t="shared" ca="1" si="0"/>
        <v>18</v>
      </c>
      <c r="H7" s="30">
        <v>5</v>
      </c>
      <c r="I7" s="30" t="str">
        <f t="shared" ca="1" si="2"/>
        <v>0ans4mois</v>
      </c>
      <c r="J7" s="30" t="s">
        <v>34</v>
      </c>
      <c r="K7" s="30" t="s">
        <v>39</v>
      </c>
      <c r="L7" s="30" t="s">
        <v>48</v>
      </c>
      <c r="M7" s="30" t="s">
        <v>54</v>
      </c>
      <c r="N7" s="32"/>
      <c r="O7" s="17"/>
      <c r="P7" s="17"/>
      <c r="Q7" s="14"/>
      <c r="R7" s="2"/>
      <c r="T7" s="3" t="s">
        <v>8</v>
      </c>
      <c r="U7" s="3">
        <f>SUM(U4:U6)</f>
        <v>6</v>
      </c>
      <c r="W7" s="8" t="s">
        <v>26</v>
      </c>
      <c r="X7" s="8">
        <f>COUNTIF(J2:J71,"tm")</f>
        <v>1</v>
      </c>
      <c r="Y7" t="s">
        <v>34</v>
      </c>
    </row>
    <row r="8" spans="1:2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7"/>
      <c r="P8" s="17"/>
      <c r="Q8" s="14" t="s">
        <v>8</v>
      </c>
      <c r="R8" s="2">
        <f>SUM(R5:R7)</f>
        <v>6</v>
      </c>
      <c r="T8" s="13"/>
      <c r="U8" s="13"/>
      <c r="W8" s="8" t="s">
        <v>24</v>
      </c>
      <c r="X8" s="8">
        <f>COUNTIF(J2:J72,"tc")</f>
        <v>0</v>
      </c>
      <c r="Y8" t="s">
        <v>35</v>
      </c>
    </row>
    <row r="9" spans="1:2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6"/>
      <c r="P9" s="16"/>
      <c r="T9" s="13"/>
      <c r="U9" s="13"/>
      <c r="W9" s="8" t="s">
        <v>25</v>
      </c>
      <c r="X9" s="8">
        <f>COUNTIF(J2:J73,"cm")</f>
        <v>1</v>
      </c>
      <c r="Y9" t="s">
        <v>36</v>
      </c>
    </row>
    <row r="10" spans="1:2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6"/>
      <c r="P10" s="16"/>
      <c r="W10" s="8" t="s">
        <v>27</v>
      </c>
      <c r="X10" s="8">
        <f>COUNTIF(J2:J74,"c")</f>
        <v>1</v>
      </c>
      <c r="Y10" t="s">
        <v>33</v>
      </c>
    </row>
    <row r="11" spans="1:2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6"/>
      <c r="P11" s="16"/>
      <c r="Q11" s="4" t="s">
        <v>9</v>
      </c>
      <c r="R11" s="4">
        <f ca="1">AVERAGE(G2:G70)</f>
        <v>58.333333333333336</v>
      </c>
      <c r="W11" s="8" t="s">
        <v>30</v>
      </c>
      <c r="X11" s="8">
        <f>COUNTIF(J2:J75,"tmc")</f>
        <v>1</v>
      </c>
      <c r="Y11" t="s">
        <v>30</v>
      </c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6"/>
      <c r="P12" s="16"/>
      <c r="W12" s="8"/>
      <c r="X12" s="8"/>
    </row>
    <row r="13" spans="1:2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6"/>
      <c r="P13" s="16"/>
      <c r="W13" s="8" t="s">
        <v>8</v>
      </c>
      <c r="X13" s="8">
        <f>SUM(X5:X12)</f>
        <v>6</v>
      </c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6"/>
      <c r="P14" s="16"/>
      <c r="Q14" s="5" t="s">
        <v>2</v>
      </c>
      <c r="R14" s="5"/>
      <c r="T14" s="6" t="s">
        <v>55</v>
      </c>
      <c r="U14" s="6"/>
      <c r="W14" s="1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6"/>
      <c r="P15" s="16"/>
      <c r="Q15" s="5"/>
      <c r="R15" s="5"/>
      <c r="T15" s="6"/>
      <c r="U15" s="6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"/>
      <c r="P16" s="16"/>
      <c r="Q16" s="5" t="s">
        <v>10</v>
      </c>
      <c r="R16" s="5">
        <f>COUNTIF(H2:H70,4)</f>
        <v>3</v>
      </c>
      <c r="T16" s="6" t="s">
        <v>56</v>
      </c>
      <c r="U16" s="6">
        <f>COUNTIF(M2:M32,"a")</f>
        <v>2</v>
      </c>
    </row>
    <row r="17" spans="1:2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6"/>
      <c r="P17" s="16"/>
      <c r="Q17" s="5" t="s">
        <v>11</v>
      </c>
      <c r="R17" s="5">
        <f>COUNTIF(H2:H70,5)</f>
        <v>2</v>
      </c>
      <c r="T17" s="6" t="s">
        <v>57</v>
      </c>
      <c r="U17" s="6">
        <f>COUNTIF(M2:M32,"d")</f>
        <v>3</v>
      </c>
    </row>
    <row r="18" spans="1:2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6"/>
      <c r="P18" s="16"/>
      <c r="Q18" s="5" t="s">
        <v>12</v>
      </c>
      <c r="R18" s="5">
        <f>COUNTIF(H2:H70,6)</f>
        <v>1</v>
      </c>
      <c r="T18" s="13"/>
      <c r="U18" s="13"/>
      <c r="W18" s="38" t="s">
        <v>62</v>
      </c>
      <c r="X18" s="38"/>
    </row>
    <row r="19" spans="1:2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6"/>
      <c r="P19" s="16"/>
      <c r="Q19" s="5"/>
      <c r="R19" s="5"/>
      <c r="T19" s="13"/>
      <c r="U19" s="13"/>
      <c r="W19" s="38" t="s">
        <v>1</v>
      </c>
      <c r="X19" s="38" t="s">
        <v>15</v>
      </c>
    </row>
    <row r="20" spans="1:2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6"/>
      <c r="P20" s="16"/>
      <c r="Q20" s="5" t="s">
        <v>8</v>
      </c>
      <c r="R20" s="5">
        <f>SUM(R16:R19)</f>
        <v>6</v>
      </c>
      <c r="T20" s="13"/>
      <c r="U20" s="13"/>
      <c r="W20" s="38" t="s">
        <v>6</v>
      </c>
      <c r="X20" s="38" t="s">
        <v>17</v>
      </c>
    </row>
    <row r="21" spans="1:2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6"/>
      <c r="P21" s="16"/>
      <c r="W21" s="38"/>
      <c r="X21" s="38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6"/>
      <c r="P22" s="16"/>
      <c r="T22" s="9" t="s">
        <v>37</v>
      </c>
      <c r="U22" s="9"/>
      <c r="W22" s="38">
        <f ca="1">AVERAGEIFS(Tableau1[Age actuel],Tableau1[sexe],$W$20,Tableau1[catégorie],X20)</f>
        <v>90</v>
      </c>
      <c r="X22" s="38"/>
    </row>
    <row r="23" spans="1:2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6"/>
      <c r="P23" s="16"/>
      <c r="Q23" s="7" t="s">
        <v>20</v>
      </c>
      <c r="R23" s="7"/>
      <c r="T23" s="9"/>
      <c r="U23" s="9"/>
      <c r="V23" s="13"/>
      <c r="W23" s="13"/>
    </row>
    <row r="24" spans="1:2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6"/>
      <c r="P24" s="16"/>
      <c r="Q24" s="7"/>
      <c r="R24" s="7"/>
      <c r="T24" s="9" t="s">
        <v>28</v>
      </c>
      <c r="U24" s="9">
        <f>COUNTIF(K2:K70,"p")</f>
        <v>2</v>
      </c>
      <c r="V24" s="13"/>
      <c r="W24" s="13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6"/>
      <c r="P25" s="16"/>
      <c r="Q25" s="7" t="s">
        <v>16</v>
      </c>
      <c r="R25" s="7">
        <f>COUNTIF(C2:C35,"étudiant")</f>
        <v>1</v>
      </c>
      <c r="T25" s="9" t="s">
        <v>29</v>
      </c>
      <c r="U25" s="9">
        <f>COUNTIF(K2:K70,"a")</f>
        <v>3</v>
      </c>
    </row>
    <row r="26" spans="1:2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6"/>
      <c r="P26" s="16"/>
      <c r="Q26" s="7" t="s">
        <v>17</v>
      </c>
      <c r="R26" s="7">
        <f>COUNTIF(C2:C36,"sénior")</f>
        <v>1</v>
      </c>
      <c r="T26" s="9" t="s">
        <v>38</v>
      </c>
      <c r="U26" s="9">
        <f>COUNTIF(K2:K71,"pa")</f>
        <v>1</v>
      </c>
    </row>
    <row r="27" spans="1:2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6"/>
      <c r="P27" s="16"/>
      <c r="Q27" s="7" t="s">
        <v>19</v>
      </c>
      <c r="R27" s="7">
        <f>COUNTIF(C2:C37,"ars")</f>
        <v>2</v>
      </c>
      <c r="T27" s="9" t="s">
        <v>8</v>
      </c>
      <c r="U27" s="9">
        <f>SUM(U24:U26)</f>
        <v>6</v>
      </c>
    </row>
    <row r="28" spans="1:2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6"/>
      <c r="P28" s="16"/>
      <c r="Q28" s="7" t="s">
        <v>18</v>
      </c>
      <c r="R28" s="7">
        <f>COUNTIF(C2:C38,"cpn")</f>
        <v>1</v>
      </c>
      <c r="V28" t="s">
        <v>39</v>
      </c>
    </row>
    <row r="29" spans="1:2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6"/>
      <c r="P29" s="16"/>
      <c r="Q29" s="7" t="s">
        <v>3</v>
      </c>
      <c r="R29" s="7">
        <f>COUNTIF(C2:C39,"autre")</f>
        <v>1</v>
      </c>
      <c r="V29" t="s">
        <v>40</v>
      </c>
    </row>
    <row r="30" spans="1:2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6"/>
      <c r="P30" s="16"/>
      <c r="Q30" s="7"/>
      <c r="R30" s="7"/>
      <c r="V30" t="s">
        <v>41</v>
      </c>
    </row>
    <row r="31" spans="1:2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6"/>
      <c r="P31" s="16"/>
      <c r="Q31" s="7" t="s">
        <v>21</v>
      </c>
      <c r="R31" s="7">
        <f>SUM(R25:R30)</f>
        <v>6</v>
      </c>
    </row>
    <row r="32" spans="1:2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6"/>
      <c r="P32" s="16"/>
      <c r="V32" s="1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6"/>
      <c r="P33" s="16"/>
      <c r="Q33" t="s">
        <v>43</v>
      </c>
      <c r="V33" s="1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6"/>
      <c r="P34" s="16"/>
      <c r="Q34" t="s">
        <v>44</v>
      </c>
      <c r="R34" t="e">
        <f ca="1">MOYENNE.SI.ensemble(C2:C29, étudiant,G2:G29,"y")</f>
        <v>#NAME?</v>
      </c>
      <c r="V34" s="1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6"/>
      <c r="P35" s="16"/>
      <c r="Q35" t="s">
        <v>19</v>
      </c>
      <c r="V35" s="11"/>
    </row>
    <row r="36" spans="1:22" x14ac:dyDescent="0.25">
      <c r="Q36" t="s">
        <v>18</v>
      </c>
    </row>
    <row r="37" spans="1:22" x14ac:dyDescent="0.25">
      <c r="Q37" t="s">
        <v>17</v>
      </c>
    </row>
    <row r="38" spans="1:22" x14ac:dyDescent="0.25">
      <c r="Q38" t="s">
        <v>3</v>
      </c>
    </row>
  </sheetData>
  <dataValidations count="2">
    <dataValidation type="list" allowBlank="1" showInputMessage="1" showErrorMessage="1" sqref="W20" xr:uid="{E736CE5B-54D2-45DC-9DE2-E25EC2D8816D}">
      <formula1>"h,f"</formula1>
    </dataValidation>
    <dataValidation type="list" allowBlank="1" showInputMessage="1" showErrorMessage="1" sqref="X20" xr:uid="{CC89B438-2367-473B-AD69-7DE94199B5EE}">
      <formula1>$Q$25:$Q$29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tcd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2019-01-25T17:29:04Z</dcterms:modified>
</cp:coreProperties>
</file>