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555" windowWidth="20115" windowHeight="7065" activeTab="2"/>
  </bookViews>
  <sheets>
    <sheet name="FEUILLE DE DONNEES" sheetId="4" r:id="rId1"/>
    <sheet name="COMPOSITTIONS" sheetId="2" r:id="rId2"/>
    <sheet name="CACHER" sheetId="1" r:id="rId3"/>
  </sheets>
  <definedNames>
    <definedName name="deroulantespece">#REF!</definedName>
    <definedName name="especederoulantsanschiffre">#REF!</definedName>
    <definedName name="especes">COMPOSITTIONS!$2:$2</definedName>
    <definedName name="NUMEROCLASSEMENTCOMPO">COMPOSITTIONS!$A$3:$A$20</definedName>
    <definedName name="Reference">COMPOSITTIONS!$A:$A</definedName>
    <definedName name="tableaucompo">COMPOSITTIONS!$A$2:$BI$20</definedName>
    <definedName name="TABLEAUCOMPOSITIONS">COMPOSITTIONS!$A$2:$BI$20</definedName>
  </definedNames>
  <calcPr calcId="145621"/>
</workbook>
</file>

<file path=xl/calcChain.xml><?xml version="1.0" encoding="utf-8"?>
<calcChain xmlns="http://schemas.openxmlformats.org/spreadsheetml/2006/main">
  <c r="N21" i="1" l="1"/>
  <c r="D43" i="4"/>
  <c r="N9" i="1"/>
  <c r="E4" i="1"/>
  <c r="J3" i="1"/>
  <c r="J4" i="1"/>
  <c r="J5" i="1"/>
  <c r="N25" i="1"/>
  <c r="N26" i="1"/>
  <c r="N23" i="1"/>
  <c r="N22" i="1"/>
  <c r="N24" i="1"/>
  <c r="N18" i="1"/>
  <c r="N19" i="1"/>
  <c r="N20" i="1"/>
  <c r="Q17" i="1"/>
  <c r="E7" i="1" l="1"/>
  <c r="AH18" i="1" s="1"/>
  <c r="AJ18" i="1" s="1"/>
  <c r="E8" i="1"/>
  <c r="E9" i="1"/>
  <c r="E10" i="1"/>
  <c r="E11" i="1"/>
  <c r="E6" i="1"/>
  <c r="AB78" i="1" s="1"/>
  <c r="AE78" i="1" s="1"/>
  <c r="BF77" i="1" l="1"/>
  <c r="BF73" i="1"/>
  <c r="BF69" i="1"/>
  <c r="BF65" i="1"/>
  <c r="BF61" i="1"/>
  <c r="BF57" i="1"/>
  <c r="BF53" i="1"/>
  <c r="BF49" i="1"/>
  <c r="BF41" i="1"/>
  <c r="BF37" i="1"/>
  <c r="BF33" i="1"/>
  <c r="BF29" i="1"/>
  <c r="BF25" i="1"/>
  <c r="BF21" i="1"/>
  <c r="BF17" i="1"/>
  <c r="BF76" i="1"/>
  <c r="BF72" i="1"/>
  <c r="BF68" i="1"/>
  <c r="BF64" i="1"/>
  <c r="BF60" i="1"/>
  <c r="BF56" i="1"/>
  <c r="BF52" i="1"/>
  <c r="BF48" i="1"/>
  <c r="BF44" i="1"/>
  <c r="BF40" i="1"/>
  <c r="BF36" i="1"/>
  <c r="BF32" i="1"/>
  <c r="BF28" i="1"/>
  <c r="BF24" i="1"/>
  <c r="BF20" i="1"/>
  <c r="BF79" i="1"/>
  <c r="BF75" i="1"/>
  <c r="BF71" i="1"/>
  <c r="BF67" i="1"/>
  <c r="BF63" i="1"/>
  <c r="BF59" i="1"/>
  <c r="BF55" i="1"/>
  <c r="BF51" i="1"/>
  <c r="BF47" i="1"/>
  <c r="BF43" i="1"/>
  <c r="BF39" i="1"/>
  <c r="BF35" i="1"/>
  <c r="BF31" i="1"/>
  <c r="BF27" i="1"/>
  <c r="BF23" i="1"/>
  <c r="BF19" i="1"/>
  <c r="BF78" i="1"/>
  <c r="BF74" i="1"/>
  <c r="BF70" i="1"/>
  <c r="BF66" i="1"/>
  <c r="BF62" i="1"/>
  <c r="BF58" i="1"/>
  <c r="BF54" i="1"/>
  <c r="BF50" i="1"/>
  <c r="BF46" i="1"/>
  <c r="BF42" i="1"/>
  <c r="BF38" i="1"/>
  <c r="BF34" i="1"/>
  <c r="BF30" i="1"/>
  <c r="BF26" i="1"/>
  <c r="BF22" i="1"/>
  <c r="BI22" i="1" s="1"/>
  <c r="BF18" i="1"/>
  <c r="BI47" i="1"/>
  <c r="BI34" i="1"/>
  <c r="BI37" i="1"/>
  <c r="BI30" i="1"/>
  <c r="AB19" i="1"/>
  <c r="AE19" i="1" s="1"/>
  <c r="AB18" i="1"/>
  <c r="AE18" i="1" s="1"/>
  <c r="AB24" i="1"/>
  <c r="AD24" i="1" s="1"/>
  <c r="AB64" i="1"/>
  <c r="AD64" i="1" s="1"/>
  <c r="AB27" i="1"/>
  <c r="AE27" i="1" s="1"/>
  <c r="AZ77" i="1"/>
  <c r="AZ73" i="1"/>
  <c r="AZ69" i="1"/>
  <c r="AZ65" i="1"/>
  <c r="AZ61" i="1"/>
  <c r="AZ57" i="1"/>
  <c r="AZ53" i="1"/>
  <c r="AZ49" i="1"/>
  <c r="AZ41" i="1"/>
  <c r="AZ37" i="1"/>
  <c r="AZ33" i="1"/>
  <c r="AZ29" i="1"/>
  <c r="AZ25" i="1"/>
  <c r="AZ21" i="1"/>
  <c r="AZ79" i="1"/>
  <c r="AZ75" i="1"/>
  <c r="AZ71" i="1"/>
  <c r="AZ67" i="1"/>
  <c r="AZ63" i="1"/>
  <c r="AZ59" i="1"/>
  <c r="AZ55" i="1"/>
  <c r="AZ51" i="1"/>
  <c r="AZ43" i="1"/>
  <c r="AZ39" i="1"/>
  <c r="AZ35" i="1"/>
  <c r="AZ31" i="1"/>
  <c r="AZ27" i="1"/>
  <c r="AZ23" i="1"/>
  <c r="AZ19" i="1"/>
  <c r="AZ76" i="1"/>
  <c r="AZ68" i="1"/>
  <c r="AZ60" i="1"/>
  <c r="AZ52" i="1"/>
  <c r="AZ44" i="1"/>
  <c r="AZ36" i="1"/>
  <c r="AZ28" i="1"/>
  <c r="AZ20" i="1"/>
  <c r="AZ66" i="1"/>
  <c r="AZ50" i="1"/>
  <c r="AZ34" i="1"/>
  <c r="AZ18" i="1"/>
  <c r="AZ62" i="1"/>
  <c r="AZ46" i="1"/>
  <c r="AZ22" i="1"/>
  <c r="AZ74" i="1"/>
  <c r="AZ58" i="1"/>
  <c r="AZ42" i="1"/>
  <c r="AZ26" i="1"/>
  <c r="AZ38" i="1"/>
  <c r="AZ72" i="1"/>
  <c r="AZ64" i="1"/>
  <c r="AZ56" i="1"/>
  <c r="AZ48" i="1"/>
  <c r="AZ40" i="1"/>
  <c r="AZ32" i="1"/>
  <c r="AZ24" i="1"/>
  <c r="AZ78" i="1"/>
  <c r="AZ70" i="1"/>
  <c r="AZ54" i="1"/>
  <c r="AZ30" i="1"/>
  <c r="AZ17" i="1"/>
  <c r="AT76" i="1"/>
  <c r="AT72" i="1"/>
  <c r="AT68" i="1"/>
  <c r="AT64" i="1"/>
  <c r="AT60" i="1"/>
  <c r="AT56" i="1"/>
  <c r="AT52" i="1"/>
  <c r="AT48" i="1"/>
  <c r="AT43" i="1"/>
  <c r="AT39" i="1"/>
  <c r="AT35" i="1"/>
  <c r="AT31" i="1"/>
  <c r="AT27" i="1"/>
  <c r="AT23" i="1"/>
  <c r="AT19" i="1"/>
  <c r="AT79" i="1"/>
  <c r="AT75" i="1"/>
  <c r="AT71" i="1"/>
  <c r="AT67" i="1"/>
  <c r="AT63" i="1"/>
  <c r="AT59" i="1"/>
  <c r="AT55" i="1"/>
  <c r="AT51" i="1"/>
  <c r="AT47" i="1"/>
  <c r="AT42" i="1"/>
  <c r="AT38" i="1"/>
  <c r="AT34" i="1"/>
  <c r="AT30" i="1"/>
  <c r="AT26" i="1"/>
  <c r="AT18" i="1"/>
  <c r="AT78" i="1"/>
  <c r="AT74" i="1"/>
  <c r="AT70" i="1"/>
  <c r="AT66" i="1"/>
  <c r="AT62" i="1"/>
  <c r="AT58" i="1"/>
  <c r="AT54" i="1"/>
  <c r="AT50" i="1"/>
  <c r="AT46" i="1"/>
  <c r="AT41" i="1"/>
  <c r="AT37" i="1"/>
  <c r="AT33" i="1"/>
  <c r="AT29" i="1"/>
  <c r="AT25" i="1"/>
  <c r="AW25" i="1" s="1"/>
  <c r="AT21" i="1"/>
  <c r="AT17" i="1"/>
  <c r="AT77" i="1"/>
  <c r="AT73" i="1"/>
  <c r="AT69" i="1"/>
  <c r="AT65" i="1"/>
  <c r="AT61" i="1"/>
  <c r="AT57" i="1"/>
  <c r="AT53" i="1"/>
  <c r="AT49" i="1"/>
  <c r="AT44" i="1"/>
  <c r="AT40" i="1"/>
  <c r="AT36" i="1"/>
  <c r="AT32" i="1"/>
  <c r="AT28" i="1"/>
  <c r="AT24" i="1"/>
  <c r="AT20" i="1"/>
  <c r="AB39" i="1"/>
  <c r="AE39" i="1" s="1"/>
  <c r="AH17" i="1"/>
  <c r="AJ17" i="1" s="1"/>
  <c r="AB43" i="1"/>
  <c r="AE43" i="1" s="1"/>
  <c r="AB20" i="1"/>
  <c r="AD20" i="1" s="1"/>
  <c r="AB31" i="1"/>
  <c r="AE31" i="1" s="1"/>
  <c r="AB48" i="1"/>
  <c r="AD48" i="1" s="1"/>
  <c r="AH19" i="1"/>
  <c r="AJ19" i="1" s="1"/>
  <c r="AN76" i="1"/>
  <c r="AN72" i="1"/>
  <c r="AN68" i="1"/>
  <c r="AN64" i="1"/>
  <c r="AN60" i="1"/>
  <c r="AN56" i="1"/>
  <c r="AN52" i="1"/>
  <c r="AN48" i="1"/>
  <c r="AN44" i="1"/>
  <c r="AN40" i="1"/>
  <c r="AN36" i="1"/>
  <c r="AN32" i="1"/>
  <c r="AN28" i="1"/>
  <c r="AN24" i="1"/>
  <c r="AN20" i="1"/>
  <c r="AN78" i="1"/>
  <c r="AN74" i="1"/>
  <c r="AN70" i="1"/>
  <c r="AN66" i="1"/>
  <c r="AN62" i="1"/>
  <c r="AN58" i="1"/>
  <c r="AN54" i="1"/>
  <c r="AN50" i="1"/>
  <c r="AN46" i="1"/>
  <c r="AN42" i="1"/>
  <c r="AN38" i="1"/>
  <c r="AN34" i="1"/>
  <c r="AN30" i="1"/>
  <c r="AN26" i="1"/>
  <c r="AN18" i="1"/>
  <c r="AN73" i="1"/>
  <c r="AN65" i="1"/>
  <c r="AN57" i="1"/>
  <c r="AN49" i="1"/>
  <c r="AN41" i="1"/>
  <c r="AN33" i="1"/>
  <c r="AN25" i="1"/>
  <c r="AN17" i="1"/>
  <c r="AN59" i="1"/>
  <c r="AN43" i="1"/>
  <c r="AN27" i="1"/>
  <c r="AN19" i="1"/>
  <c r="AN79" i="1"/>
  <c r="AN71" i="1"/>
  <c r="AN63" i="1"/>
  <c r="AN55" i="1"/>
  <c r="AN47" i="1"/>
  <c r="AN39" i="1"/>
  <c r="AN31" i="1"/>
  <c r="AN23" i="1"/>
  <c r="AN77" i="1"/>
  <c r="AN69" i="1"/>
  <c r="AN61" i="1"/>
  <c r="AN53" i="1"/>
  <c r="AN37" i="1"/>
  <c r="AN29" i="1"/>
  <c r="AN21" i="1"/>
  <c r="AN75" i="1"/>
  <c r="AN67" i="1"/>
  <c r="AN51" i="1"/>
  <c r="AN35" i="1"/>
  <c r="AB23" i="1"/>
  <c r="AE23" i="1" s="1"/>
  <c r="AB35" i="1"/>
  <c r="AE35" i="1" s="1"/>
  <c r="AB52" i="1"/>
  <c r="AD52" i="1" s="1"/>
  <c r="AB56" i="1"/>
  <c r="AD56" i="1" s="1"/>
  <c r="AB68" i="1"/>
  <c r="AD68" i="1" s="1"/>
  <c r="AB72" i="1"/>
  <c r="AE72" i="1" s="1"/>
  <c r="AH79" i="1"/>
  <c r="AJ79" i="1" s="1"/>
  <c r="AH75" i="1"/>
  <c r="AJ75" i="1" s="1"/>
  <c r="AH71" i="1"/>
  <c r="AJ71" i="1" s="1"/>
  <c r="AH67" i="1"/>
  <c r="AJ67" i="1" s="1"/>
  <c r="AH63" i="1"/>
  <c r="AJ63" i="1" s="1"/>
  <c r="AH59" i="1"/>
  <c r="AJ59" i="1" s="1"/>
  <c r="AH55" i="1"/>
  <c r="AJ55" i="1" s="1"/>
  <c r="AH51" i="1"/>
  <c r="AJ51" i="1" s="1"/>
  <c r="AH47" i="1"/>
  <c r="AJ47" i="1" s="1"/>
  <c r="AH43" i="1"/>
  <c r="AJ43" i="1" s="1"/>
  <c r="AH39" i="1"/>
  <c r="AJ39" i="1" s="1"/>
  <c r="AH35" i="1"/>
  <c r="AJ35" i="1" s="1"/>
  <c r="AH31" i="1"/>
  <c r="AJ31" i="1" s="1"/>
  <c r="AH27" i="1"/>
  <c r="AJ27" i="1" s="1"/>
  <c r="AH23" i="1"/>
  <c r="AJ23" i="1" s="1"/>
  <c r="AH78" i="1"/>
  <c r="AJ78" i="1" s="1"/>
  <c r="AH74" i="1"/>
  <c r="AJ74" i="1" s="1"/>
  <c r="AH70" i="1"/>
  <c r="AJ70" i="1" s="1"/>
  <c r="AH66" i="1"/>
  <c r="AJ66" i="1" s="1"/>
  <c r="AH62" i="1"/>
  <c r="AJ62" i="1" s="1"/>
  <c r="AH58" i="1"/>
  <c r="AJ58" i="1" s="1"/>
  <c r="AH54" i="1"/>
  <c r="AJ54" i="1" s="1"/>
  <c r="AH50" i="1"/>
  <c r="AJ50" i="1" s="1"/>
  <c r="AH46" i="1"/>
  <c r="AJ46" i="1" s="1"/>
  <c r="AH42" i="1"/>
  <c r="AJ42" i="1" s="1"/>
  <c r="AH38" i="1"/>
  <c r="AJ38" i="1" s="1"/>
  <c r="AH34" i="1"/>
  <c r="AJ34" i="1" s="1"/>
  <c r="AH30" i="1"/>
  <c r="AJ30" i="1" s="1"/>
  <c r="AH26" i="1"/>
  <c r="AJ26" i="1" s="1"/>
  <c r="AH24" i="1"/>
  <c r="AJ24" i="1" s="1"/>
  <c r="AH32" i="1"/>
  <c r="AJ32" i="1" s="1"/>
  <c r="AH40" i="1"/>
  <c r="AJ40" i="1" s="1"/>
  <c r="AH48" i="1"/>
  <c r="AJ48" i="1" s="1"/>
  <c r="AH56" i="1"/>
  <c r="AJ56" i="1" s="1"/>
  <c r="AH64" i="1"/>
  <c r="AJ64" i="1" s="1"/>
  <c r="AH72" i="1"/>
  <c r="AJ72" i="1" s="1"/>
  <c r="AH25" i="1"/>
  <c r="AJ25" i="1" s="1"/>
  <c r="AH33" i="1"/>
  <c r="AJ33" i="1" s="1"/>
  <c r="AH41" i="1"/>
  <c r="AJ41" i="1" s="1"/>
  <c r="AH49" i="1"/>
  <c r="AJ49" i="1" s="1"/>
  <c r="AH57" i="1"/>
  <c r="AJ57" i="1" s="1"/>
  <c r="AH65" i="1"/>
  <c r="AJ65" i="1" s="1"/>
  <c r="AH73" i="1"/>
  <c r="AJ73" i="1" s="1"/>
  <c r="AH21" i="1"/>
  <c r="AJ21" i="1" s="1"/>
  <c r="AH28" i="1"/>
  <c r="AJ28" i="1" s="1"/>
  <c r="AH36" i="1"/>
  <c r="AJ36" i="1" s="1"/>
  <c r="AH44" i="1"/>
  <c r="AJ44" i="1" s="1"/>
  <c r="AH52" i="1"/>
  <c r="AJ52" i="1" s="1"/>
  <c r="AH60" i="1"/>
  <c r="AJ60" i="1" s="1"/>
  <c r="AH68" i="1"/>
  <c r="AJ68" i="1" s="1"/>
  <c r="AH76" i="1"/>
  <c r="AJ76" i="1" s="1"/>
  <c r="AH20" i="1"/>
  <c r="AJ20" i="1" s="1"/>
  <c r="AH29" i="1"/>
  <c r="AJ29" i="1" s="1"/>
  <c r="AH37" i="1"/>
  <c r="AJ37" i="1" s="1"/>
  <c r="AH53" i="1"/>
  <c r="AJ53" i="1" s="1"/>
  <c r="AH61" i="1"/>
  <c r="AJ61" i="1" s="1"/>
  <c r="AH69" i="1"/>
  <c r="AJ69" i="1" s="1"/>
  <c r="AH77" i="1"/>
  <c r="AJ77" i="1" s="1"/>
  <c r="AB60" i="1"/>
  <c r="AD60" i="1" s="1"/>
  <c r="AB76" i="1"/>
  <c r="AE76" i="1" s="1"/>
  <c r="AB22" i="1"/>
  <c r="AE22" i="1" s="1"/>
  <c r="AB26" i="1"/>
  <c r="AE26" i="1" s="1"/>
  <c r="AB30" i="1"/>
  <c r="AE30" i="1" s="1"/>
  <c r="AB34" i="1"/>
  <c r="AE34" i="1" s="1"/>
  <c r="AB38" i="1"/>
  <c r="AE38" i="1" s="1"/>
  <c r="AB42" i="1"/>
  <c r="AE42" i="1" s="1"/>
  <c r="AB47" i="1"/>
  <c r="AE47" i="1" s="1"/>
  <c r="AB51" i="1"/>
  <c r="AE51" i="1" s="1"/>
  <c r="AB55" i="1"/>
  <c r="AE55" i="1" s="1"/>
  <c r="AB59" i="1"/>
  <c r="AE59" i="1" s="1"/>
  <c r="AB63" i="1"/>
  <c r="AE63" i="1" s="1"/>
  <c r="AB67" i="1"/>
  <c r="AE67" i="1" s="1"/>
  <c r="AB71" i="1"/>
  <c r="AE71" i="1" s="1"/>
  <c r="AB75" i="1"/>
  <c r="AE75" i="1" s="1"/>
  <c r="AB79" i="1"/>
  <c r="AE79" i="1" s="1"/>
  <c r="AB28" i="1"/>
  <c r="AD28" i="1" s="1"/>
  <c r="AB32" i="1"/>
  <c r="AD32" i="1" s="1"/>
  <c r="AB36" i="1"/>
  <c r="AD36" i="1" s="1"/>
  <c r="AB40" i="1"/>
  <c r="AD40" i="1" s="1"/>
  <c r="AB44" i="1"/>
  <c r="AD44" i="1" s="1"/>
  <c r="AB49" i="1"/>
  <c r="AF49" i="1" s="1"/>
  <c r="AB53" i="1"/>
  <c r="AF53" i="1" s="1"/>
  <c r="AB57" i="1"/>
  <c r="AF57" i="1" s="1"/>
  <c r="AB61" i="1"/>
  <c r="AF61" i="1" s="1"/>
  <c r="AB65" i="1"/>
  <c r="AF65" i="1" s="1"/>
  <c r="AB69" i="1"/>
  <c r="AF69" i="1" s="1"/>
  <c r="AB73" i="1"/>
  <c r="AF73" i="1" s="1"/>
  <c r="AB77" i="1"/>
  <c r="AF77" i="1" s="1"/>
  <c r="AB21" i="1"/>
  <c r="AF21" i="1" s="1"/>
  <c r="AB25" i="1"/>
  <c r="AF25" i="1" s="1"/>
  <c r="AB29" i="1"/>
  <c r="AF29" i="1" s="1"/>
  <c r="AB33" i="1"/>
  <c r="AF33" i="1" s="1"/>
  <c r="AB37" i="1"/>
  <c r="AF37" i="1" s="1"/>
  <c r="AB41" i="1"/>
  <c r="AF41" i="1" s="1"/>
  <c r="AB46" i="1"/>
  <c r="AE46" i="1" s="1"/>
  <c r="AB50" i="1"/>
  <c r="AE50" i="1" s="1"/>
  <c r="AB54" i="1"/>
  <c r="AE54" i="1" s="1"/>
  <c r="AB58" i="1"/>
  <c r="AE58" i="1" s="1"/>
  <c r="AB62" i="1"/>
  <c r="AE62" i="1" s="1"/>
  <c r="AB66" i="1"/>
  <c r="AE66" i="1" s="1"/>
  <c r="AB70" i="1"/>
  <c r="AE70" i="1" s="1"/>
  <c r="AB74" i="1"/>
  <c r="AE74" i="1" s="1"/>
  <c r="AC64" i="1"/>
  <c r="AC48" i="1"/>
  <c r="AF78" i="1"/>
  <c r="AC78" i="1"/>
  <c r="AC56" i="1"/>
  <c r="AF64" i="1"/>
  <c r="AF56" i="1"/>
  <c r="AF24" i="1"/>
  <c r="AF20" i="1"/>
  <c r="AF63" i="1"/>
  <c r="AF47" i="1"/>
  <c r="AF31" i="1"/>
  <c r="AF27" i="1"/>
  <c r="AF19" i="1"/>
  <c r="AC79" i="1"/>
  <c r="AC63" i="1"/>
  <c r="AC39" i="1"/>
  <c r="AC27" i="1"/>
  <c r="AC23" i="1"/>
  <c r="AC19" i="1"/>
  <c r="AD63" i="1"/>
  <c r="AD43" i="1"/>
  <c r="AD39" i="1"/>
  <c r="AD27" i="1"/>
  <c r="AD19" i="1"/>
  <c r="AE73" i="1"/>
  <c r="AC46" i="1"/>
  <c r="AD78" i="1"/>
  <c r="AD62" i="1"/>
  <c r="AE64" i="1"/>
  <c r="AE60" i="1"/>
  <c r="AE56" i="1"/>
  <c r="AE40" i="1"/>
  <c r="AE24" i="1"/>
  <c r="AE20" i="1"/>
  <c r="AC29" i="1"/>
  <c r="AC24" i="1"/>
  <c r="AC20" i="1"/>
  <c r="AD37" i="1" l="1"/>
  <c r="AC18" i="1"/>
  <c r="AF43" i="1"/>
  <c r="AC43" i="1"/>
  <c r="AF52" i="1"/>
  <c r="AD18" i="1"/>
  <c r="AC38" i="1"/>
  <c r="AC37" i="1"/>
  <c r="AE52" i="1"/>
  <c r="AC55" i="1"/>
  <c r="AF18" i="1"/>
  <c r="BG30" i="1"/>
  <c r="BH30" i="1"/>
  <c r="BJ30" i="1" s="1"/>
  <c r="BG46" i="1"/>
  <c r="BI46" i="1" s="1"/>
  <c r="BH46" i="1"/>
  <c r="BJ46" i="1" s="1"/>
  <c r="BI62" i="1"/>
  <c r="BH62" i="1"/>
  <c r="BJ62" i="1" s="1"/>
  <c r="BG62" i="1"/>
  <c r="BH78" i="1"/>
  <c r="BJ78" i="1" s="1"/>
  <c r="BI78" i="1"/>
  <c r="BG78" i="1"/>
  <c r="BG31" i="1"/>
  <c r="BH31" i="1"/>
  <c r="BJ31" i="1" s="1"/>
  <c r="BI31" i="1"/>
  <c r="BG47" i="1"/>
  <c r="BH47" i="1"/>
  <c r="BJ47" i="1" s="1"/>
  <c r="BH63" i="1"/>
  <c r="BJ63" i="1" s="1"/>
  <c r="BG63" i="1"/>
  <c r="BI63" i="1"/>
  <c r="BH79" i="1"/>
  <c r="BJ79" i="1" s="1"/>
  <c r="BG79" i="1"/>
  <c r="BI79" i="1"/>
  <c r="BH32" i="1"/>
  <c r="BJ32" i="1" s="1"/>
  <c r="BG32" i="1"/>
  <c r="BI32" i="1"/>
  <c r="BH48" i="1"/>
  <c r="BJ48" i="1" s="1"/>
  <c r="BG48" i="1"/>
  <c r="BI48" i="1" s="1"/>
  <c r="BI64" i="1"/>
  <c r="BG64" i="1"/>
  <c r="BH64" i="1"/>
  <c r="BJ64" i="1" s="1"/>
  <c r="BH17" i="1"/>
  <c r="BJ17" i="1" s="1"/>
  <c r="BG17" i="1"/>
  <c r="BI17" i="1"/>
  <c r="BG33" i="1"/>
  <c r="BI33" i="1"/>
  <c r="BH33" i="1"/>
  <c r="BJ33" i="1" s="1"/>
  <c r="BH49" i="1"/>
  <c r="BJ49" i="1" s="1"/>
  <c r="BG49" i="1"/>
  <c r="BI49" i="1" s="1"/>
  <c r="BI65" i="1"/>
  <c r="BG65" i="1"/>
  <c r="BH65" i="1"/>
  <c r="BJ65" i="1" s="1"/>
  <c r="BG18" i="1"/>
  <c r="BI18" i="1" s="1"/>
  <c r="BH18" i="1"/>
  <c r="BJ18" i="1" s="1"/>
  <c r="BH34" i="1"/>
  <c r="BJ34" i="1" s="1"/>
  <c r="BG34" i="1"/>
  <c r="BG50" i="1"/>
  <c r="BH50" i="1"/>
  <c r="BG66" i="1"/>
  <c r="BI66" i="1"/>
  <c r="BH66" i="1"/>
  <c r="BJ66" i="1" s="1"/>
  <c r="BG19" i="1"/>
  <c r="BH19" i="1"/>
  <c r="BJ19" i="1" s="1"/>
  <c r="BI19" i="1"/>
  <c r="BH35" i="1"/>
  <c r="BJ35" i="1" s="1"/>
  <c r="BG35" i="1"/>
  <c r="BI35" i="1" s="1"/>
  <c r="BG51" i="1"/>
  <c r="BH51" i="1"/>
  <c r="BG67" i="1"/>
  <c r="BI67" i="1"/>
  <c r="BH67" i="1"/>
  <c r="BJ67" i="1" s="1"/>
  <c r="BH20" i="1"/>
  <c r="BJ20" i="1" s="1"/>
  <c r="BG20" i="1"/>
  <c r="BI20" i="1"/>
  <c r="BH36" i="1"/>
  <c r="BJ36" i="1" s="1"/>
  <c r="BG36" i="1"/>
  <c r="BI36" i="1" s="1"/>
  <c r="BH52" i="1"/>
  <c r="BJ52" i="1" s="1"/>
  <c r="BG52" i="1"/>
  <c r="BI52" i="1"/>
  <c r="BI68" i="1"/>
  <c r="BG68" i="1"/>
  <c r="BH68" i="1"/>
  <c r="BJ68" i="1" s="1"/>
  <c r="BG21" i="1"/>
  <c r="BI21" i="1" s="1"/>
  <c r="BH21" i="1"/>
  <c r="BJ21" i="1" s="1"/>
  <c r="BG37" i="1"/>
  <c r="BH37" i="1"/>
  <c r="BJ37" i="1" s="1"/>
  <c r="BI53" i="1"/>
  <c r="BG53" i="1"/>
  <c r="BH53" i="1"/>
  <c r="BJ53" i="1" s="1"/>
  <c r="BG69" i="1"/>
  <c r="BI69" i="1"/>
  <c r="BH69" i="1"/>
  <c r="BJ69" i="1" s="1"/>
  <c r="BG22" i="1"/>
  <c r="BH22" i="1"/>
  <c r="BJ22" i="1" s="1"/>
  <c r="BG38" i="1"/>
  <c r="BH38" i="1"/>
  <c r="BH54" i="1"/>
  <c r="BJ54" i="1" s="1"/>
  <c r="BI54" i="1"/>
  <c r="BG54" i="1"/>
  <c r="BH70" i="1"/>
  <c r="BJ70" i="1" s="1"/>
  <c r="BI70" i="1"/>
  <c r="BG70" i="1"/>
  <c r="BG23" i="1"/>
  <c r="BI23" i="1" s="1"/>
  <c r="BH23" i="1"/>
  <c r="BJ23" i="1" s="1"/>
  <c r="BH39" i="1"/>
  <c r="BJ39" i="1" s="1"/>
  <c r="BG39" i="1"/>
  <c r="BI39" i="1"/>
  <c r="BI55" i="1"/>
  <c r="BG55" i="1"/>
  <c r="BH55" i="1"/>
  <c r="BJ55" i="1" s="1"/>
  <c r="BH71" i="1"/>
  <c r="BJ71" i="1" s="1"/>
  <c r="BG71" i="1"/>
  <c r="BI71" i="1"/>
  <c r="BH24" i="1"/>
  <c r="BJ24" i="1" s="1"/>
  <c r="BI24" i="1"/>
  <c r="BG24" i="1"/>
  <c r="BG40" i="1"/>
  <c r="BI40" i="1" s="1"/>
  <c r="BH40" i="1"/>
  <c r="BJ40" i="1" s="1"/>
  <c r="BG56" i="1"/>
  <c r="BH56" i="1"/>
  <c r="BJ56" i="1" s="1"/>
  <c r="BI56" i="1"/>
  <c r="BI72" i="1"/>
  <c r="BG72" i="1"/>
  <c r="BH72" i="1"/>
  <c r="BJ72" i="1" s="1"/>
  <c r="BH25" i="1"/>
  <c r="BG25" i="1"/>
  <c r="BH41" i="1"/>
  <c r="BJ41" i="1" s="1"/>
  <c r="BG41" i="1"/>
  <c r="BI41" i="1" s="1"/>
  <c r="BH57" i="1"/>
  <c r="BJ57" i="1" s="1"/>
  <c r="BI57" i="1"/>
  <c r="BG57" i="1"/>
  <c r="BH73" i="1"/>
  <c r="BJ73" i="1" s="1"/>
  <c r="BI73" i="1"/>
  <c r="BG73" i="1"/>
  <c r="BH26" i="1"/>
  <c r="BJ26" i="1" s="1"/>
  <c r="BG26" i="1"/>
  <c r="BI26" i="1" s="1"/>
  <c r="BH42" i="1"/>
  <c r="BJ42" i="1" s="1"/>
  <c r="BG42" i="1"/>
  <c r="BI42" i="1" s="1"/>
  <c r="BI58" i="1"/>
  <c r="BG58" i="1"/>
  <c r="BH58" i="1"/>
  <c r="BJ58" i="1" s="1"/>
  <c r="BG74" i="1"/>
  <c r="BI74" i="1"/>
  <c r="BH74" i="1"/>
  <c r="BJ74" i="1" s="1"/>
  <c r="BG27" i="1"/>
  <c r="BI27" i="1" s="1"/>
  <c r="BH27" i="1"/>
  <c r="BJ27" i="1" s="1"/>
  <c r="BH43" i="1"/>
  <c r="BJ43" i="1" s="1"/>
  <c r="BI43" i="1"/>
  <c r="BG43" i="1"/>
  <c r="BI59" i="1"/>
  <c r="BG59" i="1"/>
  <c r="BH59" i="1"/>
  <c r="BJ59" i="1" s="1"/>
  <c r="BI75" i="1"/>
  <c r="BH75" i="1"/>
  <c r="BJ75" i="1" s="1"/>
  <c r="BG75" i="1"/>
  <c r="BG28" i="1"/>
  <c r="BH28" i="1"/>
  <c r="BG44" i="1"/>
  <c r="BH44" i="1"/>
  <c r="BG60" i="1"/>
  <c r="BI60" i="1"/>
  <c r="BH60" i="1"/>
  <c r="BJ60" i="1" s="1"/>
  <c r="BI76" i="1"/>
  <c r="BG76" i="1"/>
  <c r="BH76" i="1"/>
  <c r="BJ76" i="1" s="1"/>
  <c r="BG29" i="1"/>
  <c r="BH29" i="1"/>
  <c r="BI61" i="1"/>
  <c r="BH61" i="1"/>
  <c r="BJ61" i="1" s="1"/>
  <c r="BG61" i="1"/>
  <c r="BG77" i="1"/>
  <c r="BH77" i="1"/>
  <c r="BJ77" i="1" s="1"/>
  <c r="BI77" i="1"/>
  <c r="AF67" i="1"/>
  <c r="AF35" i="1"/>
  <c r="BD78" i="1"/>
  <c r="BA78" i="1"/>
  <c r="BC78" i="1"/>
  <c r="BB78" i="1"/>
  <c r="BA20" i="1"/>
  <c r="BC20" i="1"/>
  <c r="BB20" i="1"/>
  <c r="BD20" i="1"/>
  <c r="BC37" i="1"/>
  <c r="BA37" i="1"/>
  <c r="BD37" i="1"/>
  <c r="BB37" i="1"/>
  <c r="AD72" i="1"/>
  <c r="AF48" i="1"/>
  <c r="AF72" i="1"/>
  <c r="AC72" i="1"/>
  <c r="BD30" i="1"/>
  <c r="BC30" i="1"/>
  <c r="BA30" i="1"/>
  <c r="BB30" i="1"/>
  <c r="BA24" i="1"/>
  <c r="BD24" i="1"/>
  <c r="BB24" i="1"/>
  <c r="BC24" i="1"/>
  <c r="BD56" i="1"/>
  <c r="BA56" i="1"/>
  <c r="BC56" i="1"/>
  <c r="BB56" i="1"/>
  <c r="BD26" i="1"/>
  <c r="BC26" i="1"/>
  <c r="BA26" i="1"/>
  <c r="BB26" i="1"/>
  <c r="BD22" i="1"/>
  <c r="BB22" i="1"/>
  <c r="BA22" i="1"/>
  <c r="BC22" i="1"/>
  <c r="BD34" i="1"/>
  <c r="BB34" i="1"/>
  <c r="BC34" i="1"/>
  <c r="BA34" i="1"/>
  <c r="BA28" i="1"/>
  <c r="BB28" i="1"/>
  <c r="BD28" i="1"/>
  <c r="BC28" i="1"/>
  <c r="BD60" i="1"/>
  <c r="BA60" i="1"/>
  <c r="BC60" i="1"/>
  <c r="BB60" i="1"/>
  <c r="BC23" i="1"/>
  <c r="BD23" i="1"/>
  <c r="BB23" i="1"/>
  <c r="BA23" i="1"/>
  <c r="BD39" i="1"/>
  <c r="BB39" i="1"/>
  <c r="BC39" i="1"/>
  <c r="BA39" i="1"/>
  <c r="BD55" i="1"/>
  <c r="BA55" i="1"/>
  <c r="BB55" i="1"/>
  <c r="BC55" i="1"/>
  <c r="BD71" i="1"/>
  <c r="BA71" i="1"/>
  <c r="BB71" i="1"/>
  <c r="BC71" i="1"/>
  <c r="BC25" i="1"/>
  <c r="BA25" i="1"/>
  <c r="BD25" i="1"/>
  <c r="BB25" i="1"/>
  <c r="BC41" i="1"/>
  <c r="BA41" i="1"/>
  <c r="BD41" i="1"/>
  <c r="BB41" i="1"/>
  <c r="BC57" i="1"/>
  <c r="BD57" i="1"/>
  <c r="BA57" i="1"/>
  <c r="BB57" i="1"/>
  <c r="BC73" i="1"/>
  <c r="BD73" i="1"/>
  <c r="BA73" i="1"/>
  <c r="BB73" i="1"/>
  <c r="BD48" i="1"/>
  <c r="BC48" i="1"/>
  <c r="BA48" i="1"/>
  <c r="BB48" i="1"/>
  <c r="BD74" i="1"/>
  <c r="BA74" i="1"/>
  <c r="BC74" i="1"/>
  <c r="BB74" i="1"/>
  <c r="BC19" i="1"/>
  <c r="BD19" i="1"/>
  <c r="BB19" i="1"/>
  <c r="BA19" i="1"/>
  <c r="BD51" i="1"/>
  <c r="BB51" i="1"/>
  <c r="BC51" i="1"/>
  <c r="BA51" i="1"/>
  <c r="BA21" i="1"/>
  <c r="BC21" i="1"/>
  <c r="BD21" i="1"/>
  <c r="BB21" i="1"/>
  <c r="BC69" i="1"/>
  <c r="BD69" i="1"/>
  <c r="BA69" i="1"/>
  <c r="BB69" i="1"/>
  <c r="AE48" i="1"/>
  <c r="AC76" i="1"/>
  <c r="AF76" i="1"/>
  <c r="BD54" i="1"/>
  <c r="BC54" i="1"/>
  <c r="BA54" i="1"/>
  <c r="BB54" i="1"/>
  <c r="BD32" i="1"/>
  <c r="BB32" i="1"/>
  <c r="BC32" i="1"/>
  <c r="BA32" i="1"/>
  <c r="BD64" i="1"/>
  <c r="BA64" i="1"/>
  <c r="BC64" i="1"/>
  <c r="BB64" i="1"/>
  <c r="BD42" i="1"/>
  <c r="BC42" i="1"/>
  <c r="BA42" i="1"/>
  <c r="BB42" i="1"/>
  <c r="BD46" i="1"/>
  <c r="BC46" i="1"/>
  <c r="BA46" i="1"/>
  <c r="BB46" i="1"/>
  <c r="BD50" i="1"/>
  <c r="BC50" i="1"/>
  <c r="BA50" i="1"/>
  <c r="BB50" i="1"/>
  <c r="BA36" i="1"/>
  <c r="BB36" i="1"/>
  <c r="BD36" i="1"/>
  <c r="BC36" i="1"/>
  <c r="BD68" i="1"/>
  <c r="BA68" i="1"/>
  <c r="BC68" i="1"/>
  <c r="BB68" i="1"/>
  <c r="BD27" i="1"/>
  <c r="BB27" i="1"/>
  <c r="BC27" i="1"/>
  <c r="BA27" i="1"/>
  <c r="BD43" i="1"/>
  <c r="BB43" i="1"/>
  <c r="BC43" i="1"/>
  <c r="BA43" i="1"/>
  <c r="BD59" i="1"/>
  <c r="BA59" i="1"/>
  <c r="BB59" i="1"/>
  <c r="BC59" i="1"/>
  <c r="BD75" i="1"/>
  <c r="BA75" i="1"/>
  <c r="BB75" i="1"/>
  <c r="BC75" i="1"/>
  <c r="BC29" i="1"/>
  <c r="BA29" i="1"/>
  <c r="BD29" i="1"/>
  <c r="BB29" i="1"/>
  <c r="BC61" i="1"/>
  <c r="BD61" i="1"/>
  <c r="BA61" i="1"/>
  <c r="BB61" i="1"/>
  <c r="BC77" i="1"/>
  <c r="BD77" i="1"/>
  <c r="BA77" i="1"/>
  <c r="BB77" i="1"/>
  <c r="BD17" i="1"/>
  <c r="BA17" i="1"/>
  <c r="BB17" i="1"/>
  <c r="BC17" i="1"/>
  <c r="BD38" i="1"/>
  <c r="BC38" i="1"/>
  <c r="BA38" i="1"/>
  <c r="BB38" i="1"/>
  <c r="BD18" i="1"/>
  <c r="BA18" i="1"/>
  <c r="BC18" i="1"/>
  <c r="BB18" i="1"/>
  <c r="BA52" i="1"/>
  <c r="BD52" i="1"/>
  <c r="BC52" i="1"/>
  <c r="BB52" i="1"/>
  <c r="BD35" i="1"/>
  <c r="BB35" i="1"/>
  <c r="BC35" i="1"/>
  <c r="BA35" i="1"/>
  <c r="BD67" i="1"/>
  <c r="BA67" i="1"/>
  <c r="BB67" i="1"/>
  <c r="BC67" i="1"/>
  <c r="BC53" i="1"/>
  <c r="BA53" i="1"/>
  <c r="BD53" i="1"/>
  <c r="BB53" i="1"/>
  <c r="AD33" i="1"/>
  <c r="AD35" i="1"/>
  <c r="AD67" i="1"/>
  <c r="AC35" i="1"/>
  <c r="BD70" i="1"/>
  <c r="BA70" i="1"/>
  <c r="BC70" i="1"/>
  <c r="BB70" i="1"/>
  <c r="BA40" i="1"/>
  <c r="BB40" i="1"/>
  <c r="BD40" i="1"/>
  <c r="BC40" i="1"/>
  <c r="BD72" i="1"/>
  <c r="BA72" i="1"/>
  <c r="BC72" i="1"/>
  <c r="BB72" i="1"/>
  <c r="BD58" i="1"/>
  <c r="BA58" i="1"/>
  <c r="BC58" i="1"/>
  <c r="BB58" i="1"/>
  <c r="BD62" i="1"/>
  <c r="BA62" i="1"/>
  <c r="BC62" i="1"/>
  <c r="BB62" i="1"/>
  <c r="BD66" i="1"/>
  <c r="BA66" i="1"/>
  <c r="BC66" i="1"/>
  <c r="BB66" i="1"/>
  <c r="BA44" i="1"/>
  <c r="BD44" i="1"/>
  <c r="BB44" i="1"/>
  <c r="BC44" i="1"/>
  <c r="BD76" i="1"/>
  <c r="BA76" i="1"/>
  <c r="BC76" i="1"/>
  <c r="BB76" i="1"/>
  <c r="BD31" i="1"/>
  <c r="BB31" i="1"/>
  <c r="BC31" i="1"/>
  <c r="BA31" i="1"/>
  <c r="BD63" i="1"/>
  <c r="BA63" i="1"/>
  <c r="BB63" i="1"/>
  <c r="BC63" i="1"/>
  <c r="BD79" i="1"/>
  <c r="BA79" i="1"/>
  <c r="BB79" i="1"/>
  <c r="BC79" i="1"/>
  <c r="BC33" i="1"/>
  <c r="BA33" i="1"/>
  <c r="BD33" i="1"/>
  <c r="BB33" i="1"/>
  <c r="BC49" i="1"/>
  <c r="BA49" i="1"/>
  <c r="BD49" i="1"/>
  <c r="BB49" i="1"/>
  <c r="BC65" i="1"/>
  <c r="BD65" i="1"/>
  <c r="BA65" i="1"/>
  <c r="BB65" i="1"/>
  <c r="AW28" i="1"/>
  <c r="AU28" i="1"/>
  <c r="AX28" i="1"/>
  <c r="AV28" i="1"/>
  <c r="AV61" i="1"/>
  <c r="AW61" i="1"/>
  <c r="AX61" i="1"/>
  <c r="AU61" i="1"/>
  <c r="AV77" i="1"/>
  <c r="AW77" i="1"/>
  <c r="AX77" i="1"/>
  <c r="AU77" i="1"/>
  <c r="AW29" i="1"/>
  <c r="AX29" i="1"/>
  <c r="AV29" i="1"/>
  <c r="AU29" i="1"/>
  <c r="AV46" i="1"/>
  <c r="AX46" i="1"/>
  <c r="AW46" i="1"/>
  <c r="AU46" i="1"/>
  <c r="AV62" i="1"/>
  <c r="AX62" i="1"/>
  <c r="AW62" i="1"/>
  <c r="AU62" i="1"/>
  <c r="AV78" i="1"/>
  <c r="AX78" i="1"/>
  <c r="AW78" i="1"/>
  <c r="AU78" i="1"/>
  <c r="AX30" i="1"/>
  <c r="AV30" i="1"/>
  <c r="AW30" i="1"/>
  <c r="AU30" i="1"/>
  <c r="AV47" i="1"/>
  <c r="AU47" i="1"/>
  <c r="AX47" i="1"/>
  <c r="AW47" i="1"/>
  <c r="AV63" i="1"/>
  <c r="AX63" i="1"/>
  <c r="AW63" i="1"/>
  <c r="AU63" i="1"/>
  <c r="AV79" i="1"/>
  <c r="AX79" i="1"/>
  <c r="AW79" i="1"/>
  <c r="AU79" i="1"/>
  <c r="AU31" i="1"/>
  <c r="AX31" i="1"/>
  <c r="AV31" i="1"/>
  <c r="AW31" i="1"/>
  <c r="AV48" i="1"/>
  <c r="AW48" i="1"/>
  <c r="AX48" i="1"/>
  <c r="AU48" i="1"/>
  <c r="AV64" i="1"/>
  <c r="AW64" i="1"/>
  <c r="AX64" i="1"/>
  <c r="AU64" i="1"/>
  <c r="AW44" i="1"/>
  <c r="AV44" i="1"/>
  <c r="AX44" i="1"/>
  <c r="AU44" i="1"/>
  <c r="AC62" i="1"/>
  <c r="AD79" i="1"/>
  <c r="AC31" i="1"/>
  <c r="AC47" i="1"/>
  <c r="AF39" i="1"/>
  <c r="AF30" i="1"/>
  <c r="AX32" i="1"/>
  <c r="AU32" i="1"/>
  <c r="AV32" i="1"/>
  <c r="AV49" i="1"/>
  <c r="AW49" i="1"/>
  <c r="AU49" i="1"/>
  <c r="AX49" i="1"/>
  <c r="AV65" i="1"/>
  <c r="AW65" i="1"/>
  <c r="AX65" i="1"/>
  <c r="AU65" i="1"/>
  <c r="AX17" i="1"/>
  <c r="AW17" i="1"/>
  <c r="AV17" i="1"/>
  <c r="AU17" i="1"/>
  <c r="AW33" i="1"/>
  <c r="AU33" i="1"/>
  <c r="AX33" i="1"/>
  <c r="AV33" i="1"/>
  <c r="AV50" i="1"/>
  <c r="AX50" i="1"/>
  <c r="AW50" i="1"/>
  <c r="AU50" i="1"/>
  <c r="AV66" i="1"/>
  <c r="AX66" i="1"/>
  <c r="AW66" i="1"/>
  <c r="AU66" i="1"/>
  <c r="AX18" i="1"/>
  <c r="AW18" i="1"/>
  <c r="AU18" i="1"/>
  <c r="AV18" i="1"/>
  <c r="AX34" i="1"/>
  <c r="AV34" i="1"/>
  <c r="AU34" i="1"/>
  <c r="AW34" i="1"/>
  <c r="AV51" i="1"/>
  <c r="AX51" i="1"/>
  <c r="AW51" i="1"/>
  <c r="AU51" i="1"/>
  <c r="AV67" i="1"/>
  <c r="AX67" i="1"/>
  <c r="AW67" i="1"/>
  <c r="AU67" i="1"/>
  <c r="AV19" i="1"/>
  <c r="AX19" i="1"/>
  <c r="AW19" i="1"/>
  <c r="AU19" i="1"/>
  <c r="AX35" i="1"/>
  <c r="AU35" i="1"/>
  <c r="AW35" i="1"/>
  <c r="AV35" i="1"/>
  <c r="AV52" i="1"/>
  <c r="AW52" i="1"/>
  <c r="AX52" i="1"/>
  <c r="AU52" i="1"/>
  <c r="AV68" i="1"/>
  <c r="AW68" i="1"/>
  <c r="AX68" i="1"/>
  <c r="AU68" i="1"/>
  <c r="AC57" i="1"/>
  <c r="AD46" i="1"/>
  <c r="AC30" i="1"/>
  <c r="AE29" i="1"/>
  <c r="AD31" i="1"/>
  <c r="AD47" i="1"/>
  <c r="AF79" i="1"/>
  <c r="AX20" i="1"/>
  <c r="AW20" i="1"/>
  <c r="AV20" i="1"/>
  <c r="AU20" i="1"/>
  <c r="AW36" i="1"/>
  <c r="AX36" i="1"/>
  <c r="AU36" i="1"/>
  <c r="AV36" i="1"/>
  <c r="AV53" i="1"/>
  <c r="AW53" i="1"/>
  <c r="AX53" i="1"/>
  <c r="AU53" i="1"/>
  <c r="AV69" i="1"/>
  <c r="AW69" i="1"/>
  <c r="AX69" i="1"/>
  <c r="AU69" i="1"/>
  <c r="AV21" i="1"/>
  <c r="AX21" i="1"/>
  <c r="AW21" i="1"/>
  <c r="AU21" i="1"/>
  <c r="AW37" i="1"/>
  <c r="AV37" i="1"/>
  <c r="AX37" i="1"/>
  <c r="AU37" i="1"/>
  <c r="AU54" i="1"/>
  <c r="AX54" i="1"/>
  <c r="AW54" i="1"/>
  <c r="AV54" i="1"/>
  <c r="AV70" i="1"/>
  <c r="AX70" i="1"/>
  <c r="AW70" i="1"/>
  <c r="AU70" i="1"/>
  <c r="AX38" i="1"/>
  <c r="AV38" i="1"/>
  <c r="AW38" i="1"/>
  <c r="AU38" i="1"/>
  <c r="AV55" i="1"/>
  <c r="AX55" i="1"/>
  <c r="AW55" i="1"/>
  <c r="AU55" i="1"/>
  <c r="AX71" i="1"/>
  <c r="AV71" i="1"/>
  <c r="AW71" i="1"/>
  <c r="AU71" i="1"/>
  <c r="AV23" i="1"/>
  <c r="AU23" i="1"/>
  <c r="AX23" i="1"/>
  <c r="AW23" i="1"/>
  <c r="AU39" i="1"/>
  <c r="AX39" i="1"/>
  <c r="AW39" i="1"/>
  <c r="AV39" i="1"/>
  <c r="AV56" i="1"/>
  <c r="AW56" i="1"/>
  <c r="AX56" i="1"/>
  <c r="AU56" i="1"/>
  <c r="AV72" i="1"/>
  <c r="AW72" i="1"/>
  <c r="AX72" i="1"/>
  <c r="AU72" i="1"/>
  <c r="AW24" i="1"/>
  <c r="AX24" i="1"/>
  <c r="AV24" i="1"/>
  <c r="AU24" i="1"/>
  <c r="AW40" i="1"/>
  <c r="AX40" i="1"/>
  <c r="AV40" i="1"/>
  <c r="AU40" i="1"/>
  <c r="AV57" i="1"/>
  <c r="AW57" i="1"/>
  <c r="AX57" i="1"/>
  <c r="AU57" i="1"/>
  <c r="AV73" i="1"/>
  <c r="AW73" i="1"/>
  <c r="AX73" i="1"/>
  <c r="AU73" i="1"/>
  <c r="AU25" i="1"/>
  <c r="AV25" i="1"/>
  <c r="AX25" i="1"/>
  <c r="AW41" i="1"/>
  <c r="AU41" i="1"/>
  <c r="AX41" i="1"/>
  <c r="AV41" i="1"/>
  <c r="AV58" i="1"/>
  <c r="AX58" i="1"/>
  <c r="AW58" i="1"/>
  <c r="AU58" i="1"/>
  <c r="AV74" i="1"/>
  <c r="AX74" i="1"/>
  <c r="AW74" i="1"/>
  <c r="AU74" i="1"/>
  <c r="AX26" i="1"/>
  <c r="AU26" i="1"/>
  <c r="AW26" i="1"/>
  <c r="AV26" i="1"/>
  <c r="AX42" i="1"/>
  <c r="AV42" i="1"/>
  <c r="AU42" i="1"/>
  <c r="AW42" i="1"/>
  <c r="AV59" i="1"/>
  <c r="AX59" i="1"/>
  <c r="AW59" i="1"/>
  <c r="AU59" i="1"/>
  <c r="AV75" i="1"/>
  <c r="AX75" i="1"/>
  <c r="AW75" i="1"/>
  <c r="AU75" i="1"/>
  <c r="AX27" i="1"/>
  <c r="AU27" i="1"/>
  <c r="AW27" i="1"/>
  <c r="AV27" i="1"/>
  <c r="AX43" i="1"/>
  <c r="AV43" i="1"/>
  <c r="AU43" i="1"/>
  <c r="AW43" i="1"/>
  <c r="AV60" i="1"/>
  <c r="AW60" i="1"/>
  <c r="AX60" i="1"/>
  <c r="AU60" i="1"/>
  <c r="AV76" i="1"/>
  <c r="AW76" i="1"/>
  <c r="AX76" i="1"/>
  <c r="AU76" i="1"/>
  <c r="AE33" i="1"/>
  <c r="AD77" i="1"/>
  <c r="AD66" i="1"/>
  <c r="AC66" i="1"/>
  <c r="AC52" i="1"/>
  <c r="AD50" i="1"/>
  <c r="AD76" i="1"/>
  <c r="AC33" i="1"/>
  <c r="AC50" i="1"/>
  <c r="AC67" i="1"/>
  <c r="AD61" i="1"/>
  <c r="AD51" i="1"/>
  <c r="AC51" i="1"/>
  <c r="AF51" i="1"/>
  <c r="AI17" i="1"/>
  <c r="AK17" i="1" s="1"/>
  <c r="AL17" i="1" s="1"/>
  <c r="AC44" i="1"/>
  <c r="AF50" i="1"/>
  <c r="AF66" i="1"/>
  <c r="AR79" i="1"/>
  <c r="AQ79" i="1"/>
  <c r="AO79" i="1"/>
  <c r="AP79" i="1"/>
  <c r="AP64" i="1"/>
  <c r="AO64" i="1"/>
  <c r="AR64" i="1"/>
  <c r="AQ64" i="1"/>
  <c r="AD49" i="1"/>
  <c r="AC21" i="1"/>
  <c r="AC49" i="1"/>
  <c r="AE68" i="1"/>
  <c r="AE37" i="1"/>
  <c r="AD71" i="1"/>
  <c r="AF71" i="1"/>
  <c r="AC68" i="1"/>
  <c r="AF32" i="1"/>
  <c r="AF38" i="1"/>
  <c r="AR35" i="1"/>
  <c r="AQ35" i="1"/>
  <c r="AO35" i="1"/>
  <c r="AP35" i="1"/>
  <c r="AP21" i="1"/>
  <c r="AR21" i="1"/>
  <c r="AQ21" i="1"/>
  <c r="AO21" i="1"/>
  <c r="AP53" i="1"/>
  <c r="AR53" i="1"/>
  <c r="AQ53" i="1"/>
  <c r="AO53" i="1"/>
  <c r="AR23" i="1"/>
  <c r="AQ23" i="1"/>
  <c r="AO23" i="1"/>
  <c r="AP23" i="1"/>
  <c r="AR55" i="1"/>
  <c r="AQ55" i="1"/>
  <c r="AO55" i="1"/>
  <c r="AP55" i="1"/>
  <c r="AR19" i="1"/>
  <c r="AP19" i="1"/>
  <c r="AO19" i="1"/>
  <c r="AQ19" i="1"/>
  <c r="AP17" i="1"/>
  <c r="AP49" i="1"/>
  <c r="AR49" i="1"/>
  <c r="AQ49" i="1"/>
  <c r="AO49" i="1"/>
  <c r="AR18" i="1"/>
  <c r="AP18" i="1"/>
  <c r="AQ18" i="1"/>
  <c r="AO18" i="1"/>
  <c r="AR34" i="1"/>
  <c r="AQ34" i="1"/>
  <c r="AO34" i="1"/>
  <c r="AP34" i="1"/>
  <c r="AR50" i="1"/>
  <c r="AQ50" i="1"/>
  <c r="AO50" i="1"/>
  <c r="AP50" i="1"/>
  <c r="AR66" i="1"/>
  <c r="AQ66" i="1"/>
  <c r="AO66" i="1"/>
  <c r="AP66" i="1"/>
  <c r="AQ20" i="1"/>
  <c r="AR20" i="1"/>
  <c r="AP20" i="1"/>
  <c r="AO20" i="1"/>
  <c r="AP36" i="1"/>
  <c r="AR36" i="1"/>
  <c r="AQ36" i="1"/>
  <c r="AO36" i="1"/>
  <c r="AP52" i="1"/>
  <c r="AO52" i="1"/>
  <c r="AR52" i="1"/>
  <c r="AQ52" i="1"/>
  <c r="AP68" i="1"/>
  <c r="AR68" i="1"/>
  <c r="AQ68" i="1"/>
  <c r="AO68" i="1"/>
  <c r="AP77" i="1"/>
  <c r="AR77" i="1"/>
  <c r="AQ77" i="1"/>
  <c r="AO77" i="1"/>
  <c r="AR59" i="1"/>
  <c r="AQ59" i="1"/>
  <c r="AO59" i="1"/>
  <c r="AP59" i="1"/>
  <c r="AP73" i="1"/>
  <c r="AR73" i="1"/>
  <c r="AQ73" i="1"/>
  <c r="AO73" i="1"/>
  <c r="AR46" i="1"/>
  <c r="AQ46" i="1"/>
  <c r="AP46" i="1"/>
  <c r="AO46" i="1"/>
  <c r="AR78" i="1"/>
  <c r="AQ78" i="1"/>
  <c r="AP78" i="1"/>
  <c r="AO78" i="1"/>
  <c r="AP48" i="1"/>
  <c r="AO48" i="1"/>
  <c r="AR48" i="1"/>
  <c r="AQ48" i="1"/>
  <c r="AC32" i="1"/>
  <c r="AE32" i="1"/>
  <c r="AD22" i="1"/>
  <c r="AC22" i="1"/>
  <c r="AE21" i="1"/>
  <c r="AE49" i="1"/>
  <c r="AD23" i="1"/>
  <c r="AD55" i="1"/>
  <c r="AF23" i="1"/>
  <c r="AF55" i="1"/>
  <c r="AF68" i="1"/>
  <c r="AR51" i="1"/>
  <c r="AQ51" i="1"/>
  <c r="AO51" i="1"/>
  <c r="AP51" i="1"/>
  <c r="AP29" i="1"/>
  <c r="AR29" i="1"/>
  <c r="AQ29" i="1"/>
  <c r="AO29" i="1"/>
  <c r="AP61" i="1"/>
  <c r="AR61" i="1"/>
  <c r="AQ61" i="1"/>
  <c r="AO61" i="1"/>
  <c r="AR31" i="1"/>
  <c r="AQ31" i="1"/>
  <c r="AO31" i="1"/>
  <c r="AP31" i="1"/>
  <c r="AR63" i="1"/>
  <c r="AQ63" i="1"/>
  <c r="AO63" i="1"/>
  <c r="AP63" i="1"/>
  <c r="AR27" i="1"/>
  <c r="AQ27" i="1"/>
  <c r="AO27" i="1"/>
  <c r="AP27" i="1"/>
  <c r="AP25" i="1"/>
  <c r="AR25" i="1"/>
  <c r="AQ25" i="1"/>
  <c r="AO25" i="1"/>
  <c r="AP57" i="1"/>
  <c r="AR57" i="1"/>
  <c r="AQ57" i="1"/>
  <c r="AO57" i="1"/>
  <c r="AR38" i="1"/>
  <c r="AQ38" i="1"/>
  <c r="AP38" i="1"/>
  <c r="AO38" i="1"/>
  <c r="AR54" i="1"/>
  <c r="AQ54" i="1"/>
  <c r="AP54" i="1"/>
  <c r="AO54" i="1"/>
  <c r="AR70" i="1"/>
  <c r="AQ70" i="1"/>
  <c r="AP70" i="1"/>
  <c r="AO70" i="1"/>
  <c r="AP24" i="1"/>
  <c r="AO24" i="1"/>
  <c r="AR24" i="1"/>
  <c r="AQ24" i="1"/>
  <c r="AP40" i="1"/>
  <c r="AO40" i="1"/>
  <c r="AR40" i="1"/>
  <c r="AQ40" i="1"/>
  <c r="AP56" i="1"/>
  <c r="AR56" i="1"/>
  <c r="AQ56" i="1"/>
  <c r="AO56" i="1"/>
  <c r="AP72" i="1"/>
  <c r="AO72" i="1"/>
  <c r="AR72" i="1"/>
  <c r="AQ72" i="1"/>
  <c r="AR75" i="1"/>
  <c r="AQ75" i="1"/>
  <c r="AO75" i="1"/>
  <c r="AP75" i="1"/>
  <c r="AR47" i="1"/>
  <c r="AQ47" i="1"/>
  <c r="AO47" i="1"/>
  <c r="AP47" i="1"/>
  <c r="AP41" i="1"/>
  <c r="AR41" i="1"/>
  <c r="AQ41" i="1"/>
  <c r="AO41" i="1"/>
  <c r="AR30" i="1"/>
  <c r="AQ30" i="1"/>
  <c r="AO30" i="1"/>
  <c r="AP30" i="1"/>
  <c r="AR62" i="1"/>
  <c r="AQ62" i="1"/>
  <c r="AP62" i="1"/>
  <c r="AO62" i="1"/>
  <c r="AP32" i="1"/>
  <c r="AR32" i="1"/>
  <c r="AQ32" i="1"/>
  <c r="AO32" i="1"/>
  <c r="AD65" i="1"/>
  <c r="AC65" i="1"/>
  <c r="AD38" i="1"/>
  <c r="AC54" i="1"/>
  <c r="AE65" i="1"/>
  <c r="AC71" i="1"/>
  <c r="AC70" i="1"/>
  <c r="AR67" i="1"/>
  <c r="AQ67" i="1"/>
  <c r="AO67" i="1"/>
  <c r="AP67" i="1"/>
  <c r="AP37" i="1"/>
  <c r="AR37" i="1"/>
  <c r="AQ37" i="1"/>
  <c r="AO37" i="1"/>
  <c r="AP69" i="1"/>
  <c r="AR69" i="1"/>
  <c r="AQ69" i="1"/>
  <c r="AO69" i="1"/>
  <c r="AR39" i="1"/>
  <c r="AQ39" i="1"/>
  <c r="AO39" i="1"/>
  <c r="AP39" i="1"/>
  <c r="AR71" i="1"/>
  <c r="AQ71" i="1"/>
  <c r="AO71" i="1"/>
  <c r="AP71" i="1"/>
  <c r="AR43" i="1"/>
  <c r="AQ43" i="1"/>
  <c r="AO43" i="1"/>
  <c r="AP43" i="1"/>
  <c r="AP33" i="1"/>
  <c r="AR33" i="1"/>
  <c r="AQ33" i="1"/>
  <c r="AO33" i="1"/>
  <c r="AP65" i="1"/>
  <c r="AR65" i="1"/>
  <c r="AQ65" i="1"/>
  <c r="AO65" i="1"/>
  <c r="AR26" i="1"/>
  <c r="AQ26" i="1"/>
  <c r="AO26" i="1"/>
  <c r="AP26" i="1"/>
  <c r="AR42" i="1"/>
  <c r="AQ42" i="1"/>
  <c r="AO42" i="1"/>
  <c r="AP42" i="1"/>
  <c r="AR58" i="1"/>
  <c r="AQ58" i="1"/>
  <c r="AO58" i="1"/>
  <c r="AP58" i="1"/>
  <c r="AR74" i="1"/>
  <c r="AQ74" i="1"/>
  <c r="AP74" i="1"/>
  <c r="AO74" i="1"/>
  <c r="AP28" i="1"/>
  <c r="AR28" i="1"/>
  <c r="AQ28" i="1"/>
  <c r="AO28" i="1"/>
  <c r="AP44" i="1"/>
  <c r="AR44" i="1"/>
  <c r="AQ44" i="1"/>
  <c r="AO44" i="1"/>
  <c r="AP60" i="1"/>
  <c r="AO60" i="1"/>
  <c r="AR60" i="1"/>
  <c r="AQ60" i="1"/>
  <c r="AP76" i="1"/>
  <c r="AR76" i="1"/>
  <c r="AQ76" i="1"/>
  <c r="AO76" i="1"/>
  <c r="AF22" i="1"/>
  <c r="AF54" i="1"/>
  <c r="AC36" i="1"/>
  <c r="AD69" i="1"/>
  <c r="AD26" i="1"/>
  <c r="AD25" i="1"/>
  <c r="AD53" i="1"/>
  <c r="AE53" i="1"/>
  <c r="AF36" i="1"/>
  <c r="AF74" i="1"/>
  <c r="AC74" i="1"/>
  <c r="AL53" i="1"/>
  <c r="AI53" i="1"/>
  <c r="AK53" i="1"/>
  <c r="AI20" i="1"/>
  <c r="AL20" i="1"/>
  <c r="AK20" i="1"/>
  <c r="AI52" i="1"/>
  <c r="AK52" i="1"/>
  <c r="AL52" i="1"/>
  <c r="AL21" i="1"/>
  <c r="AK21" i="1"/>
  <c r="AI21" i="1"/>
  <c r="AL49" i="1"/>
  <c r="AI49" i="1"/>
  <c r="AK49" i="1"/>
  <c r="AI48" i="1"/>
  <c r="AK48" i="1"/>
  <c r="AL48" i="1"/>
  <c r="AK18" i="1"/>
  <c r="AL18" i="1" s="1"/>
  <c r="AI18" i="1"/>
  <c r="AL34" i="1"/>
  <c r="AI34" i="1"/>
  <c r="AK34" i="1"/>
  <c r="AL50" i="1"/>
  <c r="AI50" i="1"/>
  <c r="AK50" i="1"/>
  <c r="AL66" i="1"/>
  <c r="AI66" i="1"/>
  <c r="AK66" i="1"/>
  <c r="AK19" i="1"/>
  <c r="AL19" i="1" s="1"/>
  <c r="AI19" i="1"/>
  <c r="AK35" i="1"/>
  <c r="AL35" i="1"/>
  <c r="AI35" i="1"/>
  <c r="AK51" i="1"/>
  <c r="AL51" i="1"/>
  <c r="AI51" i="1"/>
  <c r="AK67" i="1"/>
  <c r="AL67" i="1"/>
  <c r="AI67" i="1"/>
  <c r="AC40" i="1"/>
  <c r="AD57" i="1"/>
  <c r="AD73" i="1"/>
  <c r="AC25" i="1"/>
  <c r="AC41" i="1"/>
  <c r="AD30" i="1"/>
  <c r="AE57" i="1"/>
  <c r="AF40" i="1"/>
  <c r="AF60" i="1"/>
  <c r="AF58" i="1"/>
  <c r="AL77" i="1"/>
  <c r="AI77" i="1"/>
  <c r="AK77" i="1"/>
  <c r="AI76" i="1"/>
  <c r="AK76" i="1"/>
  <c r="AL76" i="1"/>
  <c r="AI44" i="1"/>
  <c r="AK44" i="1"/>
  <c r="AL44" i="1"/>
  <c r="AL73" i="1"/>
  <c r="AI73" i="1"/>
  <c r="AK73" i="1"/>
  <c r="AL41" i="1"/>
  <c r="AI41" i="1"/>
  <c r="AK41" i="1"/>
  <c r="AI72" i="1"/>
  <c r="AK72" i="1"/>
  <c r="AL72" i="1"/>
  <c r="AI40" i="1"/>
  <c r="AK40" i="1"/>
  <c r="AL40" i="1"/>
  <c r="AL38" i="1"/>
  <c r="AK38" i="1"/>
  <c r="AI38" i="1"/>
  <c r="AL54" i="1"/>
  <c r="AK54" i="1"/>
  <c r="AI54" i="1"/>
  <c r="AL70" i="1"/>
  <c r="AK70" i="1"/>
  <c r="AI70" i="1"/>
  <c r="AL23" i="1"/>
  <c r="AK23" i="1"/>
  <c r="AI23" i="1"/>
  <c r="AK39" i="1"/>
  <c r="AL39" i="1"/>
  <c r="AI39" i="1"/>
  <c r="AK55" i="1"/>
  <c r="AL55" i="1"/>
  <c r="AI55" i="1"/>
  <c r="AK71" i="1"/>
  <c r="AL71" i="1"/>
  <c r="AI71" i="1"/>
  <c r="AD21" i="1"/>
  <c r="AD41" i="1"/>
  <c r="AC69" i="1"/>
  <c r="AD54" i="1"/>
  <c r="AD70" i="1"/>
  <c r="AC42" i="1"/>
  <c r="AC58" i="1"/>
  <c r="AE25" i="1"/>
  <c r="AE41" i="1"/>
  <c r="AF42" i="1"/>
  <c r="AL69" i="1"/>
  <c r="AI69" i="1"/>
  <c r="AK69" i="1"/>
  <c r="AL37" i="1"/>
  <c r="AI37" i="1"/>
  <c r="AK37" i="1"/>
  <c r="AI68" i="1"/>
  <c r="AK68" i="1"/>
  <c r="AL68" i="1"/>
  <c r="AI36" i="1"/>
  <c r="AK36" i="1"/>
  <c r="AL36" i="1"/>
  <c r="AL65" i="1"/>
  <c r="AI65" i="1"/>
  <c r="AK65" i="1"/>
  <c r="AL33" i="1"/>
  <c r="AI33" i="1"/>
  <c r="AK33" i="1"/>
  <c r="AI64" i="1"/>
  <c r="AK64" i="1"/>
  <c r="AL64" i="1"/>
  <c r="AI32" i="1"/>
  <c r="AK32" i="1"/>
  <c r="AL32" i="1"/>
  <c r="AL26" i="1"/>
  <c r="AI26" i="1"/>
  <c r="AK26" i="1"/>
  <c r="AL42" i="1"/>
  <c r="AI42" i="1"/>
  <c r="AK42" i="1"/>
  <c r="AL58" i="1"/>
  <c r="AI58" i="1"/>
  <c r="AK58" i="1"/>
  <c r="AL74" i="1"/>
  <c r="AI74" i="1"/>
  <c r="AK74" i="1"/>
  <c r="AK27" i="1"/>
  <c r="AL27" i="1"/>
  <c r="AI27" i="1"/>
  <c r="AK43" i="1"/>
  <c r="AL43" i="1"/>
  <c r="AI43" i="1"/>
  <c r="AK59" i="1"/>
  <c r="AL59" i="1"/>
  <c r="AI59" i="1"/>
  <c r="AK75" i="1"/>
  <c r="AI75" i="1"/>
  <c r="AL75" i="1"/>
  <c r="AC53" i="1"/>
  <c r="AC73" i="1"/>
  <c r="AE36" i="1"/>
  <c r="AD42" i="1"/>
  <c r="AD58" i="1"/>
  <c r="AD74" i="1"/>
  <c r="AC26" i="1"/>
  <c r="AE69" i="1"/>
  <c r="AD59" i="1"/>
  <c r="AD75" i="1"/>
  <c r="AC59" i="1"/>
  <c r="AC75" i="1"/>
  <c r="AF59" i="1"/>
  <c r="AF75" i="1"/>
  <c r="AC60" i="1"/>
  <c r="AF26" i="1"/>
  <c r="AF70" i="1"/>
  <c r="AL61" i="1"/>
  <c r="AI61" i="1"/>
  <c r="AK61" i="1"/>
  <c r="AL29" i="1"/>
  <c r="AI29" i="1"/>
  <c r="AK29" i="1"/>
  <c r="AI60" i="1"/>
  <c r="AK60" i="1"/>
  <c r="AL60" i="1"/>
  <c r="AI28" i="1"/>
  <c r="AK28" i="1"/>
  <c r="AL28" i="1"/>
  <c r="AL57" i="1"/>
  <c r="AI57" i="1"/>
  <c r="AK57" i="1"/>
  <c r="AL25" i="1"/>
  <c r="AI25" i="1"/>
  <c r="AK25" i="1"/>
  <c r="AI56" i="1"/>
  <c r="AK56" i="1"/>
  <c r="AL56" i="1"/>
  <c r="AI24" i="1"/>
  <c r="AL24" i="1"/>
  <c r="AK24" i="1"/>
  <c r="AL30" i="1"/>
  <c r="AK30" i="1"/>
  <c r="AI30" i="1"/>
  <c r="AL46" i="1"/>
  <c r="AK46" i="1"/>
  <c r="AI46" i="1"/>
  <c r="AL62" i="1"/>
  <c r="AK62" i="1"/>
  <c r="AI62" i="1"/>
  <c r="AL78" i="1"/>
  <c r="AK78" i="1"/>
  <c r="AI78" i="1"/>
  <c r="AK31" i="1"/>
  <c r="AL31" i="1"/>
  <c r="AI31" i="1"/>
  <c r="AK47" i="1"/>
  <c r="AL47" i="1"/>
  <c r="AI47" i="1"/>
  <c r="AK63" i="1"/>
  <c r="AL63" i="1"/>
  <c r="AI63" i="1"/>
  <c r="AK79" i="1"/>
  <c r="AL79" i="1"/>
  <c r="AI79" i="1"/>
  <c r="AD29" i="1"/>
  <c r="AD34" i="1"/>
  <c r="AC34" i="1"/>
  <c r="AE28" i="1"/>
  <c r="AE44" i="1"/>
  <c r="AF28" i="1"/>
  <c r="AF44" i="1"/>
  <c r="AF46" i="1"/>
  <c r="AF62" i="1"/>
  <c r="AC28" i="1"/>
  <c r="AC61" i="1"/>
  <c r="AC77" i="1"/>
  <c r="AE61" i="1"/>
  <c r="AE77" i="1"/>
  <c r="AF34" i="1"/>
  <c r="BI38" i="1" l="1"/>
  <c r="BJ38" i="1"/>
  <c r="BI51" i="1"/>
  <c r="BJ51" i="1"/>
  <c r="BI29" i="1"/>
  <c r="BJ29" i="1"/>
  <c r="BI44" i="1"/>
  <c r="BJ44" i="1"/>
  <c r="BI50" i="1"/>
  <c r="BJ50" i="1"/>
  <c r="BI28" i="1"/>
  <c r="BJ28" i="1"/>
  <c r="BI25" i="1"/>
  <c r="BJ25" i="1"/>
  <c r="J7" i="1"/>
  <c r="J8" i="1"/>
  <c r="J9" i="1"/>
  <c r="J10" i="1"/>
  <c r="J11" i="1"/>
  <c r="F4" i="1"/>
  <c r="H53" i="4"/>
  <c r="H54" i="4"/>
  <c r="D54" i="4"/>
  <c r="D53" i="4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18" i="1"/>
  <c r="B17" i="1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7" i="4"/>
  <c r="B32" i="4"/>
  <c r="B33" i="4"/>
  <c r="B34" i="4"/>
  <c r="B35" i="4"/>
  <c r="B31" i="4"/>
  <c r="B30" i="4"/>
  <c r="B29" i="4"/>
  <c r="B28" i="4"/>
  <c r="B27" i="4"/>
  <c r="B26" i="4"/>
  <c r="B25" i="4"/>
  <c r="B24" i="4"/>
  <c r="B23" i="4"/>
  <c r="B22" i="4"/>
  <c r="B21" i="4"/>
  <c r="B20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J6" i="1"/>
  <c r="E3" i="1"/>
  <c r="C18" i="1"/>
  <c r="C19" i="1"/>
  <c r="C20" i="1"/>
  <c r="C21" i="1"/>
  <c r="C22" i="1"/>
  <c r="AT22" i="1" s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BF45" i="1" s="1"/>
  <c r="C46" i="1"/>
  <c r="C47" i="1"/>
  <c r="AZ47" i="1" s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D75" i="1"/>
  <c r="D76" i="1"/>
  <c r="D77" i="1"/>
  <c r="D78" i="1"/>
  <c r="D79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C17" i="1"/>
  <c r="D17" i="1"/>
  <c r="W79" i="1" l="1"/>
  <c r="W17" i="1"/>
  <c r="BH45" i="1"/>
  <c r="BG45" i="1"/>
  <c r="V75" i="1"/>
  <c r="U75" i="1" s="1"/>
  <c r="AT45" i="1"/>
  <c r="AZ45" i="1"/>
  <c r="BB47" i="1"/>
  <c r="BA47" i="1"/>
  <c r="BC47" i="1" s="1"/>
  <c r="AU22" i="1"/>
  <c r="AV22" i="1"/>
  <c r="AN45" i="1"/>
  <c r="AH45" i="1"/>
  <c r="AJ45" i="1" s="1"/>
  <c r="AN22" i="1"/>
  <c r="AH22" i="1"/>
  <c r="AJ22" i="1" s="1"/>
  <c r="AB17" i="1"/>
  <c r="AD17" i="1" s="1"/>
  <c r="E74" i="1"/>
  <c r="E66" i="1"/>
  <c r="E54" i="1"/>
  <c r="M54" i="1" s="1"/>
  <c r="E46" i="1"/>
  <c r="E34" i="1"/>
  <c r="E26" i="1"/>
  <c r="E22" i="1"/>
  <c r="M22" i="1" s="1"/>
  <c r="E73" i="1"/>
  <c r="E65" i="1"/>
  <c r="E53" i="1"/>
  <c r="M53" i="1" s="1"/>
  <c r="E41" i="1"/>
  <c r="M41" i="1" s="1"/>
  <c r="E33" i="1"/>
  <c r="E25" i="1"/>
  <c r="M25" i="1" s="1"/>
  <c r="E78" i="1"/>
  <c r="E58" i="1"/>
  <c r="E38" i="1"/>
  <c r="E77" i="1"/>
  <c r="M77" i="1" s="1"/>
  <c r="E61" i="1"/>
  <c r="M61" i="1" s="1"/>
  <c r="E45" i="1"/>
  <c r="AB45" i="1"/>
  <c r="E21" i="1"/>
  <c r="M21" i="1" s="1"/>
  <c r="E76" i="1"/>
  <c r="M76" i="1" s="1"/>
  <c r="E72" i="1"/>
  <c r="M72" i="1" s="1"/>
  <c r="E68" i="1"/>
  <c r="M68" i="1" s="1"/>
  <c r="E64" i="1"/>
  <c r="M64" i="1" s="1"/>
  <c r="E60" i="1"/>
  <c r="M60" i="1" s="1"/>
  <c r="E56" i="1"/>
  <c r="M56" i="1" s="1"/>
  <c r="E52" i="1"/>
  <c r="E48" i="1"/>
  <c r="M48" i="1" s="1"/>
  <c r="E44" i="1"/>
  <c r="M44" i="1" s="1"/>
  <c r="E40" i="1"/>
  <c r="M40" i="1" s="1"/>
  <c r="E36" i="1"/>
  <c r="M36" i="1" s="1"/>
  <c r="E32" i="1"/>
  <c r="M32" i="1" s="1"/>
  <c r="E28" i="1"/>
  <c r="M28" i="1" s="1"/>
  <c r="E24" i="1"/>
  <c r="M24" i="1" s="1"/>
  <c r="E20" i="1"/>
  <c r="M20" i="1" s="1"/>
  <c r="E70" i="1"/>
  <c r="M70" i="1" s="1"/>
  <c r="E62" i="1"/>
  <c r="E50" i="1"/>
  <c r="E42" i="1"/>
  <c r="M42" i="1" s="1"/>
  <c r="E30" i="1"/>
  <c r="M30" i="1" s="1"/>
  <c r="E18" i="1"/>
  <c r="E69" i="1"/>
  <c r="E57" i="1"/>
  <c r="M57" i="1" s="1"/>
  <c r="E49" i="1"/>
  <c r="M49" i="1" s="1"/>
  <c r="E37" i="1"/>
  <c r="M37" i="1" s="1"/>
  <c r="E29" i="1"/>
  <c r="M29" i="1" s="1"/>
  <c r="E79" i="1"/>
  <c r="E75" i="1"/>
  <c r="M75" i="1" s="1"/>
  <c r="E71" i="1"/>
  <c r="E67" i="1"/>
  <c r="E63" i="1"/>
  <c r="E59" i="1"/>
  <c r="E55" i="1"/>
  <c r="E51" i="1"/>
  <c r="E47" i="1"/>
  <c r="M47" i="1" s="1"/>
  <c r="E43" i="1"/>
  <c r="E39" i="1"/>
  <c r="E35" i="1"/>
  <c r="E31" i="1"/>
  <c r="M31" i="1" s="1"/>
  <c r="E27" i="1"/>
  <c r="M27" i="1" s="1"/>
  <c r="E23" i="1"/>
  <c r="E19" i="1"/>
  <c r="V24" i="1"/>
  <c r="V21" i="1"/>
  <c r="F11" i="1"/>
  <c r="W19" i="1"/>
  <c r="W23" i="1"/>
  <c r="W27" i="1"/>
  <c r="W31" i="1"/>
  <c r="W35" i="1"/>
  <c r="W39" i="1"/>
  <c r="W43" i="1"/>
  <c r="W47" i="1"/>
  <c r="W51" i="1"/>
  <c r="W55" i="1"/>
  <c r="W59" i="1"/>
  <c r="W63" i="1"/>
  <c r="W67" i="1"/>
  <c r="W71" i="1"/>
  <c r="V57" i="1"/>
  <c r="W76" i="1"/>
  <c r="X76" i="1" s="1"/>
  <c r="V17" i="1"/>
  <c r="V22" i="1"/>
  <c r="F10" i="1"/>
  <c r="W20" i="1"/>
  <c r="W24" i="1"/>
  <c r="W28" i="1"/>
  <c r="W32" i="1"/>
  <c r="W36" i="1"/>
  <c r="W40" i="1"/>
  <c r="W44" i="1"/>
  <c r="W48" i="1"/>
  <c r="W52" i="1"/>
  <c r="W56" i="1"/>
  <c r="W60" i="1"/>
  <c r="W64" i="1"/>
  <c r="W68" i="1"/>
  <c r="W72" i="1"/>
  <c r="W73" i="1"/>
  <c r="W77" i="1"/>
  <c r="X77" i="1" s="1"/>
  <c r="V19" i="1"/>
  <c r="V23" i="1"/>
  <c r="F9" i="1"/>
  <c r="V18" i="1"/>
  <c r="W21" i="1"/>
  <c r="W25" i="1"/>
  <c r="W29" i="1"/>
  <c r="W33" i="1"/>
  <c r="W37" i="1"/>
  <c r="W41" i="1"/>
  <c r="W45" i="1"/>
  <c r="W49" i="1"/>
  <c r="W53" i="1"/>
  <c r="W57" i="1"/>
  <c r="W61" i="1"/>
  <c r="W65" i="1"/>
  <c r="W69" i="1"/>
  <c r="V59" i="1"/>
  <c r="W74" i="1"/>
  <c r="W78" i="1"/>
  <c r="X78" i="1" s="1"/>
  <c r="V20" i="1"/>
  <c r="W18" i="1"/>
  <c r="W22" i="1"/>
  <c r="W26" i="1"/>
  <c r="W30" i="1"/>
  <c r="W34" i="1"/>
  <c r="W38" i="1"/>
  <c r="W42" i="1"/>
  <c r="W46" i="1"/>
  <c r="W50" i="1"/>
  <c r="W54" i="1"/>
  <c r="W58" i="1"/>
  <c r="W62" i="1"/>
  <c r="W66" i="1"/>
  <c r="W70" i="1"/>
  <c r="V58" i="1"/>
  <c r="W75" i="1"/>
  <c r="X75" i="1" s="1"/>
  <c r="F6" i="1"/>
  <c r="F8" i="1"/>
  <c r="F7" i="1"/>
  <c r="E43" i="4" s="1"/>
  <c r="F3" i="1"/>
  <c r="X79" i="1"/>
  <c r="S75" i="1"/>
  <c r="S31" i="1"/>
  <c r="S42" i="1"/>
  <c r="S57" i="1"/>
  <c r="S68" i="1"/>
  <c r="S36" i="1"/>
  <c r="S32" i="1"/>
  <c r="S47" i="1"/>
  <c r="V79" i="1"/>
  <c r="U79" i="1" s="1"/>
  <c r="V78" i="1"/>
  <c r="U78" i="1" s="1"/>
  <c r="V77" i="1"/>
  <c r="U77" i="1" s="1"/>
  <c r="V76" i="1"/>
  <c r="U76" i="1" s="1"/>
  <c r="D3" i="2"/>
  <c r="E3" i="2"/>
  <c r="F3" i="2"/>
  <c r="H3" i="2"/>
  <c r="I3" i="2"/>
  <c r="J3" i="2"/>
  <c r="K3" i="2"/>
  <c r="L3" i="2"/>
  <c r="M3" i="2"/>
  <c r="N3" i="2"/>
  <c r="O3" i="2"/>
  <c r="P3" i="2"/>
  <c r="Q3" i="2"/>
  <c r="R3" i="2"/>
  <c r="S3" i="2"/>
  <c r="T3" i="2"/>
  <c r="V3" i="2"/>
  <c r="W3" i="2"/>
  <c r="AA3" i="2"/>
  <c r="Z3" i="2"/>
  <c r="U3" i="2"/>
  <c r="X3" i="2"/>
  <c r="Y3" i="2"/>
  <c r="G3" i="2"/>
  <c r="E17" i="1"/>
  <c r="S17" i="1" l="1"/>
  <c r="M17" i="1"/>
  <c r="S63" i="1"/>
  <c r="M63" i="1"/>
  <c r="S79" i="1"/>
  <c r="Y79" i="1" s="1"/>
  <c r="Z79" i="1" s="1"/>
  <c r="M79" i="1"/>
  <c r="S52" i="1"/>
  <c r="M52" i="1"/>
  <c r="S38" i="1"/>
  <c r="M38" i="1"/>
  <c r="S33" i="1"/>
  <c r="M33" i="1"/>
  <c r="S73" i="1"/>
  <c r="M73" i="1"/>
  <c r="S46" i="1"/>
  <c r="M46" i="1"/>
  <c r="BI45" i="1"/>
  <c r="S19" i="1"/>
  <c r="M19" i="1"/>
  <c r="S35" i="1"/>
  <c r="M35" i="1"/>
  <c r="S51" i="1"/>
  <c r="M51" i="1"/>
  <c r="S67" i="1"/>
  <c r="M67" i="1"/>
  <c r="S69" i="1"/>
  <c r="M69" i="1"/>
  <c r="S50" i="1"/>
  <c r="M50" i="1"/>
  <c r="S45" i="1"/>
  <c r="M45" i="1"/>
  <c r="S58" i="1"/>
  <c r="M58" i="1"/>
  <c r="S23" i="1"/>
  <c r="M23" i="1"/>
  <c r="S39" i="1"/>
  <c r="M39" i="1"/>
  <c r="S55" i="1"/>
  <c r="M55" i="1"/>
  <c r="S71" i="1"/>
  <c r="M71" i="1"/>
  <c r="S18" i="1"/>
  <c r="M18" i="1"/>
  <c r="S62" i="1"/>
  <c r="M62" i="1"/>
  <c r="S78" i="1"/>
  <c r="M78" i="1"/>
  <c r="S26" i="1"/>
  <c r="M26" i="1"/>
  <c r="S66" i="1"/>
  <c r="M66" i="1"/>
  <c r="S43" i="1"/>
  <c r="M43" i="1"/>
  <c r="S59" i="1"/>
  <c r="M59" i="1"/>
  <c r="S65" i="1"/>
  <c r="M65" i="1"/>
  <c r="S34" i="1"/>
  <c r="M34" i="1"/>
  <c r="S74" i="1"/>
  <c r="M74" i="1"/>
  <c r="S20" i="1"/>
  <c r="BA45" i="1"/>
  <c r="BB45" i="1"/>
  <c r="S22" i="1"/>
  <c r="AW22" i="1"/>
  <c r="S70" i="1"/>
  <c r="S24" i="1"/>
  <c r="S29" i="1"/>
  <c r="S64" i="1"/>
  <c r="S49" i="1"/>
  <c r="S27" i="1"/>
  <c r="S30" i="1"/>
  <c r="S40" i="1"/>
  <c r="S56" i="1"/>
  <c r="AI45" i="1"/>
  <c r="S72" i="1"/>
  <c r="S54" i="1"/>
  <c r="AP45" i="1"/>
  <c r="AO45" i="1"/>
  <c r="AI22" i="1"/>
  <c r="S48" i="1"/>
  <c r="S21" i="1"/>
  <c r="AO22" i="1"/>
  <c r="AQ22" i="1" s="1"/>
  <c r="AP22" i="1"/>
  <c r="S53" i="1"/>
  <c r="S61" i="1"/>
  <c r="S28" i="1"/>
  <c r="S60" i="1"/>
  <c r="S76" i="1"/>
  <c r="S37" i="1"/>
  <c r="S44" i="1"/>
  <c r="AC17" i="1"/>
  <c r="S25" i="1"/>
  <c r="S41" i="1"/>
  <c r="S77" i="1"/>
  <c r="Y75" i="1"/>
  <c r="Z75" i="1" s="1"/>
  <c r="AC45" i="1"/>
  <c r="AE45" i="1" s="1"/>
  <c r="AD45" i="1"/>
  <c r="AD16" i="1" s="1"/>
  <c r="Y76" i="1"/>
  <c r="Z76" i="1" s="1"/>
  <c r="Y78" i="1"/>
  <c r="O17" i="1"/>
  <c r="N79" i="1"/>
  <c r="O79" i="1" s="1"/>
  <c r="P79" i="1" s="1"/>
  <c r="O18" i="1"/>
  <c r="N76" i="1"/>
  <c r="O76" i="1" s="1"/>
  <c r="P76" i="1" s="1"/>
  <c r="N72" i="1"/>
  <c r="O72" i="1" s="1"/>
  <c r="P72" i="1" s="1"/>
  <c r="N68" i="1"/>
  <c r="O68" i="1" s="1"/>
  <c r="P68" i="1" s="1"/>
  <c r="N64" i="1"/>
  <c r="O64" i="1" s="1"/>
  <c r="P64" i="1" s="1"/>
  <c r="N60" i="1"/>
  <c r="O60" i="1" s="1"/>
  <c r="P60" i="1" s="1"/>
  <c r="N56" i="1"/>
  <c r="O56" i="1" s="1"/>
  <c r="P56" i="1" s="1"/>
  <c r="N52" i="1"/>
  <c r="O52" i="1" s="1"/>
  <c r="P52" i="1" s="1"/>
  <c r="N48" i="1"/>
  <c r="O48" i="1" s="1"/>
  <c r="P48" i="1" s="1"/>
  <c r="N44" i="1"/>
  <c r="O44" i="1" s="1"/>
  <c r="P44" i="1" s="1"/>
  <c r="N40" i="1"/>
  <c r="O40" i="1" s="1"/>
  <c r="P40" i="1" s="1"/>
  <c r="N36" i="1"/>
  <c r="O36" i="1" s="1"/>
  <c r="P36" i="1" s="1"/>
  <c r="N32" i="1"/>
  <c r="O32" i="1" s="1"/>
  <c r="P32" i="1" s="1"/>
  <c r="N28" i="1"/>
  <c r="O28" i="1" s="1"/>
  <c r="P28" i="1" s="1"/>
  <c r="O24" i="1"/>
  <c r="P24" i="1" s="1"/>
  <c r="O20" i="1"/>
  <c r="P20" i="1" s="1"/>
  <c r="N75" i="1"/>
  <c r="O75" i="1" s="1"/>
  <c r="P75" i="1" s="1"/>
  <c r="N71" i="1"/>
  <c r="O71" i="1" s="1"/>
  <c r="N67" i="1"/>
  <c r="O67" i="1" s="1"/>
  <c r="P67" i="1" s="1"/>
  <c r="N63" i="1"/>
  <c r="O63" i="1" s="1"/>
  <c r="P63" i="1" s="1"/>
  <c r="N59" i="1"/>
  <c r="O59" i="1" s="1"/>
  <c r="N55" i="1"/>
  <c r="O55" i="1" s="1"/>
  <c r="N51" i="1"/>
  <c r="O51" i="1" s="1"/>
  <c r="P51" i="1" s="1"/>
  <c r="N47" i="1"/>
  <c r="O47" i="1" s="1"/>
  <c r="P47" i="1" s="1"/>
  <c r="N43" i="1"/>
  <c r="O43" i="1" s="1"/>
  <c r="N39" i="1"/>
  <c r="O39" i="1" s="1"/>
  <c r="N35" i="1"/>
  <c r="O35" i="1" s="1"/>
  <c r="N31" i="1"/>
  <c r="O31" i="1" s="1"/>
  <c r="P31" i="1" s="1"/>
  <c r="N27" i="1"/>
  <c r="O27" i="1" s="1"/>
  <c r="P27" i="1" s="1"/>
  <c r="O23" i="1"/>
  <c r="O19" i="1"/>
  <c r="N78" i="1"/>
  <c r="O78" i="1" s="1"/>
  <c r="P78" i="1" s="1"/>
  <c r="N74" i="1"/>
  <c r="O74" i="1" s="1"/>
  <c r="N70" i="1"/>
  <c r="O70" i="1" s="1"/>
  <c r="P70" i="1" s="1"/>
  <c r="N66" i="1"/>
  <c r="O66" i="1" s="1"/>
  <c r="P66" i="1" s="1"/>
  <c r="N62" i="1"/>
  <c r="O62" i="1" s="1"/>
  <c r="N58" i="1"/>
  <c r="O58" i="1" s="1"/>
  <c r="N54" i="1"/>
  <c r="O54" i="1" s="1"/>
  <c r="P54" i="1" s="1"/>
  <c r="N50" i="1"/>
  <c r="O50" i="1" s="1"/>
  <c r="P50" i="1" s="1"/>
  <c r="N46" i="1"/>
  <c r="O46" i="1" s="1"/>
  <c r="P46" i="1" s="1"/>
  <c r="N42" i="1"/>
  <c r="O42" i="1" s="1"/>
  <c r="P42" i="1" s="1"/>
  <c r="N38" i="1"/>
  <c r="O38" i="1" s="1"/>
  <c r="P38" i="1" s="1"/>
  <c r="N34" i="1"/>
  <c r="O34" i="1" s="1"/>
  <c r="N30" i="1"/>
  <c r="O30" i="1" s="1"/>
  <c r="P30" i="1" s="1"/>
  <c r="O26" i="1"/>
  <c r="O22" i="1"/>
  <c r="P22" i="1" s="1"/>
  <c r="N77" i="1"/>
  <c r="O77" i="1" s="1"/>
  <c r="P77" i="1" s="1"/>
  <c r="N73" i="1"/>
  <c r="O73" i="1" s="1"/>
  <c r="P73" i="1" s="1"/>
  <c r="N69" i="1"/>
  <c r="O69" i="1" s="1"/>
  <c r="P69" i="1" s="1"/>
  <c r="N65" i="1"/>
  <c r="O65" i="1" s="1"/>
  <c r="N61" i="1"/>
  <c r="O61" i="1" s="1"/>
  <c r="P61" i="1" s="1"/>
  <c r="N57" i="1"/>
  <c r="O57" i="1" s="1"/>
  <c r="P57" i="1" s="1"/>
  <c r="N53" i="1"/>
  <c r="O53" i="1" s="1"/>
  <c r="P53" i="1" s="1"/>
  <c r="N49" i="1"/>
  <c r="O49" i="1" s="1"/>
  <c r="P49" i="1" s="1"/>
  <c r="N45" i="1"/>
  <c r="O45" i="1" s="1"/>
  <c r="N41" i="1"/>
  <c r="O41" i="1" s="1"/>
  <c r="P41" i="1" s="1"/>
  <c r="N37" i="1"/>
  <c r="O37" i="1" s="1"/>
  <c r="P37" i="1" s="1"/>
  <c r="N33" i="1"/>
  <c r="O33" i="1" s="1"/>
  <c r="P33" i="1" s="1"/>
  <c r="N29" i="1"/>
  <c r="O29" i="1" s="1"/>
  <c r="P29" i="1" s="1"/>
  <c r="O25" i="1"/>
  <c r="P25" i="1" s="1"/>
  <c r="O21" i="1"/>
  <c r="P21" i="1" s="1"/>
  <c r="X18" i="1"/>
  <c r="Y18" i="1" s="1"/>
  <c r="X19" i="1"/>
  <c r="Y19" i="1" s="1"/>
  <c r="Z19" i="1" s="1"/>
  <c r="X20" i="1"/>
  <c r="Y20" i="1" s="1"/>
  <c r="Z20" i="1" s="1"/>
  <c r="X21" i="1"/>
  <c r="X22" i="1"/>
  <c r="Y22" i="1" s="1"/>
  <c r="Z22" i="1" s="1"/>
  <c r="X24" i="1"/>
  <c r="Y24" i="1" s="1"/>
  <c r="Z24" i="1" s="1"/>
  <c r="X25" i="1"/>
  <c r="X26" i="1"/>
  <c r="Y26" i="1" s="1"/>
  <c r="Z26" i="1" s="1"/>
  <c r="X27" i="1"/>
  <c r="Y27" i="1" s="1"/>
  <c r="Z27" i="1" s="1"/>
  <c r="X28" i="1"/>
  <c r="X29" i="1"/>
  <c r="X30" i="1"/>
  <c r="X31" i="1"/>
  <c r="Y31" i="1" s="1"/>
  <c r="Z31" i="1" s="1"/>
  <c r="X32" i="1"/>
  <c r="Y32" i="1" s="1"/>
  <c r="Z32" i="1" s="1"/>
  <c r="X33" i="1"/>
  <c r="Y33" i="1" s="1"/>
  <c r="Z33" i="1" s="1"/>
  <c r="X34" i="1"/>
  <c r="Y34" i="1" s="1"/>
  <c r="Z34" i="1" s="1"/>
  <c r="X35" i="1"/>
  <c r="Y35" i="1" s="1"/>
  <c r="Z35" i="1" s="1"/>
  <c r="X36" i="1"/>
  <c r="Y36" i="1" s="1"/>
  <c r="Z36" i="1" s="1"/>
  <c r="X37" i="1"/>
  <c r="X38" i="1"/>
  <c r="Y38" i="1" s="1"/>
  <c r="Z38" i="1" s="1"/>
  <c r="X39" i="1"/>
  <c r="Y39" i="1" s="1"/>
  <c r="Z39" i="1" s="1"/>
  <c r="X40" i="1"/>
  <c r="Y40" i="1" s="1"/>
  <c r="Z40" i="1" s="1"/>
  <c r="X41" i="1"/>
  <c r="X42" i="1"/>
  <c r="Y42" i="1" s="1"/>
  <c r="Z42" i="1" s="1"/>
  <c r="X43" i="1"/>
  <c r="Y43" i="1" s="1"/>
  <c r="Z43" i="1" s="1"/>
  <c r="X44" i="1"/>
  <c r="Y44" i="1" s="1"/>
  <c r="Z44" i="1" s="1"/>
  <c r="X45" i="1"/>
  <c r="Y45" i="1" s="1"/>
  <c r="Z45" i="1" s="1"/>
  <c r="X46" i="1"/>
  <c r="Y46" i="1" s="1"/>
  <c r="Z46" i="1" s="1"/>
  <c r="X47" i="1"/>
  <c r="Y47" i="1" s="1"/>
  <c r="Z47" i="1" s="1"/>
  <c r="X48" i="1"/>
  <c r="Y48" i="1" s="1"/>
  <c r="Z48" i="1" s="1"/>
  <c r="X49" i="1"/>
  <c r="X50" i="1"/>
  <c r="Y50" i="1" s="1"/>
  <c r="Z50" i="1" s="1"/>
  <c r="X51" i="1"/>
  <c r="Y51" i="1" s="1"/>
  <c r="Z51" i="1" s="1"/>
  <c r="X52" i="1"/>
  <c r="Y52" i="1" s="1"/>
  <c r="Z52" i="1" s="1"/>
  <c r="X53" i="1"/>
  <c r="X54" i="1"/>
  <c r="X55" i="1"/>
  <c r="Y55" i="1" s="1"/>
  <c r="Z55" i="1" s="1"/>
  <c r="X56" i="1"/>
  <c r="X57" i="1"/>
  <c r="Y57" i="1" s="1"/>
  <c r="Z57" i="1" s="1"/>
  <c r="X58" i="1"/>
  <c r="Y58" i="1" s="1"/>
  <c r="Z58" i="1" s="1"/>
  <c r="X59" i="1"/>
  <c r="Y59" i="1" s="1"/>
  <c r="Z59" i="1" s="1"/>
  <c r="X60" i="1"/>
  <c r="X61" i="1"/>
  <c r="X62" i="1"/>
  <c r="Y62" i="1" s="1"/>
  <c r="Z62" i="1" s="1"/>
  <c r="X63" i="1"/>
  <c r="Y63" i="1" s="1"/>
  <c r="Z63" i="1" s="1"/>
  <c r="X64" i="1"/>
  <c r="Y64" i="1" s="1"/>
  <c r="Z64" i="1" s="1"/>
  <c r="X65" i="1"/>
  <c r="Y65" i="1" s="1"/>
  <c r="Z65" i="1" s="1"/>
  <c r="X66" i="1"/>
  <c r="Y66" i="1" s="1"/>
  <c r="Z66" i="1" s="1"/>
  <c r="X67" i="1"/>
  <c r="Y67" i="1" s="1"/>
  <c r="Z67" i="1" s="1"/>
  <c r="X68" i="1"/>
  <c r="Y68" i="1" s="1"/>
  <c r="Z68" i="1" s="1"/>
  <c r="X69" i="1"/>
  <c r="Y69" i="1" s="1"/>
  <c r="Z69" i="1" s="1"/>
  <c r="X70" i="1"/>
  <c r="Y70" i="1" s="1"/>
  <c r="Z70" i="1" s="1"/>
  <c r="X71" i="1"/>
  <c r="Y71" i="1" s="1"/>
  <c r="Z71" i="1" s="1"/>
  <c r="X72" i="1"/>
  <c r="X73" i="1"/>
  <c r="Y73" i="1" s="1"/>
  <c r="Z73" i="1" s="1"/>
  <c r="X74" i="1"/>
  <c r="Y74" i="1" s="1"/>
  <c r="Z74" i="1" s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X23" i="1"/>
  <c r="Y23" i="1" s="1"/>
  <c r="Z23" i="1" s="1"/>
  <c r="BC45" i="1" l="1"/>
  <c r="P19" i="1"/>
  <c r="F19" i="1"/>
  <c r="F18" i="1"/>
  <c r="Y72" i="1"/>
  <c r="Z72" i="1" s="1"/>
  <c r="P43" i="1"/>
  <c r="AQ45" i="1"/>
  <c r="P45" i="1"/>
  <c r="Y49" i="1"/>
  <c r="Z49" i="1" s="1"/>
  <c r="Y29" i="1"/>
  <c r="Z29" i="1" s="1"/>
  <c r="P23" i="1"/>
  <c r="P71" i="1"/>
  <c r="Y56" i="1"/>
  <c r="Z56" i="1" s="1"/>
  <c r="Y61" i="1"/>
  <c r="Z61" i="1" s="1"/>
  <c r="P65" i="1"/>
  <c r="P39" i="1"/>
  <c r="P55" i="1"/>
  <c r="P58" i="1"/>
  <c r="Y54" i="1"/>
  <c r="Z54" i="1" s="1"/>
  <c r="Y30" i="1"/>
  <c r="Z30" i="1" s="1"/>
  <c r="Y53" i="1"/>
  <c r="Z53" i="1" s="1"/>
  <c r="P35" i="1"/>
  <c r="P59" i="1"/>
  <c r="AK45" i="1"/>
  <c r="AK22" i="1"/>
  <c r="Y21" i="1"/>
  <c r="Z21" i="1" s="1"/>
  <c r="P26" i="1"/>
  <c r="Y37" i="1"/>
  <c r="Z37" i="1" s="1"/>
  <c r="Y25" i="1"/>
  <c r="Z25" i="1" s="1"/>
  <c r="Y60" i="1"/>
  <c r="Z60" i="1" s="1"/>
  <c r="P62" i="1"/>
  <c r="P34" i="1"/>
  <c r="Y28" i="1"/>
  <c r="Z28" i="1" s="1"/>
  <c r="P18" i="1"/>
  <c r="Y41" i="1"/>
  <c r="Z41" i="1" s="1"/>
  <c r="P74" i="1"/>
  <c r="Y77" i="1"/>
  <c r="Z77" i="1" s="1"/>
  <c r="Q75" i="1"/>
  <c r="V16" i="1"/>
  <c r="X17" i="1"/>
  <c r="W16" i="1"/>
  <c r="N16" i="1"/>
  <c r="M2" i="4"/>
  <c r="BB16" i="1" l="1"/>
  <c r="X16" i="1"/>
  <c r="Y17" i="1"/>
  <c r="E40" i="4"/>
  <c r="E54" i="4" s="1"/>
  <c r="U32" i="1" l="1"/>
  <c r="U30" i="1"/>
  <c r="U28" i="1"/>
  <c r="U26" i="1"/>
  <c r="U24" i="1"/>
  <c r="U22" i="1"/>
  <c r="U20" i="1"/>
  <c r="U18" i="1"/>
  <c r="U73" i="1"/>
  <c r="U71" i="1"/>
  <c r="U69" i="1"/>
  <c r="U67" i="1"/>
  <c r="U65" i="1"/>
  <c r="U63" i="1"/>
  <c r="U61" i="1"/>
  <c r="U59" i="1"/>
  <c r="U57" i="1"/>
  <c r="U55" i="1"/>
  <c r="U53" i="1"/>
  <c r="U51" i="1"/>
  <c r="U49" i="1"/>
  <c r="U47" i="1"/>
  <c r="U45" i="1"/>
  <c r="U43" i="1"/>
  <c r="U41" i="1"/>
  <c r="U39" i="1"/>
  <c r="U37" i="1"/>
  <c r="U35" i="1"/>
  <c r="U33" i="1"/>
  <c r="U31" i="1"/>
  <c r="U29" i="1"/>
  <c r="U27" i="1"/>
  <c r="U25" i="1"/>
  <c r="U23" i="1"/>
  <c r="U70" i="1"/>
  <c r="U62" i="1"/>
  <c r="U54" i="1"/>
  <c r="U46" i="1"/>
  <c r="U38" i="1"/>
  <c r="U68" i="1"/>
  <c r="U60" i="1"/>
  <c r="U52" i="1"/>
  <c r="U44" i="1"/>
  <c r="U36" i="1"/>
  <c r="U21" i="1"/>
  <c r="U17" i="1"/>
  <c r="U74" i="1"/>
  <c r="U66" i="1"/>
  <c r="U58" i="1"/>
  <c r="U50" i="1"/>
  <c r="U42" i="1"/>
  <c r="U34" i="1"/>
  <c r="U72" i="1"/>
  <c r="U64" i="1"/>
  <c r="U56" i="1"/>
  <c r="U48" i="1"/>
  <c r="U40" i="1"/>
  <c r="U19" i="1"/>
  <c r="U16" i="1" l="1"/>
  <c r="H57" i="4"/>
  <c r="H58" i="4"/>
  <c r="H59" i="4"/>
  <c r="H60" i="4"/>
  <c r="H61" i="4"/>
  <c r="I57" i="4" l="1"/>
  <c r="J57" i="4" s="1"/>
  <c r="I36" i="4"/>
  <c r="I61" i="4"/>
  <c r="D61" i="4"/>
  <c r="I60" i="4"/>
  <c r="D60" i="4"/>
  <c r="D59" i="4"/>
  <c r="D58" i="4"/>
  <c r="D57" i="4"/>
  <c r="H56" i="4"/>
  <c r="I56" i="4" s="1"/>
  <c r="D56" i="4"/>
  <c r="I54" i="4"/>
  <c r="J56" i="4" l="1"/>
  <c r="I59" i="4"/>
  <c r="J59" i="4" s="1"/>
  <c r="I58" i="4"/>
  <c r="J58" i="4" s="1"/>
  <c r="J61" i="4"/>
  <c r="J60" i="4"/>
  <c r="J54" i="4"/>
  <c r="H63" i="4"/>
  <c r="Y16" i="1" l="1"/>
  <c r="Z17" i="1" s="1"/>
  <c r="F75" i="1"/>
  <c r="H75" i="1"/>
  <c r="F78" i="1"/>
  <c r="F77" i="1"/>
  <c r="F79" i="1"/>
  <c r="F76" i="1"/>
  <c r="H76" i="1"/>
  <c r="J63" i="4"/>
  <c r="I63" i="4"/>
  <c r="Z78" i="1" l="1"/>
  <c r="Z18" i="1"/>
  <c r="H77" i="1"/>
  <c r="H79" i="1"/>
  <c r="H78" i="1"/>
  <c r="AJ16" i="1"/>
  <c r="E42" i="4"/>
  <c r="E56" i="4" s="1"/>
  <c r="E39" i="4"/>
  <c r="E53" i="4" s="1"/>
  <c r="AK16" i="1" l="1"/>
  <c r="F39" i="1"/>
  <c r="E47" i="4"/>
  <c r="E61" i="4" s="1"/>
  <c r="E46" i="4"/>
  <c r="E60" i="4" s="1"/>
  <c r="E45" i="4"/>
  <c r="E59" i="4" s="1"/>
  <c r="E44" i="4"/>
  <c r="E58" i="4" s="1"/>
  <c r="E57" i="4"/>
  <c r="Q39" i="1"/>
  <c r="H39" i="1" l="1"/>
  <c r="O16" i="1" l="1"/>
  <c r="H73" i="1"/>
  <c r="F74" i="1"/>
  <c r="F37" i="1"/>
  <c r="F73" i="1"/>
  <c r="H74" i="1"/>
  <c r="H37" i="1"/>
  <c r="J13" i="1"/>
  <c r="F22" i="1" l="1"/>
  <c r="F28" i="1"/>
  <c r="F30" i="1"/>
  <c r="F53" i="1"/>
  <c r="F20" i="1"/>
  <c r="F26" i="1"/>
  <c r="F32" i="1"/>
  <c r="Q38" i="1"/>
  <c r="H49" i="4"/>
  <c r="Q59" i="1"/>
  <c r="Q63" i="1"/>
  <c r="Q58" i="1"/>
  <c r="Q46" i="1"/>
  <c r="F43" i="1"/>
  <c r="Q49" i="1"/>
  <c r="Q56" i="1"/>
  <c r="Q60" i="1"/>
  <c r="Q43" i="1"/>
  <c r="Q37" i="1"/>
  <c r="Q42" i="1"/>
  <c r="BC16" i="1"/>
  <c r="Q25" i="1"/>
  <c r="Q36" i="1"/>
  <c r="BD47" i="1" l="1"/>
  <c r="BD45" i="1"/>
  <c r="H31" i="1"/>
  <c r="H23" i="1"/>
  <c r="H69" i="1"/>
  <c r="H48" i="1"/>
  <c r="H25" i="1"/>
  <c r="H63" i="1"/>
  <c r="H52" i="1"/>
  <c r="H44" i="1"/>
  <c r="H42" i="1"/>
  <c r="H49" i="1"/>
  <c r="H36" i="1"/>
  <c r="H55" i="1"/>
  <c r="H51" i="1"/>
  <c r="H38" i="1"/>
  <c r="F61" i="1"/>
  <c r="H61" i="1"/>
  <c r="F21" i="1"/>
  <c r="F33" i="1"/>
  <c r="F29" i="1"/>
  <c r="H59" i="1"/>
  <c r="F41" i="1"/>
  <c r="F59" i="1"/>
  <c r="F57" i="1"/>
  <c r="F56" i="1"/>
  <c r="F27" i="1"/>
  <c r="F62" i="1"/>
  <c r="F31" i="1"/>
  <c r="F25" i="1"/>
  <c r="F50" i="1"/>
  <c r="F34" i="1"/>
  <c r="F23" i="1"/>
  <c r="F69" i="1"/>
  <c r="F71" i="1"/>
  <c r="F49" i="1"/>
  <c r="F60" i="1"/>
  <c r="F67" i="1"/>
  <c r="F51" i="1"/>
  <c r="F63" i="1"/>
  <c r="F64" i="1"/>
  <c r="F68" i="1"/>
  <c r="F52" i="1"/>
  <c r="F70" i="1"/>
  <c r="F48" i="1"/>
  <c r="F35" i="1"/>
  <c r="F44" i="1"/>
  <c r="F42" i="1"/>
  <c r="F46" i="1"/>
  <c r="F47" i="1"/>
  <c r="F38" i="1"/>
  <c r="F40" i="1"/>
  <c r="F54" i="1"/>
  <c r="F36" i="1"/>
  <c r="F55" i="1"/>
  <c r="F65" i="1"/>
  <c r="H66" i="1"/>
  <c r="F66" i="1"/>
  <c r="F72" i="1"/>
  <c r="F58" i="1"/>
  <c r="BH16" i="1"/>
  <c r="P16" i="1"/>
  <c r="Q50" i="1" s="1"/>
  <c r="H40" i="1"/>
  <c r="H56" i="1"/>
  <c r="H34" i="1"/>
  <c r="H30" i="1"/>
  <c r="H27" i="1"/>
  <c r="H22" i="1"/>
  <c r="H24" i="1"/>
  <c r="H35" i="1"/>
  <c r="H26" i="1"/>
  <c r="H47" i="1"/>
  <c r="H32" i="1"/>
  <c r="H28" i="1"/>
  <c r="H53" i="1"/>
  <c r="H67" i="1"/>
  <c r="Q20" i="1"/>
  <c r="H20" i="1"/>
  <c r="H43" i="1"/>
  <c r="H71" i="1"/>
  <c r="Q40" i="1"/>
  <c r="Q61" i="1"/>
  <c r="Q57" i="1"/>
  <c r="Q51" i="1" l="1"/>
  <c r="H64" i="1"/>
  <c r="H29" i="1"/>
  <c r="H62" i="1"/>
  <c r="H57" i="1"/>
  <c r="H54" i="1"/>
  <c r="H72" i="1"/>
  <c r="H21" i="1"/>
  <c r="H33" i="1"/>
  <c r="H60" i="1"/>
  <c r="H18" i="1"/>
  <c r="H46" i="1"/>
  <c r="H41" i="1"/>
  <c r="H19" i="1"/>
  <c r="H58" i="1"/>
  <c r="H65" i="1"/>
  <c r="Q78" i="1"/>
  <c r="Q76" i="1"/>
  <c r="Q53" i="1"/>
  <c r="Q77" i="1"/>
  <c r="Q79" i="1"/>
  <c r="BI16" i="1"/>
  <c r="BJ45" i="1" s="1"/>
  <c r="Q66" i="1"/>
  <c r="Q55" i="1"/>
  <c r="Q30" i="1"/>
  <c r="H70" i="1"/>
  <c r="H50" i="1"/>
  <c r="H68" i="1"/>
  <c r="Q71" i="1"/>
  <c r="Q70" i="1"/>
  <c r="Q74" i="1"/>
  <c r="Q45" i="1"/>
  <c r="Q41" i="1"/>
  <c r="Q26" i="1"/>
  <c r="Q65" i="1"/>
  <c r="Q48" i="1"/>
  <c r="Q33" i="1"/>
  <c r="Q67" i="1"/>
  <c r="Q32" i="1"/>
  <c r="Q69" i="1"/>
  <c r="Q73" i="1"/>
  <c r="Q34" i="1"/>
  <c r="Q35" i="1"/>
  <c r="Q31" i="1"/>
  <c r="Q54" i="1"/>
  <c r="Q52" i="1"/>
  <c r="Q64" i="1"/>
  <c r="Q22" i="1"/>
  <c r="Q21" i="1"/>
  <c r="Q18" i="1"/>
  <c r="Q29" i="1"/>
  <c r="Q68" i="1"/>
  <c r="Q28" i="1"/>
  <c r="Q62" i="1"/>
  <c r="Q72" i="1"/>
  <c r="Q27" i="1"/>
  <c r="Q23" i="1"/>
  <c r="Q24" i="1"/>
  <c r="Q19" i="1"/>
  <c r="Q44" i="1"/>
  <c r="Q47" i="1"/>
  <c r="BD16" i="1" l="1"/>
  <c r="Z16" i="1"/>
  <c r="Q16" i="1"/>
  <c r="I76" i="1" l="1"/>
  <c r="I77" i="1"/>
  <c r="I75" i="1"/>
  <c r="I79" i="1"/>
  <c r="I74" i="1"/>
  <c r="I73" i="1"/>
  <c r="I57" i="1"/>
  <c r="I62" i="1"/>
  <c r="I60" i="1"/>
  <c r="I52" i="1"/>
  <c r="I51" i="1"/>
  <c r="I63" i="1"/>
  <c r="I61" i="1"/>
  <c r="I54" i="1"/>
  <c r="I53" i="1"/>
  <c r="I64" i="1"/>
  <c r="I56" i="1"/>
  <c r="I66" i="1"/>
  <c r="I71" i="1"/>
  <c r="I46" i="1"/>
  <c r="H105" i="4" s="1"/>
  <c r="I43" i="1"/>
  <c r="H102" i="4" s="1"/>
  <c r="I44" i="1"/>
  <c r="H103" i="4" s="1"/>
  <c r="I55" i="1"/>
  <c r="I72" i="1"/>
  <c r="I67" i="1"/>
  <c r="I48" i="1"/>
  <c r="I69" i="1"/>
  <c r="I59" i="1"/>
  <c r="I50" i="1"/>
  <c r="I65" i="1"/>
  <c r="I58" i="1"/>
  <c r="I68" i="1"/>
  <c r="I39" i="1"/>
  <c r="I37" i="1"/>
  <c r="I36" i="1"/>
  <c r="I22" i="1"/>
  <c r="I28" i="1"/>
  <c r="I42" i="1"/>
  <c r="I30" i="1"/>
  <c r="I26" i="1"/>
  <c r="I27" i="1"/>
  <c r="I38" i="1"/>
  <c r="I25" i="1"/>
  <c r="I33" i="1"/>
  <c r="I40" i="1"/>
  <c r="I31" i="1"/>
  <c r="I35" i="1"/>
  <c r="I19" i="1"/>
  <c r="I23" i="1"/>
  <c r="I21" i="1"/>
  <c r="I34" i="1"/>
  <c r="I29" i="1"/>
  <c r="I32" i="1"/>
  <c r="I20" i="1"/>
  <c r="I24" i="1"/>
  <c r="I70" i="1"/>
  <c r="I41" i="1"/>
  <c r="I47" i="1"/>
  <c r="I49" i="1"/>
  <c r="I18" i="1"/>
  <c r="I78" i="1"/>
  <c r="BJ16" i="1"/>
  <c r="E13" i="1" l="1"/>
  <c r="F24" i="1" l="1"/>
  <c r="D49" i="4"/>
  <c r="AL22" i="1" l="1"/>
  <c r="AF45" i="1"/>
  <c r="G27" i="1" l="1"/>
  <c r="A27" i="1" s="1"/>
  <c r="G42" i="1"/>
  <c r="A42" i="1" s="1"/>
  <c r="G54" i="1"/>
  <c r="A54" i="1" s="1"/>
  <c r="G25" i="1"/>
  <c r="A25" i="1" s="1"/>
  <c r="G75" i="1"/>
  <c r="A75" i="1" s="1"/>
  <c r="G73" i="1"/>
  <c r="A73" i="1" s="1"/>
  <c r="G59" i="1"/>
  <c r="A59" i="1" s="1"/>
  <c r="G69" i="1"/>
  <c r="A69" i="1" s="1"/>
  <c r="G40" i="1"/>
  <c r="A40" i="1" s="1"/>
  <c r="G33" i="1"/>
  <c r="A33" i="1" s="1"/>
  <c r="G21" i="1"/>
  <c r="A21" i="1" s="1"/>
  <c r="G41" i="1"/>
  <c r="A41" i="1" s="1"/>
  <c r="G49" i="1"/>
  <c r="A49" i="1" s="1"/>
  <c r="G28" i="1"/>
  <c r="A28" i="1" s="1"/>
  <c r="G20" i="1"/>
  <c r="A20" i="1" s="1"/>
  <c r="G70" i="1"/>
  <c r="A70" i="1" s="1"/>
  <c r="G36" i="1"/>
  <c r="A36" i="1" s="1"/>
  <c r="G60" i="1"/>
  <c r="A60" i="1" s="1"/>
  <c r="G48" i="1"/>
  <c r="A48" i="1" s="1"/>
  <c r="G76" i="1"/>
  <c r="A76" i="1" s="1"/>
  <c r="G43" i="1"/>
  <c r="A43" i="1" s="1"/>
  <c r="G38" i="1"/>
  <c r="A38" i="1" s="1"/>
  <c r="G66" i="1"/>
  <c r="A66" i="1" s="1"/>
  <c r="G37" i="1"/>
  <c r="A37" i="1" s="1"/>
  <c r="G29" i="1"/>
  <c r="A29" i="1" s="1"/>
  <c r="G19" i="1"/>
  <c r="A19" i="1" s="1"/>
  <c r="G63" i="1"/>
  <c r="A63" i="1" s="1"/>
  <c r="G68" i="1"/>
  <c r="A68" i="1" s="1"/>
  <c r="G55" i="1"/>
  <c r="A55" i="1" s="1"/>
  <c r="G79" i="1"/>
  <c r="A79" i="1" s="1"/>
  <c r="G64" i="1"/>
  <c r="A64" i="1" s="1"/>
  <c r="G53" i="1"/>
  <c r="A53" i="1" s="1"/>
  <c r="G62" i="1"/>
  <c r="A62" i="1" s="1"/>
  <c r="G58" i="1"/>
  <c r="A58" i="1" s="1"/>
  <c r="G39" i="1"/>
  <c r="A39" i="1" s="1"/>
  <c r="G32" i="1"/>
  <c r="A32" i="1" s="1"/>
  <c r="G35" i="1"/>
  <c r="A35" i="1" s="1"/>
  <c r="G47" i="1"/>
  <c r="A47" i="1" s="1"/>
  <c r="G34" i="1"/>
  <c r="A34" i="1" s="1"/>
  <c r="G52" i="1"/>
  <c r="A52" i="1" s="1"/>
  <c r="G56" i="1"/>
  <c r="A56" i="1" s="1"/>
  <c r="G77" i="1"/>
  <c r="A77" i="1" s="1"/>
  <c r="G74" i="1"/>
  <c r="A74" i="1" s="1"/>
  <c r="G57" i="1"/>
  <c r="A57" i="1" s="1"/>
  <c r="G61" i="1"/>
  <c r="A61" i="1" s="1"/>
  <c r="G44" i="1"/>
  <c r="A44" i="1" s="1"/>
  <c r="G31" i="1"/>
  <c r="A31" i="1" s="1"/>
  <c r="G24" i="1"/>
  <c r="A24" i="1" s="1"/>
  <c r="G65" i="1"/>
  <c r="A65" i="1" s="1"/>
  <c r="G50" i="1"/>
  <c r="A50" i="1" s="1"/>
  <c r="G72" i="1"/>
  <c r="A72" i="1" s="1"/>
  <c r="G67" i="1"/>
  <c r="A67" i="1" s="1"/>
  <c r="G30" i="1"/>
  <c r="A30" i="1" s="1"/>
  <c r="G22" i="1"/>
  <c r="A22" i="1" s="1"/>
  <c r="G71" i="1"/>
  <c r="A71" i="1" s="1"/>
  <c r="G23" i="1"/>
  <c r="A23" i="1" s="1"/>
  <c r="G26" i="1"/>
  <c r="A26" i="1" s="1"/>
  <c r="G51" i="1"/>
  <c r="A51" i="1" s="1"/>
  <c r="G46" i="1"/>
  <c r="A46" i="1" s="1"/>
  <c r="G78" i="1"/>
  <c r="A78" i="1" s="1"/>
  <c r="G18" i="1"/>
  <c r="A18" i="1" s="1"/>
  <c r="AO17" i="1"/>
  <c r="AQ17" i="1"/>
  <c r="AQ16" i="1" l="1"/>
  <c r="AP16" i="1"/>
  <c r="AR22" i="1" l="1"/>
  <c r="AR45" i="1"/>
  <c r="AR17" i="1"/>
  <c r="AR16" i="1" l="1"/>
  <c r="AU45" i="1"/>
  <c r="AV45" i="1"/>
  <c r="AV16" i="1" s="1"/>
  <c r="AW45" i="1" l="1"/>
  <c r="H45" i="1" s="1"/>
  <c r="I45" i="1" s="1"/>
  <c r="H104" i="4" s="1"/>
  <c r="F45" i="1"/>
  <c r="G45" i="1" s="1"/>
  <c r="A45" i="1" s="1"/>
  <c r="AW16" i="1" l="1"/>
  <c r="AX45" i="1" s="1"/>
  <c r="AX22" i="1"/>
  <c r="AX16" i="1" l="1"/>
  <c r="AE17" i="1"/>
  <c r="AE16" i="1" l="1"/>
  <c r="AL45" i="1" s="1"/>
  <c r="AL16" i="1" s="1"/>
  <c r="F17" i="1"/>
  <c r="G17" i="1" s="1"/>
  <c r="G16" i="1" s="1"/>
  <c r="AF17" i="1"/>
  <c r="H17" i="1" s="1"/>
  <c r="AF16" i="1"/>
  <c r="A17" i="1" l="1"/>
  <c r="F16" i="1"/>
  <c r="I17" i="1"/>
  <c r="I16" i="1" s="1"/>
  <c r="H16" i="1"/>
  <c r="T72" i="1"/>
  <c r="T38" i="1"/>
  <c r="T44" i="1"/>
  <c r="T18" i="1"/>
  <c r="T29" i="1"/>
  <c r="T61" i="1"/>
  <c r="T50" i="1"/>
  <c r="T25" i="1"/>
  <c r="T26" i="1"/>
  <c r="T52" i="1"/>
  <c r="T43" i="1"/>
  <c r="T59" i="1"/>
  <c r="T31" i="1"/>
  <c r="T22" i="1"/>
  <c r="T49" i="1"/>
  <c r="T77" i="1"/>
  <c r="T45" i="1"/>
  <c r="T73" i="1"/>
  <c r="T71" i="1"/>
  <c r="T57" i="1"/>
  <c r="T24" i="1"/>
  <c r="T58" i="1"/>
  <c r="T27" i="1"/>
  <c r="T35" i="1"/>
  <c r="T74" i="1"/>
  <c r="T70" i="1"/>
  <c r="T40" i="1"/>
  <c r="T69" i="1"/>
  <c r="T36" i="1"/>
  <c r="T68" i="1"/>
  <c r="T55" i="1"/>
  <c r="T37" i="1"/>
  <c r="T48" i="1"/>
  <c r="T63" i="1"/>
  <c r="T30" i="1"/>
  <c r="T16" i="1"/>
  <c r="T17" i="1"/>
  <c r="T54" i="1"/>
  <c r="T64" i="1"/>
  <c r="T42" i="1"/>
  <c r="T60" i="1"/>
  <c r="T56" i="1"/>
  <c r="T76" i="1"/>
  <c r="T62" i="1"/>
  <c r="T41" i="1"/>
  <c r="T53" i="1"/>
  <c r="T20" i="1"/>
  <c r="T78" i="1"/>
  <c r="T67" i="1"/>
  <c r="T65" i="1"/>
  <c r="T75" i="1"/>
  <c r="T79" i="1"/>
  <c r="T23" i="1"/>
  <c r="T66" i="1"/>
  <c r="T39" i="1"/>
  <c r="T34" i="1"/>
  <c r="T32" i="1"/>
  <c r="T46" i="1"/>
  <c r="T47" i="1"/>
  <c r="T33" i="1"/>
  <c r="T51" i="1"/>
  <c r="T19" i="1"/>
  <c r="T28" i="1"/>
  <c r="T21" i="1"/>
</calcChain>
</file>

<file path=xl/comments1.xml><?xml version="1.0" encoding="utf-8"?>
<comments xmlns="http://schemas.openxmlformats.org/spreadsheetml/2006/main">
  <authors>
    <author>gaic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MOHA 60%
T ALEXANDRIE 40%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SEIGLE 70%
TREFLE INCARNAT 30%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AVOINE 60%
VESCE 40%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MOUTARDE 70 %
PHACELIE 30 % </t>
        </r>
      </text>
    </comment>
    <comment ref="I2" authorId="0">
      <text>
        <r>
          <rPr>
            <sz val="9"/>
            <color indexed="81"/>
            <rFont val="Tahoma"/>
            <family val="2"/>
          </rPr>
          <t>70 % FENUGREC
30 % RADIS CHINOIS</t>
        </r>
      </text>
    </comment>
  </commentList>
</comments>
</file>

<file path=xl/sharedStrings.xml><?xml version="1.0" encoding="utf-8"?>
<sst xmlns="http://schemas.openxmlformats.org/spreadsheetml/2006/main" count="215" uniqueCount="139">
  <si>
    <t xml:space="preserve">MELANGE PROTA + FIRST   </t>
  </si>
  <si>
    <t xml:space="preserve">MELANGE ST MARCELIN </t>
  </si>
  <si>
    <t>MELANGE FOIN DAUPHINE SAVOY</t>
  </si>
  <si>
    <t xml:space="preserve">MELANGE ZONES HUMIDES </t>
  </si>
  <si>
    <t>MELANGE ZONES SECHES</t>
  </si>
  <si>
    <t>MS FAMOSA 44 P</t>
  </si>
  <si>
    <t>MS FAMOSA 45</t>
  </si>
  <si>
    <t>RGI A 2N</t>
  </si>
  <si>
    <t>RGI A 4N</t>
  </si>
  <si>
    <t>RGI NA 2N</t>
  </si>
  <si>
    <t>RGI NA 4N</t>
  </si>
  <si>
    <t>PMG</t>
  </si>
  <si>
    <t>Espèces Fourragères</t>
  </si>
  <si>
    <t>Fétuque Elevée</t>
  </si>
  <si>
    <t>Dactyle</t>
  </si>
  <si>
    <t>RGA 2n</t>
  </si>
  <si>
    <t>RGA 4n</t>
  </si>
  <si>
    <t>RGH 2n</t>
  </si>
  <si>
    <t>RGH 4n</t>
  </si>
  <si>
    <t>Festulolium</t>
  </si>
  <si>
    <t>Fétuque des prés</t>
  </si>
  <si>
    <t>Fléole des prés</t>
  </si>
  <si>
    <t>Pâturin des prés</t>
  </si>
  <si>
    <t>Luzerne</t>
  </si>
  <si>
    <t>Trèfle squarosum</t>
  </si>
  <si>
    <t>Trèfle vésiculum</t>
  </si>
  <si>
    <t>Minette</t>
  </si>
  <si>
    <t>Melilot</t>
  </si>
  <si>
    <t>Sainfoin (cosse)</t>
  </si>
  <si>
    <t>Cretelle des prés</t>
  </si>
  <si>
    <t>Fétuque rouge</t>
  </si>
  <si>
    <t>Lotier</t>
  </si>
  <si>
    <t>Sainfoin decortiqué</t>
  </si>
  <si>
    <t>Trèfle d'alexandrie</t>
  </si>
  <si>
    <t>Trèfle blanc ladino</t>
  </si>
  <si>
    <t>Trèfle blanc nain</t>
  </si>
  <si>
    <t>Trèfle incarnat</t>
  </si>
  <si>
    <t>Trèfle violet 2n</t>
  </si>
  <si>
    <t>Trèfle violet 4n</t>
  </si>
  <si>
    <t>Moha</t>
  </si>
  <si>
    <t>Avoine rude</t>
  </si>
  <si>
    <t>Phacélie</t>
  </si>
  <si>
    <t>Sarrasin</t>
  </si>
  <si>
    <t>Radis fourrager</t>
  </si>
  <si>
    <t>Vesce commune</t>
  </si>
  <si>
    <t>Trèfle hybride</t>
  </si>
  <si>
    <t>Trèfle de micheli</t>
  </si>
  <si>
    <t>Trèfle de perse</t>
  </si>
  <si>
    <t>Trèfle blanc géant</t>
  </si>
  <si>
    <t>Mais</t>
  </si>
  <si>
    <t>Moutarde blanche</t>
  </si>
  <si>
    <t>Navette Fourragére</t>
  </si>
  <si>
    <t>Colza fourrager</t>
  </si>
  <si>
    <t>Cameline</t>
  </si>
  <si>
    <t>Tournesol</t>
  </si>
  <si>
    <t>Nyger</t>
  </si>
  <si>
    <t>Sorgho fourrager</t>
  </si>
  <si>
    <t>KG / HA</t>
  </si>
  <si>
    <t>NBRE DE GRAINES TOTALE</t>
  </si>
  <si>
    <t>% DE GRAINES</t>
  </si>
  <si>
    <t>Nbre de graines / gramme</t>
  </si>
  <si>
    <t>Lin</t>
  </si>
  <si>
    <t>Feverolle</t>
  </si>
  <si>
    <t>Quantité par éspeces en KG/ha</t>
  </si>
  <si>
    <t>% du mélange en poids</t>
  </si>
  <si>
    <t>Pois fourrager de printemps</t>
  </si>
  <si>
    <t>Pois fourrager d'hiver</t>
  </si>
  <si>
    <t xml:space="preserve">Composition n°= </t>
  </si>
  <si>
    <t>Radis chinois</t>
  </si>
  <si>
    <t>Fenugrec</t>
  </si>
  <si>
    <t>ou / et</t>
  </si>
  <si>
    <t>TOTAL</t>
  </si>
  <si>
    <t>MEL N°=4  MOUTARDE PHACELIE</t>
  </si>
  <si>
    <t>MEL N°=2  SEIGLE T INCARNAT</t>
  </si>
  <si>
    <t>MEL N°=1  MOHA T ALEX</t>
  </si>
  <si>
    <t>MS ALFA 32</t>
  </si>
  <si>
    <t>MEL N°5 FENUGREC RADIS CHI</t>
  </si>
  <si>
    <t>Espèces 1 numéro :</t>
  </si>
  <si>
    <t>Espèces 2 numéro :</t>
  </si>
  <si>
    <t>Espèces 3 numéro :</t>
  </si>
  <si>
    <t xml:space="preserve"> Espèces 4 numéro :</t>
  </si>
  <si>
    <t xml:space="preserve"> Espèces 5 numéro :</t>
  </si>
  <si>
    <t xml:space="preserve"> Espèces 6 numéro :</t>
  </si>
  <si>
    <t>% du mélange en graines</t>
  </si>
  <si>
    <t>poids en graines</t>
  </si>
  <si>
    <t>MS FAMOSA 40</t>
  </si>
  <si>
    <t>MS JURA 47</t>
  </si>
  <si>
    <t>MS MEDIA 20</t>
  </si>
  <si>
    <t>MS TARDA 33</t>
  </si>
  <si>
    <t>Poids  par éspeces en KG/ha</t>
  </si>
  <si>
    <t>Plantain</t>
  </si>
  <si>
    <t>Chicorée</t>
  </si>
  <si>
    <t>Mon mélange contient</t>
  </si>
  <si>
    <t>% de légumineuses en graines</t>
  </si>
  <si>
    <t>Coût / Ha</t>
  </si>
  <si>
    <t xml:space="preserve">Kg /Ha </t>
  </si>
  <si>
    <t xml:space="preserve">Commentaire : </t>
  </si>
  <si>
    <t xml:space="preserve">Surface concerné : </t>
  </si>
  <si>
    <t>Ha</t>
  </si>
  <si>
    <t xml:space="preserve">Coût total </t>
  </si>
  <si>
    <t>EXPLOITATION :</t>
  </si>
  <si>
    <t>DEVIS FOURRAGERES</t>
  </si>
  <si>
    <t>Mon mélange contient:</t>
  </si>
  <si>
    <t>FEUILLE DE CALCUL</t>
  </si>
  <si>
    <t>Coût /T</t>
  </si>
  <si>
    <t>% de graines</t>
  </si>
  <si>
    <t>CALCULER LES POURCENTAGES D'ESPECES DANS UNE COMPOSITION ?</t>
  </si>
  <si>
    <t xml:space="preserve">Composition 1 n°= </t>
  </si>
  <si>
    <t xml:space="preserve">Composition 2 n°= </t>
  </si>
  <si>
    <t>composition 1</t>
  </si>
  <si>
    <t>composition 2</t>
  </si>
  <si>
    <r>
      <t xml:space="preserve">1) je choisis  mon numéro de composition et ma quantité HA que j'inscris </t>
    </r>
    <r>
      <rPr>
        <b/>
        <u/>
        <sz val="10"/>
        <color theme="1"/>
        <rFont val="Calibri"/>
        <family val="2"/>
        <scheme val="minor"/>
      </rPr>
      <t xml:space="preserve">exclusivement dans les </t>
    </r>
    <r>
      <rPr>
        <b/>
        <u/>
        <sz val="10"/>
        <color theme="4"/>
        <rFont val="Calibri"/>
        <family val="2"/>
        <scheme val="minor"/>
      </rPr>
      <t>cases bleues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                                                 2) je choisis de 1 à 6 espèces (en vert) et ma quantité HA que je souhaite associer, je les inscris </t>
    </r>
    <r>
      <rPr>
        <b/>
        <u/>
        <sz val="10"/>
        <color theme="1"/>
        <rFont val="Calibri"/>
        <family val="2"/>
        <scheme val="minor"/>
      </rPr>
      <t xml:space="preserve">exclusivement dans </t>
    </r>
    <r>
      <rPr>
        <b/>
        <u/>
        <sz val="10"/>
        <color rgb="FF66FF66"/>
        <rFont val="Calibri"/>
        <family val="2"/>
        <scheme val="minor"/>
      </rPr>
      <t>les cases vertes</t>
    </r>
    <r>
      <rPr>
        <sz val="10"/>
        <color theme="1"/>
        <rFont val="Calibri"/>
        <family val="2"/>
        <scheme val="minor"/>
      </rPr>
      <t xml:space="preserve">.                                                                              </t>
    </r>
    <r>
      <rPr>
        <sz val="10"/>
        <color rgb="FF00B050"/>
        <rFont val="Calibri"/>
        <family val="2"/>
        <scheme val="minor"/>
      </rPr>
      <t xml:space="preserve">Une fois inscrit, (sous le numéro des espéces) je retrouve mon taux de légumineuses dans mes mélanges. </t>
    </r>
    <r>
      <rPr>
        <sz val="10"/>
        <color rgb="FFFF0000"/>
        <rFont val="Calibri"/>
        <family val="2"/>
        <scheme val="minor"/>
      </rPr>
      <t>Pour etablir le devis, je note mon tarif par composition ou espéce à la tonne, et la surface à réaliser.</t>
    </r>
  </si>
  <si>
    <t>PROTEINE HERBE</t>
  </si>
  <si>
    <t>MELANGE GRINGO</t>
  </si>
  <si>
    <t>MELANGE PROTA PLUS 3 MIXTE</t>
  </si>
  <si>
    <t>MELANGE SATANAS</t>
  </si>
  <si>
    <t>MELANGE EQUIN</t>
  </si>
  <si>
    <t>MEL PHACELIE RADIS CHINOIS</t>
  </si>
  <si>
    <t>Vesce velue</t>
  </si>
  <si>
    <t>Seigle fourrager</t>
  </si>
  <si>
    <t>Seigle forestier</t>
  </si>
  <si>
    <t>Tréfle fléche</t>
  </si>
  <si>
    <t>Gesse</t>
  </si>
  <si>
    <t>Lentille noire</t>
  </si>
  <si>
    <t>Avoine noire</t>
  </si>
  <si>
    <t>MEL N°=3  AVOINE VESCE DE P</t>
  </si>
  <si>
    <t>MEL N = 31 AVOINE VESCE VELUE</t>
  </si>
  <si>
    <t>kg en graines</t>
  </si>
  <si>
    <t>GRAMME/GRAINE</t>
  </si>
  <si>
    <t>gramme/graine</t>
  </si>
  <si>
    <t>Quantité graines par éspeces en KG/ha</t>
  </si>
  <si>
    <t>graine / gramme</t>
  </si>
  <si>
    <t>poids / graine</t>
  </si>
  <si>
    <t>espèce 2</t>
  </si>
  <si>
    <t>espèce 3</t>
  </si>
  <si>
    <t>espèce 1</t>
  </si>
  <si>
    <t>espèce 4</t>
  </si>
  <si>
    <t>espèce 5</t>
  </si>
  <si>
    <t>espèce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</si>
</sst>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0"/>
    <numFmt numFmtId="165" formatCode="0.00000"/>
    <numFmt numFmtId="166" formatCode="_-* #,##0.00000\ _€_-;\-* #,##0.00000\ _€_-;_-* &quot;-&quot;??\ _€_-;_-@_-"/>
    <numFmt numFmtId="167" formatCode="0.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7"/>
      <name val="Arial"/>
      <family val="2"/>
    </font>
    <font>
      <b/>
      <u/>
      <sz val="11"/>
      <color rgb="FFC0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mbria"/>
      <family val="1"/>
      <scheme val="major"/>
    </font>
    <font>
      <b/>
      <u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u/>
      <sz val="2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4"/>
      <name val="Calibri"/>
      <family val="2"/>
      <scheme val="minor"/>
    </font>
    <font>
      <b/>
      <u/>
      <sz val="10"/>
      <color rgb="FF66FF66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1F497D"/>
      <name val="Berlin Sans FB"/>
      <family val="2"/>
    </font>
    <font>
      <b/>
      <sz val="6"/>
      <name val="Arial"/>
      <family val="2"/>
    </font>
    <font>
      <b/>
      <sz val="7"/>
      <color theme="1"/>
      <name val="Arial"/>
      <family val="2"/>
    </font>
    <font>
      <sz val="8"/>
      <color theme="1"/>
      <name val="Cambria"/>
      <family val="1"/>
      <scheme val="major"/>
    </font>
    <font>
      <sz val="12"/>
      <color rgb="FF30303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textRotation="255"/>
    </xf>
    <xf numFmtId="0" fontId="1" fillId="0" borderId="0" xfId="0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4" fontId="1" fillId="0" borderId="1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 vertical="center"/>
    </xf>
    <xf numFmtId="2" fontId="0" fillId="0" borderId="0" xfId="0" applyNumberFormat="1" applyFill="1" applyBorder="1" applyProtection="1"/>
    <xf numFmtId="2" fontId="8" fillId="0" borderId="0" xfId="0" applyNumberFormat="1" applyFont="1" applyBorder="1" applyAlignment="1" applyProtection="1">
      <alignment vertical="center"/>
    </xf>
    <xf numFmtId="2" fontId="8" fillId="0" borderId="0" xfId="0" applyNumberFormat="1" applyFont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2" fontId="0" fillId="0" borderId="0" xfId="0" applyNumberFormat="1" applyProtection="1"/>
    <xf numFmtId="2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2" fontId="9" fillId="0" borderId="0" xfId="0" applyNumberFormat="1" applyFont="1" applyAlignment="1" applyProtection="1">
      <alignment vertical="center"/>
    </xf>
    <xf numFmtId="2" fontId="6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Border="1" applyAlignment="1" applyProtection="1">
      <alignment vertical="center"/>
    </xf>
    <xf numFmtId="2" fontId="0" fillId="0" borderId="0" xfId="0" applyNumberFormat="1" applyFont="1" applyBorder="1" applyAlignment="1" applyProtection="1">
      <alignment vertical="center"/>
    </xf>
    <xf numFmtId="2" fontId="0" fillId="0" borderId="0" xfId="0" applyNumberFormat="1" applyBorder="1" applyProtection="1"/>
    <xf numFmtId="2" fontId="1" fillId="7" borderId="10" xfId="0" applyNumberFormat="1" applyFont="1" applyFill="1" applyBorder="1" applyAlignment="1" applyProtection="1">
      <alignment horizontal="center" vertical="center" wrapText="1"/>
    </xf>
    <xf numFmtId="2" fontId="0" fillId="7" borderId="10" xfId="0" applyNumberFormat="1" applyFill="1" applyBorder="1" applyAlignment="1" applyProtection="1">
      <alignment horizontal="center" vertical="center" wrapText="1"/>
    </xf>
    <xf numFmtId="2" fontId="0" fillId="7" borderId="11" xfId="0" applyNumberForma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 wrapText="1"/>
    </xf>
    <xf numFmtId="2" fontId="1" fillId="4" borderId="10" xfId="0" applyNumberFormat="1" applyFont="1" applyFill="1" applyBorder="1" applyAlignment="1" applyProtection="1">
      <alignment horizontal="center" vertical="center" wrapText="1"/>
    </xf>
    <xf numFmtId="2" fontId="1" fillId="0" borderId="9" xfId="0" applyNumberFormat="1" applyFont="1" applyFill="1" applyBorder="1" applyAlignment="1" applyProtection="1">
      <alignment horizontal="center" vertical="center"/>
    </xf>
    <xf numFmtId="2" fontId="1" fillId="0" borderId="10" xfId="0" applyNumberFormat="1" applyFont="1" applyFill="1" applyBorder="1" applyAlignment="1" applyProtection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 wrapText="1"/>
    </xf>
    <xf numFmtId="2" fontId="1" fillId="0" borderId="8" xfId="0" applyNumberFormat="1" applyFont="1" applyFill="1" applyBorder="1" applyAlignment="1" applyProtection="1">
      <alignment horizontal="center" vertical="center" wrapText="1"/>
    </xf>
    <xf numFmtId="10" fontId="0" fillId="0" borderId="8" xfId="0" applyNumberFormat="1" applyFill="1" applyBorder="1" applyAlignment="1" applyProtection="1">
      <alignment horizontal="center" vertical="center" wrapText="1"/>
    </xf>
    <xf numFmtId="2" fontId="0" fillId="0" borderId="8" xfId="0" applyNumberFormat="1" applyFill="1" applyBorder="1" applyAlignment="1" applyProtection="1">
      <alignment horizontal="center" vertical="center" wrapText="1"/>
    </xf>
    <xf numFmtId="2" fontId="1" fillId="0" borderId="4" xfId="0" applyNumberFormat="1" applyFont="1" applyFill="1" applyBorder="1" applyAlignment="1" applyProtection="1">
      <alignment horizontal="center" vertical="center" wrapText="1"/>
    </xf>
    <xf numFmtId="10" fontId="1" fillId="0" borderId="5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 applyProtection="1">
      <alignment horizontal="center" vertical="center" wrapText="1"/>
    </xf>
    <xf numFmtId="2" fontId="1" fillId="0" borderId="12" xfId="0" applyNumberFormat="1" applyFont="1" applyFill="1" applyBorder="1" applyAlignment="1" applyProtection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2" fontId="0" fillId="0" borderId="0" xfId="0" applyNumberFormat="1" applyFill="1" applyProtection="1"/>
    <xf numFmtId="1" fontId="0" fillId="7" borderId="0" xfId="0" applyNumberFormat="1" applyFill="1" applyProtection="1"/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10" fontId="1" fillId="0" borderId="24" xfId="0" applyNumberFormat="1" applyFont="1" applyFill="1" applyBorder="1" applyAlignment="1" applyProtection="1">
      <alignment horizontal="center" vertical="center" wrapText="1"/>
    </xf>
    <xf numFmtId="2" fontId="1" fillId="2" borderId="10" xfId="0" applyNumberFormat="1" applyFont="1" applyFill="1" applyBorder="1" applyAlignment="1" applyProtection="1">
      <alignment horizontal="center" vertical="center" wrapText="1"/>
    </xf>
    <xf numFmtId="10" fontId="1" fillId="0" borderId="11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44" fontId="0" fillId="0" borderId="0" xfId="1" applyFont="1" applyProtection="1"/>
    <xf numFmtId="2" fontId="16" fillId="0" borderId="0" xfId="0" applyNumberFormat="1" applyFont="1" applyProtection="1"/>
    <xf numFmtId="0" fontId="16" fillId="0" borderId="0" xfId="0" applyFont="1" applyProtection="1"/>
    <xf numFmtId="2" fontId="16" fillId="0" borderId="0" xfId="0" applyNumberFormat="1" applyFont="1" applyAlignment="1" applyProtection="1">
      <alignment horizontal="left" vertical="top"/>
    </xf>
    <xf numFmtId="2" fontId="16" fillId="0" borderId="0" xfId="0" applyNumberFormat="1" applyFont="1" applyAlignment="1" applyProtection="1">
      <alignment horizontal="center"/>
    </xf>
    <xf numFmtId="1" fontId="19" fillId="5" borderId="1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16" fillId="0" borderId="0" xfId="0" applyNumberFormat="1" applyFont="1" applyFill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horizontal="center" vertical="center"/>
    </xf>
    <xf numFmtId="2" fontId="19" fillId="0" borderId="1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3" xfId="1" applyFont="1" applyBorder="1" applyAlignment="1" applyProtection="1">
      <alignment horizontal="center" vertical="center"/>
    </xf>
    <xf numFmtId="44" fontId="19" fillId="0" borderId="1" xfId="1" applyFont="1" applyBorder="1" applyAlignment="1" applyProtection="1">
      <alignment horizontal="center" vertical="center"/>
    </xf>
    <xf numFmtId="44" fontId="16" fillId="0" borderId="1" xfId="1" applyFont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/>
    </xf>
    <xf numFmtId="1" fontId="19" fillId="7" borderId="1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Protection="1"/>
    <xf numFmtId="2" fontId="22" fillId="0" borderId="0" xfId="0" applyNumberFormat="1" applyFont="1" applyAlignment="1" applyProtection="1">
      <alignment horizontal="center" vertic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2" fontId="16" fillId="0" borderId="0" xfId="0" applyNumberFormat="1" applyFont="1" applyBorder="1" applyAlignment="1" applyProtection="1">
      <alignment vertical="top" wrapText="1"/>
    </xf>
    <xf numFmtId="2" fontId="22" fillId="0" borderId="0" xfId="0" applyNumberFormat="1" applyFont="1" applyBorder="1" applyAlignment="1" applyProtection="1">
      <alignment horizontal="center" vertical="center"/>
    </xf>
    <xf numFmtId="2" fontId="19" fillId="0" borderId="0" xfId="0" applyNumberFormat="1" applyFont="1" applyAlignment="1" applyProtection="1">
      <alignment horizontal="center" vertical="center"/>
    </xf>
    <xf numFmtId="44" fontId="16" fillId="0" borderId="0" xfId="1" applyFont="1" applyFill="1" applyAlignment="1" applyProtection="1">
      <alignment horizontal="center" vertical="center"/>
    </xf>
    <xf numFmtId="44" fontId="16" fillId="0" borderId="0" xfId="1" applyFont="1" applyAlignment="1" applyProtection="1">
      <alignment horizontal="center" vertical="center"/>
    </xf>
    <xf numFmtId="2" fontId="23" fillId="0" borderId="0" xfId="0" applyNumberFormat="1" applyFont="1" applyBorder="1" applyAlignment="1" applyProtection="1">
      <alignment horizontal="center" vertical="center"/>
    </xf>
    <xf numFmtId="2" fontId="2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44" fontId="16" fillId="0" borderId="1" xfId="0" applyNumberFormat="1" applyFont="1" applyBorder="1" applyAlignment="1" applyProtection="1">
      <alignment horizontal="center" vertical="center"/>
    </xf>
    <xf numFmtId="44" fontId="16" fillId="0" borderId="0" xfId="0" applyNumberFormat="1" applyFont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10" fontId="0" fillId="0" borderId="0" xfId="2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/>
    </xf>
    <xf numFmtId="10" fontId="15" fillId="0" borderId="8" xfId="0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1" fontId="16" fillId="7" borderId="1" xfId="0" applyNumberFormat="1" applyFont="1" applyFill="1" applyBorder="1" applyAlignment="1" applyProtection="1">
      <alignment horizontal="center" vertical="center"/>
      <protection locked="0"/>
    </xf>
    <xf numFmtId="2" fontId="16" fillId="7" borderId="1" xfId="0" applyNumberFormat="1" applyFont="1" applyFill="1" applyBorder="1" applyAlignment="1" applyProtection="1">
      <alignment horizontal="center" vertical="center"/>
      <protection locked="0"/>
    </xf>
    <xf numFmtId="2" fontId="32" fillId="0" borderId="0" xfId="0" applyNumberFormat="1" applyFont="1" applyFill="1" applyBorder="1" applyAlignment="1" applyProtection="1">
      <alignment horizontal="center" vertical="center"/>
    </xf>
    <xf numFmtId="1" fontId="32" fillId="0" borderId="1" xfId="0" applyNumberFormat="1" applyFont="1" applyFill="1" applyBorder="1" applyAlignment="1" applyProtection="1">
      <alignment horizontal="center" vertical="center"/>
    </xf>
    <xf numFmtId="1" fontId="23" fillId="4" borderId="8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Border="1" applyAlignment="1" applyProtection="1">
      <alignment vertical="center"/>
    </xf>
    <xf numFmtId="44" fontId="16" fillId="4" borderId="1" xfId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vertical="center"/>
    </xf>
    <xf numFmtId="2" fontId="19" fillId="0" borderId="0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28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32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33" xfId="0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2" fontId="22" fillId="0" borderId="0" xfId="0" applyNumberFormat="1" applyFont="1" applyAlignment="1" applyProtection="1">
      <alignment horizontal="center" vertical="center"/>
    </xf>
    <xf numFmtId="2" fontId="22" fillId="0" borderId="26" xfId="0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165" fontId="1" fillId="0" borderId="1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textRotation="255"/>
    </xf>
    <xf numFmtId="0" fontId="0" fillId="0" borderId="0" xfId="0" applyAlignment="1">
      <alignment horizontal="center" textRotation="255"/>
    </xf>
    <xf numFmtId="0" fontId="0" fillId="0" borderId="0" xfId="0" applyFill="1" applyAlignment="1">
      <alignment horizontal="center" textRotation="255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textRotation="255"/>
    </xf>
    <xf numFmtId="0" fontId="10" fillId="0" borderId="34" xfId="0" applyNumberFormat="1" applyFont="1" applyFill="1" applyBorder="1" applyAlignment="1" applyProtection="1">
      <alignment horizontal="center" textRotation="255" wrapText="1"/>
    </xf>
    <xf numFmtId="0" fontId="36" fillId="0" borderId="34" xfId="0" applyFont="1" applyFill="1" applyBorder="1" applyAlignment="1">
      <alignment horizontal="center" textRotation="255"/>
    </xf>
    <xf numFmtId="0" fontId="1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0" fillId="0" borderId="35" xfId="0" applyFont="1" applyFill="1" applyBorder="1" applyAlignment="1">
      <alignment horizontal="center" textRotation="255"/>
    </xf>
    <xf numFmtId="0" fontId="10" fillId="0" borderId="15" xfId="0" applyFont="1" applyFill="1" applyBorder="1" applyAlignment="1">
      <alignment horizontal="center" textRotation="255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textRotation="255"/>
    </xf>
    <xf numFmtId="2" fontId="1" fillId="0" borderId="1" xfId="0" applyNumberFormat="1" applyFont="1" applyFill="1" applyBorder="1" applyAlignment="1">
      <alignment horizontal="center" vertical="center"/>
    </xf>
    <xf numFmtId="2" fontId="8" fillId="10" borderId="0" xfId="0" applyNumberFormat="1" applyFont="1" applyFill="1" applyBorder="1" applyAlignment="1" applyProtection="1">
      <alignment horizontal="center" vertical="center"/>
    </xf>
    <xf numFmtId="166" fontId="1" fillId="0" borderId="13" xfId="3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 applyProtection="1">
      <alignment horizontal="center"/>
    </xf>
    <xf numFmtId="2" fontId="16" fillId="10" borderId="0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Border="1" applyAlignment="1" applyProtection="1">
      <alignment horizontal="center" vertical="center"/>
    </xf>
    <xf numFmtId="1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5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36" xfId="0" applyNumberFormat="1" applyFont="1" applyBorder="1" applyAlignment="1" applyProtection="1">
      <alignment horizontal="center" vertical="center"/>
    </xf>
    <xf numFmtId="2" fontId="16" fillId="0" borderId="28" xfId="0" applyNumberFormat="1" applyFont="1" applyBorder="1" applyAlignment="1" applyProtection="1">
      <alignment horizontal="center" vertical="center"/>
    </xf>
    <xf numFmtId="2" fontId="16" fillId="10" borderId="26" xfId="0" applyNumberFormat="1" applyFont="1" applyFill="1" applyBorder="1" applyAlignment="1" applyProtection="1">
      <alignment horizontal="center" vertical="center"/>
    </xf>
    <xf numFmtId="2" fontId="16" fillId="0" borderId="38" xfId="0" applyNumberFormat="1" applyFont="1" applyBorder="1" applyAlignment="1" applyProtection="1">
      <alignment horizontal="center" vertical="center"/>
    </xf>
    <xf numFmtId="2" fontId="16" fillId="0" borderId="32" xfId="0" applyNumberFormat="1" applyFont="1" applyBorder="1" applyAlignment="1" applyProtection="1">
      <alignment horizontal="center" vertical="center"/>
    </xf>
    <xf numFmtId="1" fontId="16" fillId="7" borderId="6" xfId="0" applyNumberFormat="1" applyFont="1" applyFill="1" applyBorder="1" applyAlignment="1" applyProtection="1">
      <alignment horizontal="center" vertical="center"/>
      <protection locked="0"/>
    </xf>
    <xf numFmtId="2" fontId="16" fillId="7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1" xfId="0" applyNumberFormat="1" applyFont="1" applyBorder="1" applyAlignment="1" applyProtection="1">
      <alignment horizontal="center" vertical="center"/>
    </xf>
    <xf numFmtId="1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5" borderId="6" xfId="0" applyNumberFormat="1" applyFont="1" applyFill="1" applyBorder="1" applyAlignment="1" applyProtection="1">
      <alignment horizontal="center" vertical="center"/>
      <protection locked="0"/>
    </xf>
    <xf numFmtId="2" fontId="16" fillId="0" borderId="42" xfId="0" applyNumberFormat="1" applyFont="1" applyBorder="1" applyAlignment="1" applyProtection="1">
      <alignment horizontal="center" vertical="center"/>
    </xf>
    <xf numFmtId="1" fontId="16" fillId="7" borderId="4" xfId="0" applyNumberFormat="1" applyFont="1" applyFill="1" applyBorder="1" applyAlignment="1" applyProtection="1">
      <alignment horizontal="center" vertical="center"/>
      <protection locked="0"/>
    </xf>
    <xf numFmtId="2" fontId="16" fillId="7" borderId="4" xfId="0" applyNumberFormat="1" applyFont="1" applyFill="1" applyBorder="1" applyAlignment="1" applyProtection="1">
      <alignment horizontal="center" vertical="center"/>
      <protection locked="0"/>
    </xf>
    <xf numFmtId="2" fontId="16" fillId="0" borderId="5" xfId="0" applyNumberFormat="1" applyFont="1" applyBorder="1" applyAlignment="1" applyProtection="1">
      <alignment horizontal="center" vertical="center"/>
    </xf>
    <xf numFmtId="1" fontId="25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2" fontId="0" fillId="10" borderId="0" xfId="0" applyNumberFormat="1" applyFill="1" applyAlignment="1" applyProtection="1">
      <alignment horizontal="center"/>
    </xf>
    <xf numFmtId="2" fontId="0" fillId="0" borderId="0" xfId="0" applyNumberFormat="1" applyFont="1" applyBorder="1" applyAlignment="1" applyProtection="1">
      <alignment horizontal="center" vertical="center"/>
    </xf>
    <xf numFmtId="167" fontId="0" fillId="0" borderId="0" xfId="0" applyNumberFormat="1" applyProtection="1"/>
    <xf numFmtId="2" fontId="1" fillId="7" borderId="25" xfId="0" applyNumberFormat="1" applyFont="1" applyFill="1" applyBorder="1" applyAlignment="1" applyProtection="1">
      <alignment horizontal="center" vertical="center" wrapText="1"/>
    </xf>
    <xf numFmtId="2" fontId="1" fillId="7" borderId="8" xfId="0" applyNumberFormat="1" applyFont="1" applyFill="1" applyBorder="1" applyAlignment="1" applyProtection="1">
      <alignment horizontal="center" vertical="center" wrapText="1"/>
    </xf>
    <xf numFmtId="2" fontId="1" fillId="0" borderId="20" xfId="0" applyNumberFormat="1" applyFont="1" applyFill="1" applyBorder="1" applyAlignment="1" applyProtection="1">
      <alignment horizontal="center" vertical="center" wrapText="1"/>
    </xf>
    <xf numFmtId="164" fontId="1" fillId="0" borderId="43" xfId="0" applyNumberFormat="1" applyFont="1" applyFill="1" applyBorder="1" applyAlignment="1" applyProtection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2" fontId="1" fillId="7" borderId="21" xfId="0" applyNumberFormat="1" applyFont="1" applyFill="1" applyBorder="1" applyAlignment="1" applyProtection="1">
      <alignment horizontal="center" vertical="center" wrapText="1"/>
    </xf>
    <xf numFmtId="2" fontId="1" fillId="0" borderId="37" xfId="0" applyNumberFormat="1" applyFont="1" applyFill="1" applyBorder="1" applyAlignment="1" applyProtection="1">
      <alignment horizontal="center" vertical="center"/>
    </xf>
    <xf numFmtId="10" fontId="13" fillId="0" borderId="8" xfId="0" applyNumberFormat="1" applyFont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 wrapText="1"/>
    </xf>
    <xf numFmtId="2" fontId="1" fillId="0" borderId="5" xfId="0" applyNumberFormat="1" applyFont="1" applyFill="1" applyBorder="1" applyAlignment="1" applyProtection="1">
      <alignment horizontal="center" vertical="center" wrapText="1"/>
    </xf>
    <xf numFmtId="164" fontId="1" fillId="0" borderId="20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1" fontId="1" fillId="0" borderId="25" xfId="0" applyNumberFormat="1" applyFont="1" applyFill="1" applyBorder="1" applyAlignment="1" applyProtection="1">
      <alignment horizontal="center" vertical="center" wrapText="1"/>
    </xf>
    <xf numFmtId="2" fontId="1" fillId="0" borderId="1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2" fontId="16" fillId="0" borderId="2" xfId="0" applyNumberFormat="1" applyFont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vertical="center"/>
    </xf>
    <xf numFmtId="2" fontId="16" fillId="0" borderId="1" xfId="0" applyNumberFormat="1" applyFont="1" applyBorder="1" applyAlignment="1" applyProtection="1">
      <alignment horizontal="center" vertical="center"/>
    </xf>
    <xf numFmtId="2" fontId="16" fillId="0" borderId="14" xfId="0" applyNumberFormat="1" applyFont="1" applyBorder="1" applyAlignment="1" applyProtection="1">
      <alignment horizontal="center" vertical="center"/>
    </xf>
    <xf numFmtId="2" fontId="16" fillId="0" borderId="16" xfId="0" applyNumberFormat="1" applyFont="1" applyBorder="1" applyAlignment="1" applyProtection="1">
      <alignment horizontal="center" vertical="center"/>
    </xf>
    <xf numFmtId="2" fontId="16" fillId="0" borderId="39" xfId="0" applyNumberFormat="1" applyFont="1" applyBorder="1" applyAlignment="1" applyProtection="1">
      <alignment horizontal="center" vertical="center"/>
    </xf>
    <xf numFmtId="2" fontId="16" fillId="0" borderId="40" xfId="0" applyNumberFormat="1" applyFont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2" fontId="21" fillId="0" borderId="1" xfId="0" applyNumberFormat="1" applyFont="1" applyFill="1" applyBorder="1" applyAlignment="1" applyProtection="1">
      <alignment horizontal="center"/>
    </xf>
    <xf numFmtId="2" fontId="16" fillId="0" borderId="27" xfId="0" applyNumberFormat="1" applyFont="1" applyBorder="1" applyAlignment="1" applyProtection="1">
      <alignment horizontal="left" vertical="top" wrapText="1"/>
    </xf>
    <xf numFmtId="2" fontId="16" fillId="0" borderId="0" xfId="0" applyNumberFormat="1" applyFont="1" applyBorder="1" applyAlignment="1" applyProtection="1">
      <alignment horizontal="left" vertical="top" wrapText="1"/>
    </xf>
    <xf numFmtId="2" fontId="22" fillId="0" borderId="28" xfId="0" applyNumberFormat="1" applyFont="1" applyBorder="1" applyAlignment="1" applyProtection="1">
      <alignment horizontal="center" vertical="center"/>
    </xf>
    <xf numFmtId="2" fontId="22" fillId="0" borderId="19" xfId="0" applyNumberFormat="1" applyFont="1" applyBorder="1" applyAlignment="1" applyProtection="1">
      <alignment horizontal="center" vertical="center"/>
    </xf>
    <xf numFmtId="2" fontId="16" fillId="0" borderId="17" xfId="0" applyNumberFormat="1" applyFont="1" applyBorder="1" applyAlignment="1" applyProtection="1">
      <alignment horizontal="center" vertical="center"/>
    </xf>
    <xf numFmtId="2" fontId="16" fillId="0" borderId="37" xfId="0" applyNumberFormat="1" applyFont="1" applyBorder="1" applyAlignment="1" applyProtection="1">
      <alignment horizontal="center" vertical="center"/>
    </xf>
    <xf numFmtId="2" fontId="16" fillId="0" borderId="12" xfId="0" applyNumberFormat="1" applyFont="1" applyBorder="1" applyAlignment="1" applyProtection="1">
      <alignment horizontal="center" vertical="center"/>
    </xf>
    <xf numFmtId="2" fontId="8" fillId="9" borderId="20" xfId="0" applyNumberFormat="1" applyFont="1" applyFill="1" applyBorder="1" applyAlignment="1" applyProtection="1">
      <alignment horizontal="center" vertical="center"/>
      <protection locked="0"/>
    </xf>
    <xf numFmtId="2" fontId="8" fillId="9" borderId="21" xfId="0" applyNumberFormat="1" applyFont="1" applyFill="1" applyBorder="1" applyAlignment="1" applyProtection="1">
      <alignment horizontal="center" vertical="center"/>
      <protection locked="0"/>
    </xf>
    <xf numFmtId="2" fontId="8" fillId="9" borderId="22" xfId="0" applyNumberFormat="1" applyFont="1" applyFill="1" applyBorder="1" applyAlignment="1" applyProtection="1">
      <alignment horizontal="center" vertical="center"/>
      <protection locked="0"/>
    </xf>
    <xf numFmtId="9" fontId="0" fillId="0" borderId="1" xfId="2" applyFont="1" applyFill="1" applyBorder="1" applyAlignment="1" applyProtection="1">
      <alignment horizontal="center" vertical="center" wrapText="1"/>
    </xf>
    <xf numFmtId="0" fontId="31" fillId="0" borderId="29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</xf>
    <xf numFmtId="9" fontId="16" fillId="0" borderId="1" xfId="2" applyFont="1" applyFill="1" applyBorder="1" applyAlignment="1" applyProtection="1">
      <alignment horizontal="center" vertical="center"/>
    </xf>
    <xf numFmtId="9" fontId="16" fillId="0" borderId="1" xfId="2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/>
    </xf>
    <xf numFmtId="9" fontId="16" fillId="0" borderId="1" xfId="2" applyFont="1" applyBorder="1" applyAlignment="1" applyProtection="1">
      <alignment horizontal="center"/>
    </xf>
    <xf numFmtId="2" fontId="33" fillId="0" borderId="28" xfId="0" applyNumberFormat="1" applyFont="1" applyBorder="1" applyAlignment="1" applyProtection="1">
      <alignment horizontal="center" vertical="center"/>
    </xf>
    <xf numFmtId="2" fontId="33" fillId="0" borderId="0" xfId="0" applyNumberFormat="1" applyFont="1" applyBorder="1" applyAlignment="1" applyProtection="1">
      <alignment horizontal="center" vertical="center"/>
    </xf>
    <xf numFmtId="9" fontId="1" fillId="0" borderId="1" xfId="2" applyFont="1" applyFill="1" applyBorder="1" applyAlignment="1" applyProtection="1">
      <alignment horizontal="center" vertical="center" wrapText="1"/>
    </xf>
    <xf numFmtId="2" fontId="9" fillId="4" borderId="0" xfId="0" applyNumberFormat="1" applyFont="1" applyFill="1" applyBorder="1" applyAlignment="1" applyProtection="1">
      <alignment horizontal="center" vertical="center"/>
    </xf>
    <xf numFmtId="2" fontId="9" fillId="4" borderId="7" xfId="0" applyNumberFormat="1" applyFont="1" applyFill="1" applyBorder="1" applyAlignment="1" applyProtection="1">
      <alignment horizontal="center" vertical="center"/>
    </xf>
    <xf numFmtId="2" fontId="12" fillId="0" borderId="20" xfId="0" applyNumberFormat="1" applyFont="1" applyBorder="1" applyAlignment="1" applyProtection="1">
      <alignment horizontal="center" vertical="center"/>
    </xf>
    <xf numFmtId="2" fontId="0" fillId="0" borderId="21" xfId="0" applyNumberFormat="1" applyBorder="1" applyAlignment="1" applyProtection="1">
      <alignment horizontal="center" vertical="center"/>
    </xf>
    <xf numFmtId="2" fontId="0" fillId="0" borderId="22" xfId="0" applyNumberFormat="1" applyBorder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right"/>
    </xf>
    <xf numFmtId="2" fontId="11" fillId="0" borderId="26" xfId="0" applyNumberFormat="1" applyFont="1" applyBorder="1" applyAlignment="1" applyProtection="1">
      <alignment horizontal="right"/>
    </xf>
    <xf numFmtId="2" fontId="9" fillId="4" borderId="30" xfId="0" applyNumberFormat="1" applyFont="1" applyFill="1" applyBorder="1" applyAlignment="1" applyProtection="1">
      <alignment horizontal="center" vertical="center"/>
    </xf>
    <xf numFmtId="2" fontId="9" fillId="4" borderId="29" xfId="0" applyNumberFormat="1" applyFont="1" applyFill="1" applyBorder="1" applyAlignment="1" applyProtection="1">
      <alignment horizontal="center" vertical="center"/>
    </xf>
    <xf numFmtId="2" fontId="9" fillId="4" borderId="31" xfId="0" applyNumberFormat="1" applyFont="1" applyFill="1" applyBorder="1" applyAlignment="1" applyProtection="1">
      <alignment horizontal="center" vertical="center"/>
    </xf>
    <xf numFmtId="2" fontId="9" fillId="4" borderId="32" xfId="0" applyNumberFormat="1" applyFont="1" applyFill="1" applyBorder="1" applyAlignment="1" applyProtection="1">
      <alignment horizontal="center" vertical="center"/>
    </xf>
    <xf numFmtId="2" fontId="9" fillId="4" borderId="33" xfId="0" applyNumberFormat="1" applyFont="1" applyFill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2" fontId="0" fillId="0" borderId="14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11" fillId="0" borderId="0" xfId="0" applyNumberFormat="1" applyFont="1" applyBorder="1" applyAlignment="1" applyProtection="1">
      <alignment horizontal="left" vertical="center"/>
    </xf>
    <xf numFmtId="2" fontId="11" fillId="0" borderId="19" xfId="0" applyNumberFormat="1" applyFont="1" applyBorder="1" applyAlignment="1" applyProtection="1">
      <alignment horizontal="left" vertical="center"/>
    </xf>
    <xf numFmtId="2" fontId="8" fillId="10" borderId="14" xfId="0" applyNumberFormat="1" applyFont="1" applyFill="1" applyBorder="1" applyAlignment="1" applyProtection="1">
      <alignment horizontal="center" vertical="center"/>
    </xf>
    <xf numFmtId="2" fontId="1" fillId="0" borderId="8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/>
    </xf>
    <xf numFmtId="2" fontId="1" fillId="4" borderId="18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 wrapText="1"/>
    </xf>
    <xf numFmtId="10" fontId="1" fillId="0" borderId="13" xfId="0" applyNumberFormat="1" applyFont="1" applyFill="1" applyBorder="1" applyAlignment="1" applyProtection="1">
      <alignment horizontal="center" vertical="center" wrapText="1"/>
    </xf>
    <xf numFmtId="10" fontId="1" fillId="0" borderId="8" xfId="0" applyNumberFormat="1" applyFont="1" applyFill="1" applyBorder="1" applyAlignment="1" applyProtection="1">
      <alignment horizontal="center" vertical="center" wrapText="1"/>
    </xf>
    <xf numFmtId="2" fontId="0" fillId="4" borderId="21" xfId="0" applyNumberFormat="1" applyFill="1" applyBorder="1" applyAlignment="1" applyProtection="1">
      <alignment horizontal="center" vertical="center" wrapText="1"/>
    </xf>
    <xf numFmtId="2" fontId="0" fillId="0" borderId="21" xfId="0" applyNumberFormat="1" applyFill="1" applyBorder="1" applyAlignment="1" applyProtection="1">
      <alignment horizontal="center" vertical="center" wrapText="1"/>
    </xf>
    <xf numFmtId="2" fontId="1" fillId="0" borderId="37" xfId="0" applyNumberFormat="1" applyFont="1" applyFill="1" applyBorder="1" applyAlignment="1" applyProtection="1">
      <alignment horizontal="center" vertical="center" wrapText="1"/>
    </xf>
    <xf numFmtId="165" fontId="1" fillId="0" borderId="37" xfId="0" applyNumberFormat="1" applyFont="1" applyFill="1" applyBorder="1" applyAlignment="1" applyProtection="1">
      <alignment horizontal="center" vertical="center"/>
    </xf>
    <xf numFmtId="165" fontId="1" fillId="0" borderId="21" xfId="0" applyNumberFormat="1" applyFont="1" applyFill="1" applyBorder="1" applyAlignment="1" applyProtection="1">
      <alignment horizontal="center" vertical="center"/>
    </xf>
    <xf numFmtId="2" fontId="1" fillId="0" borderId="13" xfId="0" applyNumberFormat="1" applyFont="1" applyFill="1" applyBorder="1" applyAlignment="1" applyProtection="1">
      <alignment horizontal="center" vertical="center" wrapText="1"/>
    </xf>
    <xf numFmtId="2" fontId="1" fillId="4" borderId="20" xfId="0" applyNumberFormat="1" applyFont="1" applyFill="1" applyBorder="1" applyAlignment="1" applyProtection="1">
      <alignment horizontal="center" vertical="center"/>
    </xf>
    <xf numFmtId="2" fontId="1" fillId="4" borderId="21" xfId="0" applyNumberFormat="1" applyFont="1" applyFill="1" applyBorder="1" applyAlignment="1" applyProtection="1">
      <alignment horizontal="center" vertical="center" wrapText="1"/>
    </xf>
    <xf numFmtId="2" fontId="1" fillId="4" borderId="8" xfId="0" applyNumberFormat="1" applyFont="1" applyFill="1" applyBorder="1" applyAlignment="1" applyProtection="1">
      <alignment horizontal="center" vertical="center"/>
    </xf>
    <xf numFmtId="2" fontId="1" fillId="0" borderId="43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2" fontId="7" fillId="7" borderId="13" xfId="0" applyNumberFormat="1" applyFont="1" applyFill="1" applyBorder="1" applyAlignment="1" applyProtection="1">
      <alignment horizontal="center"/>
    </xf>
    <xf numFmtId="2" fontId="7" fillId="7" borderId="8" xfId="0" applyNumberFormat="1" applyFont="1" applyFill="1" applyBorder="1" applyAlignment="1" applyProtection="1">
      <alignment horizontal="center"/>
    </xf>
    <xf numFmtId="1" fontId="1" fillId="0" borderId="21" xfId="0" applyNumberFormat="1" applyFont="1" applyFill="1" applyBorder="1" applyAlignment="1" applyProtection="1">
      <alignment horizontal="center" vertical="center" wrapText="1"/>
    </xf>
    <xf numFmtId="2" fontId="1" fillId="7" borderId="20" xfId="0" applyNumberFormat="1" applyFont="1" applyFill="1" applyBorder="1" applyAlignment="1" applyProtection="1">
      <alignment horizontal="center" vertical="center" wrapText="1"/>
    </xf>
    <xf numFmtId="2" fontId="0" fillId="7" borderId="22" xfId="0" applyNumberFormat="1" applyFill="1" applyBorder="1" applyAlignment="1" applyProtection="1">
      <alignment horizontal="center" vertical="center" wrapText="1"/>
    </xf>
    <xf numFmtId="10" fontId="0" fillId="0" borderId="22" xfId="0" applyNumberFormat="1" applyFill="1" applyBorder="1" applyAlignment="1" applyProtection="1">
      <alignment horizontal="center" vertical="center" wrapText="1"/>
    </xf>
    <xf numFmtId="10" fontId="1" fillId="0" borderId="36" xfId="0" applyNumberFormat="1" applyFont="1" applyFill="1" applyBorder="1" applyAlignment="1" applyProtection="1">
      <alignment horizontal="center" vertical="center" wrapText="1"/>
    </xf>
    <xf numFmtId="10" fontId="1" fillId="0" borderId="22" xfId="0" applyNumberFormat="1" applyFont="1" applyFill="1" applyBorder="1" applyAlignment="1" applyProtection="1">
      <alignment horizontal="center" vertical="center" wrapText="1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2" fontId="0" fillId="7" borderId="8" xfId="0" applyNumberForma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vertical="center"/>
    </xf>
    <xf numFmtId="164" fontId="1" fillId="0" borderId="8" xfId="0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164" fontId="0" fillId="0" borderId="0" xfId="0" applyNumberFormat="1" applyFill="1" applyProtection="1"/>
    <xf numFmtId="164" fontId="1" fillId="7" borderId="8" xfId="0" applyNumberFormat="1" applyFont="1" applyFill="1" applyBorder="1" applyAlignment="1" applyProtection="1">
      <alignment horizontal="center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2" fontId="0" fillId="0" borderId="21" xfId="0" applyNumberFormat="1" applyFill="1" applyBorder="1" applyAlignment="1" applyProtection="1">
      <alignment horizontal="center" vertical="center"/>
    </xf>
    <xf numFmtId="1" fontId="1" fillId="0" borderId="37" xfId="0" applyNumberFormat="1" applyFont="1" applyFill="1" applyBorder="1" applyAlignment="1" applyProtection="1">
      <alignment horizontal="center" vertical="center" wrapText="1"/>
    </xf>
    <xf numFmtId="164" fontId="1" fillId="0" borderId="13" xfId="0" applyNumberFormat="1" applyFont="1" applyFill="1" applyBorder="1" applyAlignment="1" applyProtection="1">
      <alignment horizontal="center" vertical="center"/>
    </xf>
    <xf numFmtId="166" fontId="1" fillId="0" borderId="8" xfId="3" applyNumberFormat="1" applyFont="1" applyFill="1" applyBorder="1" applyAlignment="1" applyProtection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 vertical="center" wrapText="1"/>
    </xf>
    <xf numFmtId="1" fontId="8" fillId="1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2" fontId="38" fillId="0" borderId="0" xfId="0" applyNumberFormat="1" applyFont="1" applyAlignment="1">
      <alignment horizontal="center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">
    <dxf>
      <font>
        <strike val="0"/>
        <color rgb="FF00B050"/>
      </font>
    </dxf>
    <dxf>
      <font>
        <strike val="0"/>
        <color rgb="FF00B050"/>
      </font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35</xdr:row>
      <xdr:rowOff>38099</xdr:rowOff>
    </xdr:from>
    <xdr:to>
      <xdr:col>3</xdr:col>
      <xdr:colOff>153191</xdr:colOff>
      <xdr:row>35</xdr:row>
      <xdr:rowOff>590550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334124"/>
          <a:ext cx="2537616" cy="5524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115091</xdr:colOff>
      <xdr:row>2</xdr:row>
      <xdr:rowOff>95250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7616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19050</xdr:rowOff>
    </xdr:from>
    <xdr:to>
      <xdr:col>3</xdr:col>
      <xdr:colOff>115091</xdr:colOff>
      <xdr:row>72</xdr:row>
      <xdr:rowOff>87540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525375"/>
          <a:ext cx="2537616" cy="5524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0"/>
  <sheetViews>
    <sheetView topLeftCell="A21" zoomScale="84" zoomScaleNormal="84" workbookViewId="0">
      <selection activeCell="D43" sqref="D43"/>
    </sheetView>
  </sheetViews>
  <sheetFormatPr baseColWidth="10" defaultRowHeight="12.75" x14ac:dyDescent="0.2"/>
  <cols>
    <col min="1" max="1" width="4.28515625" style="76" bestFit="1" customWidth="1"/>
    <col min="2" max="2" width="3.7109375" style="76" customWidth="1"/>
    <col min="3" max="3" width="28.42578125" style="76" customWidth="1"/>
    <col min="4" max="4" width="7.140625" style="76" customWidth="1"/>
    <col min="5" max="5" width="10.85546875" style="76" customWidth="1"/>
    <col min="6" max="6" width="16.85546875" style="76" customWidth="1"/>
    <col min="7" max="7" width="13" style="76" customWidth="1"/>
    <col min="8" max="8" width="9.42578125" style="76" customWidth="1"/>
    <col min="9" max="9" width="16.28515625" style="76" customWidth="1"/>
    <col min="10" max="10" width="11.7109375" style="76" bestFit="1" customWidth="1"/>
    <col min="11" max="11" width="9.28515625" style="76" customWidth="1"/>
    <col min="12" max="12" width="7.85546875" style="76" bestFit="1" customWidth="1"/>
    <col min="13" max="13" width="5.7109375" style="76" bestFit="1" customWidth="1"/>
    <col min="14" max="14" width="7.140625" style="76" bestFit="1" customWidth="1"/>
    <col min="15" max="15" width="11.85546875" style="76" bestFit="1" customWidth="1"/>
    <col min="16" max="16" width="8.140625" style="76" bestFit="1" customWidth="1"/>
    <col min="17" max="17" width="10.42578125" style="76" customWidth="1"/>
    <col min="18" max="18" width="8.5703125" style="76" customWidth="1"/>
    <col min="19" max="16384" width="11.42578125" style="76"/>
  </cols>
  <sheetData>
    <row r="2" spans="1:14" ht="14.25" x14ac:dyDescent="0.2">
      <c r="M2" s="124" t="str">
        <f>IF($D$39="",0,IF($D$39&gt;10,HLOOKUP($D$39,COMPOSITTIONS!A:Y,4,FALSE),""))</f>
        <v/>
      </c>
    </row>
    <row r="4" spans="1:14" ht="27.75" customHeight="1" x14ac:dyDescent="0.2">
      <c r="A4" s="245" t="s">
        <v>106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122"/>
    </row>
    <row r="5" spans="1:14" ht="51" customHeight="1" x14ac:dyDescent="0.2">
      <c r="A5" s="225" t="s">
        <v>111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100"/>
    </row>
    <row r="6" spans="1:14" x14ac:dyDescent="0.2">
      <c r="A6" s="77"/>
      <c r="B6" s="78"/>
      <c r="C6" s="78"/>
      <c r="D6" s="78"/>
      <c r="E6" s="78"/>
      <c r="F6" s="78"/>
      <c r="G6" s="78"/>
      <c r="H6" s="78"/>
      <c r="I6" s="78"/>
      <c r="J6" s="78"/>
      <c r="K6" s="75"/>
    </row>
    <row r="7" spans="1:14" x14ac:dyDescent="0.2">
      <c r="A7" s="79">
        <f>COMPOSITTIONS!D1</f>
        <v>1</v>
      </c>
      <c r="B7" s="214" t="str">
        <f>COMPOSITTIONS!D2</f>
        <v>MEL N°=1  MOHA T ALEX</v>
      </c>
      <c r="C7" s="214"/>
      <c r="D7" s="93">
        <v>30</v>
      </c>
      <c r="E7" s="214" t="str">
        <f>COMPOSITTIONS!C9</f>
        <v>Cretelle des prés</v>
      </c>
      <c r="F7" s="214"/>
      <c r="G7" s="93">
        <v>59</v>
      </c>
      <c r="H7" s="224" t="str">
        <f>COMPOSITTIONS!C38</f>
        <v>RGA 4n</v>
      </c>
      <c r="I7" s="224"/>
      <c r="J7" s="75"/>
      <c r="K7" s="75"/>
    </row>
    <row r="8" spans="1:14" ht="12.75" customHeight="1" x14ac:dyDescent="0.2">
      <c r="A8" s="79">
        <f>COMPOSITTIONS!E1</f>
        <v>2</v>
      </c>
      <c r="B8" s="214" t="str">
        <f>COMPOSITTIONS!E2</f>
        <v>MEL N°=2  SEIGLE T INCARNAT</v>
      </c>
      <c r="C8" s="214"/>
      <c r="D8" s="93">
        <v>31</v>
      </c>
      <c r="E8" s="214" t="str">
        <f>COMPOSITTIONS!C10</f>
        <v>Dactyle</v>
      </c>
      <c r="F8" s="214"/>
      <c r="G8" s="93">
        <v>60</v>
      </c>
      <c r="H8" s="224" t="str">
        <f>COMPOSITTIONS!C39</f>
        <v>RGH 2n</v>
      </c>
      <c r="I8" s="224"/>
      <c r="J8" s="75"/>
      <c r="K8" s="75"/>
    </row>
    <row r="9" spans="1:14" ht="12.75" customHeight="1" x14ac:dyDescent="0.2">
      <c r="A9" s="79">
        <f>COMPOSITTIONS!F1</f>
        <v>3</v>
      </c>
      <c r="B9" s="214" t="str">
        <f>COMPOSITTIONS!F2</f>
        <v>MEL N°=3  AVOINE VESCE DE P</v>
      </c>
      <c r="C9" s="214"/>
      <c r="D9" s="93">
        <v>32</v>
      </c>
      <c r="E9" s="214" t="str">
        <f>COMPOSITTIONS!C11</f>
        <v>Fenugrec</v>
      </c>
      <c r="F9" s="214"/>
      <c r="G9" s="93">
        <v>61</v>
      </c>
      <c r="H9" s="224" t="str">
        <f>COMPOSITTIONS!C40</f>
        <v>RGH 4n</v>
      </c>
      <c r="I9" s="224"/>
      <c r="J9" s="75"/>
      <c r="K9" s="75"/>
    </row>
    <row r="10" spans="1:14" ht="12.75" customHeight="1" x14ac:dyDescent="0.2">
      <c r="A10" s="79">
        <f>COMPOSITTIONS!G1</f>
        <v>4</v>
      </c>
      <c r="B10" s="214" t="str">
        <f>COMPOSITTIONS!G2</f>
        <v>MEL N = 31 AVOINE VESCE VELUE</v>
      </c>
      <c r="C10" s="214"/>
      <c r="D10" s="93">
        <v>33</v>
      </c>
      <c r="E10" s="214" t="str">
        <f>COMPOSITTIONS!C12</f>
        <v>Festulolium</v>
      </c>
      <c r="F10" s="214"/>
      <c r="G10" s="93">
        <v>62</v>
      </c>
      <c r="H10" s="224" t="str">
        <f>COMPOSITTIONS!C41</f>
        <v>RGI A 2N</v>
      </c>
      <c r="I10" s="224"/>
      <c r="L10" s="94"/>
      <c r="M10" s="95"/>
      <c r="N10" s="94"/>
    </row>
    <row r="11" spans="1:14" ht="15" customHeight="1" x14ac:dyDescent="0.2">
      <c r="A11" s="79">
        <f>COMPOSITTIONS!H1</f>
        <v>5</v>
      </c>
      <c r="B11" s="214" t="str">
        <f>COMPOSITTIONS!H2</f>
        <v>MEL N°=4  MOUTARDE PHACELIE</v>
      </c>
      <c r="C11" s="214"/>
      <c r="D11" s="93">
        <v>34</v>
      </c>
      <c r="E11" s="214" t="str">
        <f>COMPOSITTIONS!C13</f>
        <v>Fétuque des prés</v>
      </c>
      <c r="F11" s="214"/>
      <c r="G11" s="93">
        <v>63</v>
      </c>
      <c r="H11" s="224" t="str">
        <f>COMPOSITTIONS!C42</f>
        <v>RGI A 4N</v>
      </c>
      <c r="I11" s="224"/>
      <c r="L11" s="94"/>
      <c r="M11" s="95"/>
      <c r="N11" s="94"/>
    </row>
    <row r="12" spans="1:14" x14ac:dyDescent="0.2">
      <c r="A12" s="79">
        <f>COMPOSITTIONS!I1</f>
        <v>6</v>
      </c>
      <c r="B12" s="214" t="str">
        <f>COMPOSITTIONS!I2</f>
        <v>MEL N°5 FENUGREC RADIS CHI</v>
      </c>
      <c r="C12" s="214"/>
      <c r="D12" s="93">
        <v>35</v>
      </c>
      <c r="E12" s="214" t="str">
        <f>COMPOSITTIONS!C14</f>
        <v>Fétuque Elevée</v>
      </c>
      <c r="F12" s="214"/>
      <c r="G12" s="93">
        <v>64</v>
      </c>
      <c r="H12" s="224" t="str">
        <f>COMPOSITTIONS!C43</f>
        <v>RGI NA 2N</v>
      </c>
      <c r="I12" s="224"/>
      <c r="L12" s="94"/>
      <c r="M12" s="95"/>
      <c r="N12" s="94"/>
    </row>
    <row r="13" spans="1:14" ht="12.75" customHeight="1" x14ac:dyDescent="0.2">
      <c r="A13" s="79">
        <f>COMPOSITTIONS!J1</f>
        <v>7</v>
      </c>
      <c r="B13" s="214" t="str">
        <f>COMPOSITTIONS!J2</f>
        <v>MEL PHACELIE RADIS CHINOIS</v>
      </c>
      <c r="C13" s="214"/>
      <c r="D13" s="93">
        <v>36</v>
      </c>
      <c r="E13" s="214" t="str">
        <f>COMPOSITTIONS!C15</f>
        <v>Fétuque rouge</v>
      </c>
      <c r="F13" s="214"/>
      <c r="G13" s="93">
        <v>65</v>
      </c>
      <c r="H13" s="224" t="str">
        <f>COMPOSITTIONS!C44</f>
        <v>RGI NA 4N</v>
      </c>
      <c r="I13" s="224"/>
      <c r="L13" s="94"/>
      <c r="M13" s="95"/>
      <c r="N13" s="94"/>
    </row>
    <row r="14" spans="1:14" x14ac:dyDescent="0.2">
      <c r="A14" s="79">
        <f>COMPOSITTIONS!K1</f>
        <v>8</v>
      </c>
      <c r="B14" s="214" t="str">
        <f>COMPOSITTIONS!K2</f>
        <v>MELANGE EQUIN</v>
      </c>
      <c r="C14" s="214"/>
      <c r="D14" s="93">
        <v>37</v>
      </c>
      <c r="E14" s="214" t="str">
        <f>COMPOSITTIONS!C16</f>
        <v>Feverolle</v>
      </c>
      <c r="F14" s="214"/>
      <c r="G14" s="93">
        <v>66</v>
      </c>
      <c r="H14" s="224" t="str">
        <f>COMPOSITTIONS!C45</f>
        <v>Sainfoin (cosse)</v>
      </c>
      <c r="I14" s="224"/>
      <c r="L14" s="94"/>
      <c r="M14" s="95"/>
      <c r="N14" s="94"/>
    </row>
    <row r="15" spans="1:14" ht="12.75" customHeight="1" x14ac:dyDescent="0.2">
      <c r="A15" s="79">
        <f>COMPOSITTIONS!L1</f>
        <v>9</v>
      </c>
      <c r="B15" s="214" t="str">
        <f>COMPOSITTIONS!L2</f>
        <v>MELANGE FOIN DAUPHINE SAVOY</v>
      </c>
      <c r="C15" s="214"/>
      <c r="D15" s="93">
        <v>38</v>
      </c>
      <c r="E15" s="214" t="str">
        <f>COMPOSITTIONS!C17</f>
        <v>Fléole des prés</v>
      </c>
      <c r="F15" s="214"/>
      <c r="G15" s="93">
        <v>67</v>
      </c>
      <c r="H15" s="224" t="str">
        <f>COMPOSITTIONS!C46</f>
        <v>Sainfoin decortiqué</v>
      </c>
      <c r="I15" s="224"/>
      <c r="L15" s="94"/>
      <c r="M15" s="95"/>
      <c r="N15" s="94"/>
    </row>
    <row r="16" spans="1:14" ht="12.75" customHeight="1" x14ac:dyDescent="0.2">
      <c r="A16" s="79">
        <f>COMPOSITTIONS!M1</f>
        <v>10</v>
      </c>
      <c r="B16" s="214" t="str">
        <f>COMPOSITTIONS!M2</f>
        <v>MELANGE GRINGO</v>
      </c>
      <c r="C16" s="214"/>
      <c r="D16" s="93">
        <v>39</v>
      </c>
      <c r="E16" s="214" t="str">
        <f>COMPOSITTIONS!C18</f>
        <v>Gesse</v>
      </c>
      <c r="F16" s="214"/>
      <c r="G16" s="93">
        <v>68</v>
      </c>
      <c r="H16" s="224" t="str">
        <f>COMPOSITTIONS!C47</f>
        <v>Sarrasin</v>
      </c>
      <c r="I16" s="224"/>
      <c r="L16" s="94"/>
      <c r="M16" s="95"/>
      <c r="N16" s="94"/>
    </row>
    <row r="17" spans="1:14" x14ac:dyDescent="0.2">
      <c r="A17" s="79">
        <f>COMPOSITTIONS!N1</f>
        <v>11</v>
      </c>
      <c r="B17" s="214" t="str">
        <f>COMPOSITTIONS!N2</f>
        <v xml:space="preserve">MELANGE PROTA + FIRST   </v>
      </c>
      <c r="C17" s="214"/>
      <c r="D17" s="93">
        <v>40</v>
      </c>
      <c r="E17" s="214" t="str">
        <f>COMPOSITTIONS!C19</f>
        <v>Lentille noire</v>
      </c>
      <c r="F17" s="214"/>
      <c r="G17" s="93">
        <v>69</v>
      </c>
      <c r="H17" s="224" t="str">
        <f>COMPOSITTIONS!C48</f>
        <v>Seigle forestier</v>
      </c>
      <c r="I17" s="224"/>
      <c r="L17" s="94"/>
      <c r="M17" s="95"/>
      <c r="N17" s="94"/>
    </row>
    <row r="18" spans="1:14" x14ac:dyDescent="0.2">
      <c r="A18" s="79">
        <f>COMPOSITTIONS!O1</f>
        <v>12</v>
      </c>
      <c r="B18" s="214" t="str">
        <f>COMPOSITTIONS!O2</f>
        <v>MELANGE PROTA PLUS 3 MIXTE</v>
      </c>
      <c r="C18" s="214"/>
      <c r="D18" s="93">
        <v>41</v>
      </c>
      <c r="E18" s="214" t="str">
        <f>COMPOSITTIONS!C20</f>
        <v>Lin</v>
      </c>
      <c r="F18" s="214"/>
      <c r="G18" s="93">
        <v>70</v>
      </c>
      <c r="H18" s="224" t="str">
        <f>COMPOSITTIONS!C49</f>
        <v>Seigle fourrager</v>
      </c>
      <c r="I18" s="224"/>
      <c r="L18" s="94"/>
      <c r="M18" s="95"/>
      <c r="N18" s="94"/>
    </row>
    <row r="19" spans="1:14" x14ac:dyDescent="0.2">
      <c r="A19" s="79">
        <f>COMPOSITTIONS!P1</f>
        <v>13</v>
      </c>
      <c r="B19" s="214" t="str">
        <f>COMPOSITTIONS!P2</f>
        <v>MELANGE SATANAS</v>
      </c>
      <c r="C19" s="214"/>
      <c r="D19" s="93">
        <v>42</v>
      </c>
      <c r="E19" s="214" t="str">
        <f>COMPOSITTIONS!C21</f>
        <v>Lotier</v>
      </c>
      <c r="F19" s="214"/>
      <c r="G19" s="93">
        <v>71</v>
      </c>
      <c r="H19" s="224" t="str">
        <f>COMPOSITTIONS!C50</f>
        <v>Sorgho fourrager</v>
      </c>
      <c r="I19" s="224"/>
      <c r="L19" s="94"/>
      <c r="M19" s="95"/>
      <c r="N19" s="94"/>
    </row>
    <row r="20" spans="1:14" x14ac:dyDescent="0.2">
      <c r="A20" s="79">
        <f>COMPOSITTIONS!Q1</f>
        <v>14</v>
      </c>
      <c r="B20" s="214" t="str">
        <f>COMPOSITTIONS!Q2</f>
        <v xml:space="preserve">MELANGE ST MARCELIN </v>
      </c>
      <c r="C20" s="214"/>
      <c r="D20" s="93">
        <v>43</v>
      </c>
      <c r="E20" s="214" t="str">
        <f>COMPOSITTIONS!C22</f>
        <v>Luzerne</v>
      </c>
      <c r="F20" s="214"/>
      <c r="G20" s="93">
        <v>72</v>
      </c>
      <c r="H20" s="224" t="str">
        <f>COMPOSITTIONS!C51</f>
        <v>Tournesol</v>
      </c>
      <c r="I20" s="224"/>
      <c r="L20" s="94"/>
      <c r="M20" s="95"/>
      <c r="N20" s="94"/>
    </row>
    <row r="21" spans="1:14" x14ac:dyDescent="0.2">
      <c r="A21" s="79">
        <f>COMPOSITTIONS!R1</f>
        <v>15</v>
      </c>
      <c r="B21" s="214" t="str">
        <f>COMPOSITTIONS!R2</f>
        <v xml:space="preserve">MELANGE ZONES HUMIDES </v>
      </c>
      <c r="C21" s="214"/>
      <c r="D21" s="93">
        <v>44</v>
      </c>
      <c r="E21" s="214" t="str">
        <f>COMPOSITTIONS!C23</f>
        <v>Mais</v>
      </c>
      <c r="F21" s="214"/>
      <c r="G21" s="93">
        <v>73</v>
      </c>
      <c r="H21" s="224" t="str">
        <f>COMPOSITTIONS!C52</f>
        <v>Trèfle blanc géant</v>
      </c>
      <c r="I21" s="224"/>
      <c r="L21" s="94"/>
      <c r="M21" s="95"/>
      <c r="N21" s="94"/>
    </row>
    <row r="22" spans="1:14" x14ac:dyDescent="0.2">
      <c r="A22" s="79">
        <f>COMPOSITTIONS!S1</f>
        <v>16</v>
      </c>
      <c r="B22" s="214" t="str">
        <f>COMPOSITTIONS!S2</f>
        <v>MELANGE ZONES SECHES</v>
      </c>
      <c r="C22" s="214"/>
      <c r="D22" s="93">
        <v>45</v>
      </c>
      <c r="E22" s="214" t="str">
        <f>COMPOSITTIONS!C24</f>
        <v>Melilot</v>
      </c>
      <c r="F22" s="214"/>
      <c r="G22" s="93">
        <v>74</v>
      </c>
      <c r="H22" s="224" t="str">
        <f>COMPOSITTIONS!C53</f>
        <v>Trèfle blanc ladino</v>
      </c>
      <c r="I22" s="224"/>
      <c r="L22" s="94"/>
      <c r="M22" s="95"/>
      <c r="N22" s="94"/>
    </row>
    <row r="23" spans="1:14" ht="12.75" customHeight="1" x14ac:dyDescent="0.2">
      <c r="A23" s="79">
        <f>COMPOSITTIONS!T1</f>
        <v>17</v>
      </c>
      <c r="B23" s="214" t="str">
        <f>COMPOSITTIONS!T2</f>
        <v>MS ALFA 32</v>
      </c>
      <c r="C23" s="214"/>
      <c r="D23" s="93">
        <v>46</v>
      </c>
      <c r="E23" s="214" t="str">
        <f>COMPOSITTIONS!C25</f>
        <v>Minette</v>
      </c>
      <c r="F23" s="214"/>
      <c r="G23" s="93">
        <v>75</v>
      </c>
      <c r="H23" s="224" t="str">
        <f>COMPOSITTIONS!C54</f>
        <v>Trèfle blanc nain</v>
      </c>
      <c r="I23" s="224"/>
      <c r="L23" s="94"/>
      <c r="M23" s="95"/>
      <c r="N23" s="94"/>
    </row>
    <row r="24" spans="1:14" ht="12" customHeight="1" x14ac:dyDescent="0.2">
      <c r="A24" s="79">
        <f>COMPOSITTIONS!U1</f>
        <v>18</v>
      </c>
      <c r="B24" s="214" t="str">
        <f>COMPOSITTIONS!U2</f>
        <v>MS FAMOSA 40</v>
      </c>
      <c r="C24" s="214"/>
      <c r="D24" s="93">
        <v>47</v>
      </c>
      <c r="E24" s="214" t="str">
        <f>COMPOSITTIONS!C26</f>
        <v>Moha</v>
      </c>
      <c r="F24" s="214"/>
      <c r="G24" s="93">
        <v>76</v>
      </c>
      <c r="H24" s="224" t="str">
        <f>COMPOSITTIONS!C55</f>
        <v>Trèfle d'alexandrie</v>
      </c>
      <c r="I24" s="224"/>
      <c r="L24" s="94"/>
      <c r="M24" s="95"/>
      <c r="N24" s="94"/>
    </row>
    <row r="25" spans="1:14" x14ac:dyDescent="0.2">
      <c r="A25" s="79">
        <f>COMPOSITTIONS!V1</f>
        <v>19</v>
      </c>
      <c r="B25" s="214" t="str">
        <f>COMPOSITTIONS!V2</f>
        <v>MS FAMOSA 44 P</v>
      </c>
      <c r="C25" s="214"/>
      <c r="D25" s="93">
        <v>48</v>
      </c>
      <c r="E25" s="214" t="str">
        <f>COMPOSITTIONS!C27</f>
        <v>Moutarde blanche</v>
      </c>
      <c r="F25" s="214"/>
      <c r="G25" s="93">
        <v>77</v>
      </c>
      <c r="H25" s="224" t="str">
        <f>COMPOSITTIONS!C56</f>
        <v>Trèfle de micheli</v>
      </c>
      <c r="I25" s="224"/>
      <c r="L25" s="94"/>
      <c r="M25" s="95"/>
      <c r="N25" s="94"/>
    </row>
    <row r="26" spans="1:14" x14ac:dyDescent="0.2">
      <c r="A26" s="79">
        <f>COMPOSITTIONS!W1</f>
        <v>20</v>
      </c>
      <c r="B26" s="214" t="str">
        <f>COMPOSITTIONS!W2</f>
        <v>MS FAMOSA 45</v>
      </c>
      <c r="C26" s="214"/>
      <c r="D26" s="93">
        <v>49</v>
      </c>
      <c r="E26" s="214" t="str">
        <f>COMPOSITTIONS!C28</f>
        <v>Navette Fourragére</v>
      </c>
      <c r="F26" s="214"/>
      <c r="G26" s="93">
        <v>78</v>
      </c>
      <c r="H26" s="224" t="str">
        <f>COMPOSITTIONS!C57</f>
        <v>Trèfle de perse</v>
      </c>
      <c r="I26" s="224"/>
      <c r="L26" s="94"/>
      <c r="M26" s="95"/>
      <c r="N26" s="94"/>
    </row>
    <row r="27" spans="1:14" x14ac:dyDescent="0.2">
      <c r="A27" s="79">
        <f>COMPOSITTIONS!X1</f>
        <v>21</v>
      </c>
      <c r="B27" s="214" t="str">
        <f>COMPOSITTIONS!X2</f>
        <v>MS JURA 47</v>
      </c>
      <c r="C27" s="214"/>
      <c r="D27" s="93">
        <v>50</v>
      </c>
      <c r="E27" s="214" t="str">
        <f>COMPOSITTIONS!C29</f>
        <v>Nyger</v>
      </c>
      <c r="F27" s="214"/>
      <c r="G27" s="93">
        <v>79</v>
      </c>
      <c r="H27" s="224" t="str">
        <f>COMPOSITTIONS!C58</f>
        <v>Tréfle fléche</v>
      </c>
      <c r="I27" s="224"/>
      <c r="L27" s="94"/>
      <c r="M27" s="95"/>
      <c r="N27" s="94"/>
    </row>
    <row r="28" spans="1:14" x14ac:dyDescent="0.2">
      <c r="A28" s="79">
        <f>COMPOSITTIONS!Y1</f>
        <v>22</v>
      </c>
      <c r="B28" s="214" t="str">
        <f>COMPOSITTIONS!Y2</f>
        <v>MS MEDIA 20</v>
      </c>
      <c r="C28" s="214"/>
      <c r="D28" s="93">
        <v>51</v>
      </c>
      <c r="E28" s="214" t="str">
        <f>COMPOSITTIONS!C30</f>
        <v>Pâturin des prés</v>
      </c>
      <c r="F28" s="214"/>
      <c r="G28" s="93">
        <v>80</v>
      </c>
      <c r="H28" s="224" t="str">
        <f>COMPOSITTIONS!C59</f>
        <v>Trèfle hybride</v>
      </c>
      <c r="I28" s="224"/>
      <c r="L28" s="94"/>
      <c r="M28" s="95"/>
      <c r="N28" s="94"/>
    </row>
    <row r="29" spans="1:14" x14ac:dyDescent="0.2">
      <c r="A29" s="79">
        <f>COMPOSITTIONS!Z1</f>
        <v>23</v>
      </c>
      <c r="B29" s="214" t="str">
        <f>COMPOSITTIONS!Z2</f>
        <v>MS TARDA 33</v>
      </c>
      <c r="C29" s="214"/>
      <c r="D29" s="93">
        <v>52</v>
      </c>
      <c r="E29" s="214" t="str">
        <f>COMPOSITTIONS!C31</f>
        <v>Phacélie</v>
      </c>
      <c r="F29" s="214"/>
      <c r="G29" s="93">
        <v>81</v>
      </c>
      <c r="H29" s="224" t="str">
        <f>COMPOSITTIONS!C60</f>
        <v>Trèfle incarnat</v>
      </c>
      <c r="I29" s="224"/>
      <c r="L29" s="94"/>
      <c r="M29" s="95"/>
      <c r="N29" s="94"/>
    </row>
    <row r="30" spans="1:14" x14ac:dyDescent="0.2">
      <c r="A30" s="79">
        <f>COMPOSITTIONS!AA1</f>
        <v>24</v>
      </c>
      <c r="B30" s="214" t="str">
        <f>COMPOSITTIONS!AA2</f>
        <v>PROTEINE HERBE</v>
      </c>
      <c r="C30" s="214"/>
      <c r="D30" s="93">
        <v>53</v>
      </c>
      <c r="E30" s="214" t="str">
        <f>COMPOSITTIONS!C32</f>
        <v>Plantain</v>
      </c>
      <c r="F30" s="214"/>
      <c r="G30" s="93">
        <v>82</v>
      </c>
      <c r="H30" s="224" t="str">
        <f>COMPOSITTIONS!C61</f>
        <v>Trèfle squarosum</v>
      </c>
      <c r="I30" s="224"/>
      <c r="L30" s="94"/>
      <c r="M30" s="95"/>
      <c r="N30" s="94"/>
    </row>
    <row r="31" spans="1:14" x14ac:dyDescent="0.2">
      <c r="A31" s="93">
        <v>25</v>
      </c>
      <c r="B31" s="222" t="str">
        <f>COMPOSITTIONS!C4</f>
        <v>Avoine noire</v>
      </c>
      <c r="C31" s="223"/>
      <c r="D31" s="93">
        <v>54</v>
      </c>
      <c r="E31" s="214" t="str">
        <f>COMPOSITTIONS!C33</f>
        <v>Pois fourrager de printemps</v>
      </c>
      <c r="F31" s="214"/>
      <c r="G31" s="93">
        <v>83</v>
      </c>
      <c r="H31" s="224" t="str">
        <f>COMPOSITTIONS!C62</f>
        <v>Trèfle vésiculum</v>
      </c>
      <c r="I31" s="224"/>
      <c r="J31" s="75"/>
      <c r="K31" s="75"/>
      <c r="L31" s="96"/>
      <c r="M31" s="96"/>
      <c r="N31" s="96"/>
    </row>
    <row r="32" spans="1:14" x14ac:dyDescent="0.2">
      <c r="A32" s="93">
        <v>26</v>
      </c>
      <c r="B32" s="222" t="str">
        <f>COMPOSITTIONS!C5</f>
        <v>Avoine rude</v>
      </c>
      <c r="C32" s="223"/>
      <c r="D32" s="93">
        <v>55</v>
      </c>
      <c r="E32" s="214" t="str">
        <f>COMPOSITTIONS!C34</f>
        <v>Pois fourrager d'hiver</v>
      </c>
      <c r="F32" s="214"/>
      <c r="G32" s="93">
        <v>84</v>
      </c>
      <c r="H32" s="224" t="str">
        <f>COMPOSITTIONS!C63</f>
        <v>Trèfle violet 2n</v>
      </c>
      <c r="I32" s="224"/>
      <c r="J32" s="75"/>
      <c r="K32" s="75"/>
      <c r="L32" s="96"/>
      <c r="M32" s="96"/>
      <c r="N32" s="96"/>
    </row>
    <row r="33" spans="1:14" x14ac:dyDescent="0.2">
      <c r="A33" s="93">
        <v>27</v>
      </c>
      <c r="B33" s="222" t="str">
        <f>COMPOSITTIONS!C6</f>
        <v>Cameline</v>
      </c>
      <c r="C33" s="223"/>
      <c r="D33" s="93">
        <v>56</v>
      </c>
      <c r="E33" s="214" t="str">
        <f>COMPOSITTIONS!C35</f>
        <v>Radis chinois</v>
      </c>
      <c r="F33" s="214"/>
      <c r="G33" s="93">
        <v>85</v>
      </c>
      <c r="H33" s="224" t="str">
        <f>COMPOSITTIONS!C64</f>
        <v>Trèfle violet 4n</v>
      </c>
      <c r="I33" s="224"/>
      <c r="J33" s="75"/>
      <c r="K33" s="75"/>
      <c r="L33" s="96"/>
      <c r="M33" s="96"/>
      <c r="N33" s="96"/>
    </row>
    <row r="34" spans="1:14" x14ac:dyDescent="0.2">
      <c r="A34" s="93">
        <v>28</v>
      </c>
      <c r="B34" s="222" t="str">
        <f>COMPOSITTIONS!C7</f>
        <v>Chicorée</v>
      </c>
      <c r="C34" s="223"/>
      <c r="D34" s="93">
        <v>57</v>
      </c>
      <c r="E34" s="214" t="str">
        <f>COMPOSITTIONS!C36</f>
        <v>Radis fourrager</v>
      </c>
      <c r="F34" s="214"/>
      <c r="G34" s="93">
        <v>86</v>
      </c>
      <c r="H34" s="224" t="str">
        <f>COMPOSITTIONS!C65</f>
        <v>Vesce commune</v>
      </c>
      <c r="I34" s="224"/>
      <c r="J34" s="75"/>
      <c r="K34" s="75"/>
      <c r="L34" s="96"/>
      <c r="M34" s="96"/>
      <c r="N34" s="96"/>
    </row>
    <row r="35" spans="1:14" x14ac:dyDescent="0.2">
      <c r="A35" s="93">
        <v>29</v>
      </c>
      <c r="B35" s="222" t="str">
        <f>COMPOSITTIONS!C8</f>
        <v>Colza fourrager</v>
      </c>
      <c r="C35" s="223"/>
      <c r="D35" s="93">
        <v>58</v>
      </c>
      <c r="E35" s="214" t="str">
        <f>COMPOSITTIONS!C37</f>
        <v>RGA 2n</v>
      </c>
      <c r="F35" s="214"/>
      <c r="G35" s="93">
        <v>87</v>
      </c>
      <c r="H35" s="224" t="str">
        <f>COMPOSITTIONS!C66</f>
        <v>Vesce velue</v>
      </c>
      <c r="I35" s="224"/>
      <c r="J35" s="75"/>
      <c r="K35" s="75"/>
    </row>
    <row r="36" spans="1:14" s="107" customFormat="1" ht="47.25" customHeight="1" thickBot="1" x14ac:dyDescent="0.3">
      <c r="A36" s="92"/>
      <c r="B36" s="106"/>
      <c r="C36" s="106"/>
      <c r="D36" s="92"/>
      <c r="E36" s="106"/>
      <c r="F36" s="106"/>
      <c r="G36" s="83"/>
      <c r="H36" s="83"/>
      <c r="I36" s="98">
        <f ca="1">TODAY()</f>
        <v>43355</v>
      </c>
      <c r="J36" s="83"/>
      <c r="K36" s="83"/>
    </row>
    <row r="37" spans="1:14" s="108" customFormat="1" ht="21.75" thickBot="1" x14ac:dyDescent="0.3">
      <c r="A37" s="193" t="s">
        <v>100</v>
      </c>
      <c r="B37" s="138"/>
      <c r="C37" s="138"/>
      <c r="D37" s="232"/>
      <c r="E37" s="233"/>
      <c r="F37" s="233"/>
      <c r="G37" s="233"/>
      <c r="H37" s="233"/>
      <c r="I37" s="233"/>
      <c r="J37" s="233"/>
      <c r="K37" s="234"/>
      <c r="N37" s="99"/>
    </row>
    <row r="38" spans="1:14" s="108" customFormat="1" ht="12" customHeight="1" thickBot="1" x14ac:dyDescent="0.3">
      <c r="A38" s="99"/>
      <c r="B38" s="99"/>
      <c r="D38" s="36"/>
      <c r="E38" s="36"/>
      <c r="F38" s="36"/>
      <c r="G38" s="36"/>
      <c r="H38" s="36"/>
      <c r="I38" s="36"/>
      <c r="J38" s="36"/>
      <c r="K38" s="36"/>
    </row>
    <row r="39" spans="1:14" s="108" customFormat="1" ht="22.5" customHeight="1" x14ac:dyDescent="0.25">
      <c r="A39" s="83"/>
      <c r="B39" s="82"/>
      <c r="C39" s="176" t="s">
        <v>107</v>
      </c>
      <c r="D39" s="177">
        <v>9</v>
      </c>
      <c r="E39" s="229" t="str">
        <f>CACHER!F3</f>
        <v>MELANGE FOIN DAUPHINE SAVOY</v>
      </c>
      <c r="F39" s="230"/>
      <c r="G39" s="231"/>
      <c r="H39" s="178">
        <v>5</v>
      </c>
      <c r="I39" s="179" t="s">
        <v>57</v>
      </c>
      <c r="J39" s="82"/>
      <c r="K39" s="82"/>
    </row>
    <row r="40" spans="1:14" s="108" customFormat="1" ht="22.5" customHeight="1" thickBot="1" x14ac:dyDescent="0.3">
      <c r="A40" s="83"/>
      <c r="B40" s="82"/>
      <c r="C40" s="183" t="s">
        <v>108</v>
      </c>
      <c r="D40" s="187">
        <v>3</v>
      </c>
      <c r="E40" s="219" t="str">
        <f>CACHER!F4</f>
        <v/>
      </c>
      <c r="F40" s="220"/>
      <c r="G40" s="221"/>
      <c r="H40" s="188">
        <v>3</v>
      </c>
      <c r="I40" s="189" t="s">
        <v>57</v>
      </c>
      <c r="J40" s="82"/>
      <c r="K40" s="82"/>
    </row>
    <row r="41" spans="1:14" s="108" customFormat="1" ht="13.5" thickBot="1" x14ac:dyDescent="0.3">
      <c r="A41" s="83"/>
      <c r="B41" s="82"/>
      <c r="C41" s="180" t="s">
        <v>70</v>
      </c>
      <c r="D41" s="175"/>
      <c r="E41" s="175"/>
      <c r="F41" s="175"/>
      <c r="G41" s="175"/>
      <c r="H41" s="175"/>
      <c r="I41" s="181"/>
      <c r="J41" s="80"/>
      <c r="K41" s="80"/>
    </row>
    <row r="42" spans="1:14" s="108" customFormat="1" x14ac:dyDescent="0.25">
      <c r="A42" s="83"/>
      <c r="B42" s="82"/>
      <c r="C42" s="176" t="s">
        <v>77</v>
      </c>
      <c r="D42" s="190">
        <v>25</v>
      </c>
      <c r="E42" s="229" t="str">
        <f>CACHER!F6</f>
        <v/>
      </c>
      <c r="F42" s="230"/>
      <c r="G42" s="231"/>
      <c r="H42" s="191">
        <v>15</v>
      </c>
      <c r="I42" s="192" t="s">
        <v>57</v>
      </c>
      <c r="J42" s="82"/>
      <c r="K42" s="82"/>
    </row>
    <row r="43" spans="1:14" s="108" customFormat="1" ht="15" x14ac:dyDescent="0.2">
      <c r="A43" s="83"/>
      <c r="B43" s="82"/>
      <c r="C43" s="180" t="s">
        <v>78</v>
      </c>
      <c r="D43" s="307" t="str">
        <f>IF($F$3="","",IFERROR(HLOOKUP($F$3,COMPOSITTIONS!$D$2:$AA$66,3,FALSE),""))</f>
        <v/>
      </c>
      <c r="E43" s="215" t="str">
        <f>CACHER!F7</f>
        <v/>
      </c>
      <c r="F43" s="218"/>
      <c r="G43" s="216"/>
      <c r="H43" s="118">
        <v>10</v>
      </c>
      <c r="I43" s="182" t="s">
        <v>57</v>
      </c>
      <c r="J43" s="82"/>
      <c r="K43" s="82"/>
    </row>
    <row r="44" spans="1:14" s="108" customFormat="1" x14ac:dyDescent="0.25">
      <c r="A44" s="83"/>
      <c r="B44" s="82"/>
      <c r="C44" s="180" t="s">
        <v>79</v>
      </c>
      <c r="D44" s="117">
        <v>30</v>
      </c>
      <c r="E44" s="215" t="str">
        <f>CACHER!F8</f>
        <v/>
      </c>
      <c r="F44" s="218"/>
      <c r="G44" s="216"/>
      <c r="H44" s="118">
        <v>10</v>
      </c>
      <c r="I44" s="182" t="s">
        <v>57</v>
      </c>
      <c r="J44" s="82"/>
      <c r="K44" s="82"/>
    </row>
    <row r="45" spans="1:14" s="108" customFormat="1" x14ac:dyDescent="0.25">
      <c r="A45" s="83"/>
      <c r="B45" s="82"/>
      <c r="C45" s="180" t="s">
        <v>80</v>
      </c>
      <c r="D45" s="117">
        <v>30</v>
      </c>
      <c r="E45" s="215" t="str">
        <f>CACHER!F9</f>
        <v/>
      </c>
      <c r="F45" s="218"/>
      <c r="G45" s="216"/>
      <c r="H45" s="118">
        <v>10</v>
      </c>
      <c r="I45" s="182" t="s">
        <v>57</v>
      </c>
      <c r="J45" s="82"/>
      <c r="K45" s="82"/>
    </row>
    <row r="46" spans="1:14" s="108" customFormat="1" x14ac:dyDescent="0.25">
      <c r="A46" s="83"/>
      <c r="B46" s="82"/>
      <c r="C46" s="180" t="s">
        <v>81</v>
      </c>
      <c r="D46" s="117">
        <v>55</v>
      </c>
      <c r="E46" s="215" t="str">
        <f>CACHER!F10</f>
        <v/>
      </c>
      <c r="F46" s="218"/>
      <c r="G46" s="216"/>
      <c r="H46" s="118">
        <v>10</v>
      </c>
      <c r="I46" s="182" t="s">
        <v>57</v>
      </c>
      <c r="J46" s="82"/>
      <c r="K46" s="82"/>
    </row>
    <row r="47" spans="1:14" s="108" customFormat="1" ht="13.5" thickBot="1" x14ac:dyDescent="0.3">
      <c r="A47" s="83"/>
      <c r="B47" s="82"/>
      <c r="C47" s="183" t="s">
        <v>82</v>
      </c>
      <c r="D47" s="184">
        <v>30</v>
      </c>
      <c r="E47" s="219" t="str">
        <f>CACHER!F11</f>
        <v/>
      </c>
      <c r="F47" s="220"/>
      <c r="G47" s="221"/>
      <c r="H47" s="185">
        <v>10</v>
      </c>
      <c r="I47" s="186" t="s">
        <v>57</v>
      </c>
      <c r="J47" s="82"/>
      <c r="K47" s="82"/>
    </row>
    <row r="48" spans="1:14" s="108" customFormat="1" ht="13.5" thickBot="1" x14ac:dyDescent="0.3">
      <c r="A48" s="83"/>
      <c r="B48" s="83"/>
      <c r="C48" s="85"/>
      <c r="D48" s="86"/>
      <c r="E48" s="83"/>
      <c r="F48" s="83"/>
      <c r="G48" s="83"/>
      <c r="H48" s="83"/>
      <c r="I48" s="83"/>
      <c r="J48" s="83"/>
      <c r="K48" s="83"/>
    </row>
    <row r="49" spans="1:12" s="108" customFormat="1" ht="13.5" thickBot="1" x14ac:dyDescent="0.3">
      <c r="A49" s="140" t="s">
        <v>92</v>
      </c>
      <c r="B49" s="140"/>
      <c r="C49" s="141"/>
      <c r="D49" s="115" t="e">
        <f>CACHER!E13</f>
        <v>#VALUE!</v>
      </c>
      <c r="E49" s="227" t="s">
        <v>93</v>
      </c>
      <c r="F49" s="228"/>
      <c r="G49" s="84" t="s">
        <v>71</v>
      </c>
      <c r="H49" s="87">
        <f>CACHER!J13</f>
        <v>5</v>
      </c>
      <c r="I49" s="84" t="s">
        <v>57</v>
      </c>
      <c r="J49" s="82"/>
      <c r="K49" s="82"/>
    </row>
    <row r="50" spans="1:12" s="108" customFormat="1" x14ac:dyDescent="0.25">
      <c r="K50" s="82"/>
    </row>
    <row r="51" spans="1:12" s="108" customFormat="1" ht="23.25" customHeight="1" x14ac:dyDescent="0.25">
      <c r="C51" s="139" t="s">
        <v>101</v>
      </c>
      <c r="D51" s="139"/>
      <c r="E51" s="139"/>
      <c r="F51" s="139"/>
      <c r="G51" s="139"/>
      <c r="K51" s="82"/>
    </row>
    <row r="52" spans="1:12" s="108" customFormat="1" x14ac:dyDescent="0.25">
      <c r="A52" s="80"/>
      <c r="B52" s="80"/>
      <c r="C52" s="80"/>
      <c r="D52" s="80"/>
      <c r="E52" s="80"/>
      <c r="F52" s="80"/>
      <c r="G52" s="88" t="s">
        <v>104</v>
      </c>
      <c r="H52" s="88" t="s">
        <v>95</v>
      </c>
      <c r="I52" s="88" t="s">
        <v>94</v>
      </c>
      <c r="J52" s="102" t="s">
        <v>99</v>
      </c>
      <c r="K52" s="125"/>
      <c r="L52" s="112"/>
    </row>
    <row r="53" spans="1:12" s="126" customFormat="1" x14ac:dyDescent="0.25">
      <c r="A53" s="80"/>
      <c r="B53" s="80"/>
      <c r="C53" s="80"/>
      <c r="D53" s="120">
        <f>IF(D39="","",D39)</f>
        <v>9</v>
      </c>
      <c r="E53" s="217" t="str">
        <f>E39</f>
        <v>MELANGE FOIN DAUPHINE SAVOY</v>
      </c>
      <c r="F53" s="217"/>
      <c r="G53" s="123"/>
      <c r="H53" s="84">
        <f>IF(H39="","",H39)</f>
        <v>5</v>
      </c>
      <c r="I53" s="87"/>
      <c r="J53" s="87"/>
      <c r="K53" s="125"/>
      <c r="L53" s="133"/>
    </row>
    <row r="54" spans="1:12" s="108" customFormat="1" x14ac:dyDescent="0.25">
      <c r="A54" s="83"/>
      <c r="B54" s="82"/>
      <c r="C54" s="80" t="s">
        <v>67</v>
      </c>
      <c r="D54" s="120" t="str">
        <f>IF(D40="","",D40)</f>
        <v/>
      </c>
      <c r="E54" s="217" t="str">
        <f>E40</f>
        <v/>
      </c>
      <c r="F54" s="217"/>
      <c r="G54" s="123"/>
      <c r="H54" s="84" t="str">
        <f>IF(H40="","",H40)</f>
        <v/>
      </c>
      <c r="I54" s="91" t="str">
        <f>IF(H54="","",H54*(G54/1000))</f>
        <v/>
      </c>
      <c r="J54" s="109" t="str">
        <f>IF(I54="","",PRODUCT(I54,D63))</f>
        <v/>
      </c>
      <c r="K54" s="110"/>
    </row>
    <row r="55" spans="1:12" s="108" customFormat="1" x14ac:dyDescent="0.25">
      <c r="A55" s="83"/>
      <c r="B55" s="82"/>
      <c r="C55" s="80" t="s">
        <v>70</v>
      </c>
      <c r="D55" s="119"/>
      <c r="E55" s="82"/>
      <c r="F55" s="83"/>
      <c r="G55" s="103"/>
      <c r="H55" s="80"/>
      <c r="I55" s="104"/>
    </row>
    <row r="56" spans="1:12" s="108" customFormat="1" x14ac:dyDescent="0.25">
      <c r="A56" s="83"/>
      <c r="B56" s="82"/>
      <c r="C56" s="80" t="s">
        <v>77</v>
      </c>
      <c r="D56" s="120" t="str">
        <f t="shared" ref="D56:D61" si="0">IF(D42="","",D42)</f>
        <v/>
      </c>
      <c r="E56" s="215" t="str">
        <f>E42</f>
        <v/>
      </c>
      <c r="F56" s="216"/>
      <c r="G56" s="123"/>
      <c r="H56" s="81" t="str">
        <f t="shared" ref="H56:H61" si="1">IF(H42="","",H42)</f>
        <v/>
      </c>
      <c r="I56" s="89" t="str">
        <f>IF(H56="","",H56*(G56/1000))</f>
        <v/>
      </c>
      <c r="J56" s="91" t="str">
        <f>IF(I56="","",I56*$D$63)</f>
        <v/>
      </c>
    </row>
    <row r="57" spans="1:12" s="108" customFormat="1" x14ac:dyDescent="0.25">
      <c r="A57" s="83"/>
      <c r="B57" s="82"/>
      <c r="C57" s="80" t="s">
        <v>78</v>
      </c>
      <c r="D57" s="120" t="str">
        <f t="shared" si="0"/>
        <v/>
      </c>
      <c r="E57" s="215" t="str">
        <f>E43</f>
        <v/>
      </c>
      <c r="F57" s="216"/>
      <c r="G57" s="123"/>
      <c r="H57" s="81" t="str">
        <f t="shared" si="1"/>
        <v/>
      </c>
      <c r="I57" s="89" t="str">
        <f t="shared" ref="I57:I61" si="2">IF(H57="","",H57*(G57/1000))</f>
        <v/>
      </c>
      <c r="J57" s="91" t="str">
        <f t="shared" ref="J57:J61" si="3">IF(I57="","",I57*$D$63)</f>
        <v/>
      </c>
    </row>
    <row r="58" spans="1:12" s="108" customFormat="1" x14ac:dyDescent="0.25">
      <c r="A58" s="83"/>
      <c r="B58" s="82"/>
      <c r="C58" s="80" t="s">
        <v>79</v>
      </c>
      <c r="D58" s="120" t="str">
        <f t="shared" si="0"/>
        <v/>
      </c>
      <c r="E58" s="215" t="str">
        <f t="shared" ref="E58:E61" si="4">E44</f>
        <v/>
      </c>
      <c r="F58" s="216"/>
      <c r="G58" s="123"/>
      <c r="H58" s="81" t="str">
        <f t="shared" si="1"/>
        <v/>
      </c>
      <c r="I58" s="89" t="str">
        <f t="shared" si="2"/>
        <v/>
      </c>
      <c r="J58" s="91" t="str">
        <f t="shared" si="3"/>
        <v/>
      </c>
    </row>
    <row r="59" spans="1:12" s="108" customFormat="1" ht="13.5" customHeight="1" x14ac:dyDescent="0.25">
      <c r="A59" s="83"/>
      <c r="B59" s="82"/>
      <c r="C59" s="80" t="s">
        <v>80</v>
      </c>
      <c r="D59" s="120" t="str">
        <f t="shared" si="0"/>
        <v/>
      </c>
      <c r="E59" s="215" t="str">
        <f t="shared" si="4"/>
        <v/>
      </c>
      <c r="F59" s="216"/>
      <c r="G59" s="123"/>
      <c r="H59" s="81" t="str">
        <f t="shared" si="1"/>
        <v/>
      </c>
      <c r="I59" s="89" t="str">
        <f t="shared" si="2"/>
        <v/>
      </c>
      <c r="J59" s="91" t="str">
        <f t="shared" si="3"/>
        <v/>
      </c>
    </row>
    <row r="60" spans="1:12" s="108" customFormat="1" x14ac:dyDescent="0.25">
      <c r="A60" s="83"/>
      <c r="B60" s="82"/>
      <c r="C60" s="80" t="s">
        <v>81</v>
      </c>
      <c r="D60" s="120" t="str">
        <f t="shared" si="0"/>
        <v/>
      </c>
      <c r="E60" s="215" t="str">
        <f t="shared" si="4"/>
        <v/>
      </c>
      <c r="F60" s="216"/>
      <c r="G60" s="123"/>
      <c r="H60" s="81" t="str">
        <f t="shared" si="1"/>
        <v/>
      </c>
      <c r="I60" s="89" t="str">
        <f t="shared" si="2"/>
        <v/>
      </c>
      <c r="J60" s="91" t="str">
        <f t="shared" si="3"/>
        <v/>
      </c>
    </row>
    <row r="61" spans="1:12" s="108" customFormat="1" x14ac:dyDescent="0.25">
      <c r="A61" s="83"/>
      <c r="B61" s="82"/>
      <c r="C61" s="80" t="s">
        <v>82</v>
      </c>
      <c r="D61" s="120" t="str">
        <f t="shared" si="0"/>
        <v/>
      </c>
      <c r="E61" s="215" t="str">
        <f t="shared" si="4"/>
        <v/>
      </c>
      <c r="F61" s="216"/>
      <c r="G61" s="123"/>
      <c r="H61" s="81" t="str">
        <f t="shared" si="1"/>
        <v/>
      </c>
      <c r="I61" s="89" t="str">
        <f t="shared" si="2"/>
        <v/>
      </c>
      <c r="J61" s="91" t="str">
        <f t="shared" si="3"/>
        <v/>
      </c>
    </row>
    <row r="62" spans="1:12" s="108" customFormat="1" ht="13.5" thickBot="1" x14ac:dyDescent="0.3">
      <c r="A62" s="83"/>
      <c r="B62" s="83"/>
      <c r="C62" s="85"/>
      <c r="D62" s="86"/>
      <c r="E62" s="83"/>
      <c r="F62" s="83"/>
      <c r="G62" s="83"/>
      <c r="H62" s="83"/>
      <c r="I62" s="83"/>
      <c r="J62" s="83"/>
    </row>
    <row r="63" spans="1:12" s="108" customFormat="1" ht="13.5" thickBot="1" x14ac:dyDescent="0.3">
      <c r="A63" s="97"/>
      <c r="B63" s="97"/>
      <c r="C63" s="101" t="s">
        <v>97</v>
      </c>
      <c r="D63" s="121">
        <v>6</v>
      </c>
      <c r="E63" s="105" t="s">
        <v>98</v>
      </c>
      <c r="G63" s="84" t="s">
        <v>71</v>
      </c>
      <c r="H63" s="87">
        <f>SUM(H54,H56:H61)</f>
        <v>0</v>
      </c>
      <c r="I63" s="90">
        <f>SUM(I54,I56:I61)</f>
        <v>0</v>
      </c>
      <c r="J63" s="91">
        <f>SUM(J56:J61,J54)</f>
        <v>0</v>
      </c>
    </row>
    <row r="64" spans="1:12" s="108" customFormat="1" ht="8.25" customHeight="1" x14ac:dyDescent="0.25"/>
    <row r="65" spans="1:13" s="108" customFormat="1" ht="15.75" customHeight="1" thickBot="1" x14ac:dyDescent="0.3">
      <c r="A65" s="128" t="s">
        <v>96</v>
      </c>
      <c r="B65" s="128"/>
      <c r="C65" s="128"/>
    </row>
    <row r="66" spans="1:13" s="108" customFormat="1" ht="14.25" customHeight="1" x14ac:dyDescent="0.25">
      <c r="A66" s="129"/>
      <c r="B66" s="130"/>
      <c r="C66" s="130"/>
      <c r="D66" s="130"/>
      <c r="E66" s="130"/>
      <c r="F66" s="130"/>
      <c r="G66" s="130"/>
      <c r="H66" s="130"/>
      <c r="I66" s="130"/>
      <c r="J66" s="130"/>
      <c r="K66" s="131"/>
    </row>
    <row r="67" spans="1:13" s="108" customFormat="1" x14ac:dyDescent="0.25">
      <c r="A67" s="132"/>
      <c r="B67" s="133"/>
      <c r="C67" s="133"/>
      <c r="D67" s="133"/>
      <c r="E67" s="133"/>
      <c r="F67" s="133"/>
      <c r="G67" s="133"/>
      <c r="H67" s="133"/>
      <c r="I67" s="133"/>
      <c r="J67" s="133"/>
      <c r="K67" s="134"/>
    </row>
    <row r="68" spans="1:13" s="108" customFormat="1" x14ac:dyDescent="0.25">
      <c r="A68" s="132"/>
      <c r="B68" s="133"/>
      <c r="C68" s="133"/>
      <c r="D68" s="133"/>
      <c r="E68" s="133"/>
      <c r="F68" s="133"/>
      <c r="G68" s="133"/>
      <c r="H68" s="133"/>
      <c r="I68" s="133"/>
      <c r="J68" s="133"/>
      <c r="K68" s="134"/>
    </row>
    <row r="69" spans="1:13" s="108" customFormat="1" ht="13.5" thickBot="1" x14ac:dyDescent="0.3">
      <c r="A69" s="135"/>
      <c r="B69" s="136"/>
      <c r="C69" s="136"/>
      <c r="D69" s="136"/>
      <c r="E69" s="136"/>
      <c r="F69" s="136"/>
      <c r="G69" s="136"/>
      <c r="H69" s="136"/>
      <c r="I69" s="136"/>
      <c r="J69" s="136"/>
      <c r="K69" s="137"/>
    </row>
    <row r="70" spans="1:13" s="108" customFormat="1" x14ac:dyDescent="0.25">
      <c r="C70" s="116"/>
      <c r="D70" s="116"/>
      <c r="E70" s="236" t="s">
        <v>102</v>
      </c>
      <c r="F70" s="236"/>
      <c r="G70" s="236"/>
      <c r="H70" s="236"/>
      <c r="I70" s="236"/>
      <c r="J70" s="236"/>
      <c r="K70" s="236"/>
    </row>
    <row r="71" spans="1:13" s="108" customFormat="1" x14ac:dyDescent="0.25">
      <c r="C71" s="116"/>
      <c r="D71" s="116"/>
      <c r="E71" s="237"/>
      <c r="F71" s="237"/>
      <c r="G71" s="237"/>
      <c r="H71" s="237"/>
      <c r="I71" s="237"/>
      <c r="J71" s="237"/>
      <c r="K71" s="237"/>
    </row>
    <row r="72" spans="1:13" s="108" customFormat="1" x14ac:dyDescent="0.25">
      <c r="C72" s="116"/>
      <c r="D72" s="116"/>
      <c r="E72" s="237"/>
      <c r="F72" s="237"/>
      <c r="G72" s="237"/>
      <c r="H72" s="237"/>
      <c r="I72" s="237"/>
      <c r="J72" s="237"/>
      <c r="K72" s="237"/>
    </row>
    <row r="73" spans="1:13" s="108" customFormat="1" x14ac:dyDescent="0.25">
      <c r="C73" s="116"/>
      <c r="D73" s="116"/>
      <c r="E73" s="237"/>
      <c r="F73" s="237"/>
      <c r="G73" s="237"/>
      <c r="H73" s="237"/>
      <c r="I73" s="237"/>
      <c r="J73" s="237"/>
      <c r="K73" s="237"/>
    </row>
    <row r="74" spans="1:13" s="107" customFormat="1" ht="4.5" customHeight="1" x14ac:dyDescent="0.25"/>
    <row r="75" spans="1:13" s="107" customFormat="1" ht="31.5" customHeight="1" x14ac:dyDescent="0.25">
      <c r="A75" s="111"/>
      <c r="B75" s="111"/>
      <c r="C75" s="114" t="s">
        <v>12</v>
      </c>
      <c r="D75" s="238" t="s">
        <v>89</v>
      </c>
      <c r="E75" s="238"/>
      <c r="F75" s="238" t="s">
        <v>64</v>
      </c>
      <c r="G75" s="238"/>
      <c r="H75" s="238" t="s">
        <v>105</v>
      </c>
      <c r="I75" s="238"/>
      <c r="J75" s="46"/>
      <c r="K75" s="46"/>
      <c r="L75" s="94"/>
    </row>
    <row r="76" spans="1:13" s="107" customFormat="1" ht="15.75" customHeight="1" x14ac:dyDescent="0.25">
      <c r="A76" s="111"/>
      <c r="B76" s="111"/>
      <c r="C76" s="114"/>
      <c r="D76" s="238"/>
      <c r="E76" s="238"/>
      <c r="F76" s="247"/>
      <c r="G76" s="247"/>
      <c r="H76" s="235"/>
      <c r="I76" s="235"/>
      <c r="J76" s="46"/>
      <c r="K76" s="46"/>
      <c r="L76" s="95"/>
      <c r="M76" s="94"/>
    </row>
    <row r="77" spans="1:13" s="107" customFormat="1" ht="15.75" customHeight="1" x14ac:dyDescent="0.25">
      <c r="A77" s="127"/>
      <c r="B77" s="127"/>
      <c r="C77" s="114"/>
      <c r="D77" s="238"/>
      <c r="E77" s="238"/>
      <c r="F77" s="241"/>
      <c r="G77" s="241"/>
      <c r="H77" s="235"/>
      <c r="I77" s="235"/>
    </row>
    <row r="78" spans="1:13" s="107" customFormat="1" ht="15.75" customHeight="1" x14ac:dyDescent="0.25">
      <c r="A78" s="127"/>
      <c r="B78" s="127"/>
      <c r="C78" s="114"/>
      <c r="D78" s="238"/>
      <c r="E78" s="238"/>
      <c r="F78" s="241"/>
      <c r="G78" s="241"/>
      <c r="H78" s="235"/>
      <c r="I78" s="235"/>
    </row>
    <row r="79" spans="1:13" s="108" customFormat="1" ht="15.75" customHeight="1" x14ac:dyDescent="0.25">
      <c r="A79" s="126"/>
      <c r="B79" s="126"/>
      <c r="C79" s="114"/>
      <c r="D79" s="240"/>
      <c r="E79" s="240"/>
      <c r="F79" s="242"/>
      <c r="G79" s="242"/>
      <c r="H79" s="235"/>
      <c r="I79" s="235"/>
    </row>
    <row r="80" spans="1:13" s="108" customFormat="1" ht="15.75" customHeight="1" x14ac:dyDescent="0.25">
      <c r="A80" s="126"/>
      <c r="B80" s="126"/>
      <c r="C80" s="114"/>
      <c r="D80" s="240"/>
      <c r="E80" s="240"/>
      <c r="F80" s="242"/>
      <c r="G80" s="242"/>
      <c r="H80" s="235"/>
      <c r="I80" s="235"/>
    </row>
    <row r="81" spans="1:9" s="108" customFormat="1" ht="15.75" customHeight="1" x14ac:dyDescent="0.25">
      <c r="A81" s="126"/>
      <c r="B81" s="126"/>
      <c r="C81" s="114"/>
      <c r="D81" s="240"/>
      <c r="E81" s="240"/>
      <c r="F81" s="242"/>
      <c r="G81" s="242"/>
      <c r="H81" s="235"/>
      <c r="I81" s="235"/>
    </row>
    <row r="82" spans="1:9" s="108" customFormat="1" ht="15.75" customHeight="1" x14ac:dyDescent="0.25">
      <c r="A82" s="126"/>
      <c r="B82" s="126"/>
      <c r="C82" s="114"/>
      <c r="D82" s="240"/>
      <c r="E82" s="240"/>
      <c r="F82" s="242"/>
      <c r="G82" s="242"/>
      <c r="H82" s="235"/>
      <c r="I82" s="235"/>
    </row>
    <row r="83" spans="1:9" s="108" customFormat="1" ht="15.75" customHeight="1" x14ac:dyDescent="0.25">
      <c r="A83" s="126"/>
      <c r="B83" s="126"/>
      <c r="C83" s="114"/>
      <c r="D83" s="240"/>
      <c r="E83" s="240"/>
      <c r="F83" s="242"/>
      <c r="G83" s="242"/>
      <c r="H83" s="235"/>
      <c r="I83" s="235"/>
    </row>
    <row r="84" spans="1:9" s="108" customFormat="1" ht="15.75" customHeight="1" x14ac:dyDescent="0.25">
      <c r="A84" s="126"/>
      <c r="B84" s="126"/>
      <c r="C84" s="114"/>
      <c r="D84" s="240"/>
      <c r="E84" s="240"/>
      <c r="F84" s="242"/>
      <c r="G84" s="242"/>
      <c r="H84" s="235"/>
      <c r="I84" s="235"/>
    </row>
    <row r="85" spans="1:9" s="108" customFormat="1" ht="15.75" customHeight="1" x14ac:dyDescent="0.25">
      <c r="A85" s="126"/>
      <c r="B85" s="126"/>
      <c r="C85" s="114"/>
      <c r="D85" s="240"/>
      <c r="E85" s="240"/>
      <c r="F85" s="242"/>
      <c r="G85" s="242"/>
      <c r="H85" s="235"/>
      <c r="I85" s="235"/>
    </row>
    <row r="86" spans="1:9" s="108" customFormat="1" ht="15.75" customHeight="1" x14ac:dyDescent="0.25">
      <c r="A86" s="126"/>
      <c r="B86" s="126"/>
      <c r="C86" s="114"/>
      <c r="D86" s="240"/>
      <c r="E86" s="240"/>
      <c r="F86" s="242"/>
      <c r="G86" s="242"/>
      <c r="H86" s="235"/>
      <c r="I86" s="235"/>
    </row>
    <row r="87" spans="1:9" s="108" customFormat="1" ht="15.75" customHeight="1" x14ac:dyDescent="0.25">
      <c r="A87" s="126"/>
      <c r="B87" s="126"/>
      <c r="C87" s="114"/>
      <c r="D87" s="240"/>
      <c r="E87" s="240"/>
      <c r="F87" s="242"/>
      <c r="G87" s="242"/>
      <c r="H87" s="235"/>
      <c r="I87" s="235"/>
    </row>
    <row r="88" spans="1:9" s="108" customFormat="1" ht="15.75" customHeight="1" x14ac:dyDescent="0.25">
      <c r="A88" s="126"/>
      <c r="B88" s="126"/>
      <c r="C88" s="114"/>
      <c r="D88" s="240"/>
      <c r="E88" s="240"/>
      <c r="F88" s="242"/>
      <c r="G88" s="242"/>
      <c r="H88" s="235"/>
      <c r="I88" s="235"/>
    </row>
    <row r="89" spans="1:9" s="108" customFormat="1" ht="15.75" customHeight="1" x14ac:dyDescent="0.25">
      <c r="A89" s="126"/>
      <c r="B89" s="126"/>
      <c r="C89" s="114"/>
      <c r="D89" s="240"/>
      <c r="E89" s="240"/>
      <c r="F89" s="242"/>
      <c r="G89" s="242"/>
      <c r="H89" s="235"/>
      <c r="I89" s="235"/>
    </row>
    <row r="90" spans="1:9" s="108" customFormat="1" ht="15.75" customHeight="1" x14ac:dyDescent="0.25">
      <c r="C90" s="114"/>
      <c r="D90" s="240"/>
      <c r="E90" s="240"/>
      <c r="F90" s="242"/>
      <c r="G90" s="242"/>
      <c r="H90" s="235"/>
      <c r="I90" s="235"/>
    </row>
    <row r="91" spans="1:9" s="108" customFormat="1" ht="15.75" customHeight="1" x14ac:dyDescent="0.25">
      <c r="C91" s="114"/>
      <c r="D91" s="240"/>
      <c r="E91" s="240"/>
      <c r="F91" s="242"/>
      <c r="G91" s="242"/>
      <c r="H91" s="235"/>
      <c r="I91" s="235"/>
    </row>
    <row r="92" spans="1:9" s="108" customFormat="1" ht="15.75" customHeight="1" x14ac:dyDescent="0.25">
      <c r="C92" s="114"/>
      <c r="D92" s="240"/>
      <c r="E92" s="240"/>
      <c r="F92" s="242"/>
      <c r="G92" s="242"/>
      <c r="H92" s="235"/>
      <c r="I92" s="235"/>
    </row>
    <row r="93" spans="1:9" s="108" customFormat="1" ht="15.75" customHeight="1" x14ac:dyDescent="0.25">
      <c r="C93" s="114"/>
      <c r="D93" s="240"/>
      <c r="E93" s="240"/>
      <c r="F93" s="242"/>
      <c r="G93" s="242"/>
      <c r="H93" s="235"/>
      <c r="I93" s="235"/>
    </row>
    <row r="94" spans="1:9" s="108" customFormat="1" ht="15.75" customHeight="1" x14ac:dyDescent="0.25">
      <c r="C94" s="114"/>
      <c r="D94" s="240"/>
      <c r="E94" s="240"/>
      <c r="F94" s="242"/>
      <c r="G94" s="242"/>
      <c r="H94" s="235"/>
      <c r="I94" s="235"/>
    </row>
    <row r="95" spans="1:9" s="108" customFormat="1" ht="15.75" customHeight="1" x14ac:dyDescent="0.25">
      <c r="C95" s="114"/>
      <c r="D95" s="240"/>
      <c r="E95" s="240"/>
      <c r="F95" s="242"/>
      <c r="G95" s="242"/>
      <c r="H95" s="235"/>
      <c r="I95" s="235"/>
    </row>
    <row r="96" spans="1:9" s="108" customFormat="1" ht="15.75" customHeight="1" x14ac:dyDescent="0.25">
      <c r="C96" s="114"/>
      <c r="D96" s="240"/>
      <c r="E96" s="240"/>
      <c r="F96" s="242"/>
      <c r="G96" s="242"/>
      <c r="H96" s="235"/>
      <c r="I96" s="235"/>
    </row>
    <row r="97" spans="3:9" ht="15.75" customHeight="1" x14ac:dyDescent="0.2">
      <c r="C97" s="114"/>
      <c r="D97" s="243"/>
      <c r="E97" s="243"/>
      <c r="F97" s="244"/>
      <c r="G97" s="244"/>
      <c r="H97" s="235"/>
      <c r="I97" s="235"/>
    </row>
    <row r="98" spans="3:9" ht="15.75" customHeight="1" x14ac:dyDescent="0.2">
      <c r="C98" s="114"/>
      <c r="D98" s="243"/>
      <c r="E98" s="243"/>
      <c r="F98" s="244"/>
      <c r="G98" s="244"/>
      <c r="H98" s="235"/>
      <c r="I98" s="235"/>
    </row>
    <row r="99" spans="3:9" ht="15.75" customHeight="1" x14ac:dyDescent="0.2">
      <c r="C99" s="114"/>
      <c r="D99" s="243"/>
      <c r="E99" s="243"/>
      <c r="F99" s="244"/>
      <c r="G99" s="244"/>
      <c r="H99" s="235"/>
      <c r="I99" s="235"/>
    </row>
    <row r="100" spans="3:9" ht="15.75" customHeight="1" x14ac:dyDescent="0.2">
      <c r="C100" s="114"/>
      <c r="D100" s="243"/>
      <c r="E100" s="243"/>
      <c r="F100" s="244"/>
      <c r="G100" s="244"/>
      <c r="H100" s="235"/>
      <c r="I100" s="235"/>
    </row>
    <row r="101" spans="3:9" ht="15.75" customHeight="1" x14ac:dyDescent="0.2">
      <c r="C101" s="114"/>
      <c r="D101" s="243"/>
      <c r="E101" s="243"/>
      <c r="F101" s="244"/>
      <c r="G101" s="244"/>
      <c r="H101" s="235"/>
      <c r="I101" s="235"/>
    </row>
    <row r="102" spans="3:9" ht="15.75" customHeight="1" x14ac:dyDescent="0.2">
      <c r="C102" s="111"/>
      <c r="H102" s="113" t="e">
        <f>CACHER!I43</f>
        <v>#VALUE!</v>
      </c>
    </row>
    <row r="103" spans="3:9" ht="15.75" customHeight="1" x14ac:dyDescent="0.2">
      <c r="C103" s="111"/>
      <c r="H103" s="113" t="e">
        <f>CACHER!I44</f>
        <v>#VALUE!</v>
      </c>
    </row>
    <row r="104" spans="3:9" ht="15.75" customHeight="1" x14ac:dyDescent="0.2">
      <c r="C104" s="111"/>
      <c r="H104" s="113" t="e">
        <f>CACHER!I45</f>
        <v>#VALUE!</v>
      </c>
    </row>
    <row r="105" spans="3:9" ht="15.75" customHeight="1" x14ac:dyDescent="0.2">
      <c r="C105" s="111"/>
      <c r="H105" s="113" t="e">
        <f>CACHER!I46</f>
        <v>#VALUE!</v>
      </c>
    </row>
    <row r="106" spans="3:9" ht="15.75" customHeight="1" x14ac:dyDescent="0.2">
      <c r="C106" s="111"/>
    </row>
    <row r="107" spans="3:9" ht="15.75" customHeight="1" x14ac:dyDescent="0.2">
      <c r="C107" s="111"/>
    </row>
    <row r="108" spans="3:9" ht="15.75" customHeight="1" x14ac:dyDescent="0.2">
      <c r="C108" s="111"/>
    </row>
    <row r="109" spans="3:9" ht="15.75" customHeight="1" x14ac:dyDescent="0.2">
      <c r="C109" s="111"/>
    </row>
    <row r="110" spans="3:9" ht="15.75" customHeight="1" x14ac:dyDescent="0.2">
      <c r="C110" s="111"/>
    </row>
    <row r="111" spans="3:9" ht="15.75" customHeight="1" x14ac:dyDescent="0.2">
      <c r="C111" s="111"/>
    </row>
    <row r="112" spans="3:9" ht="15.75" customHeight="1" x14ac:dyDescent="0.2">
      <c r="C112" s="111"/>
    </row>
    <row r="113" spans="3:3" ht="15.75" customHeight="1" x14ac:dyDescent="0.2">
      <c r="C113" s="111"/>
    </row>
    <row r="114" spans="3:3" ht="15.75" customHeight="1" x14ac:dyDescent="0.2">
      <c r="C114" s="111"/>
    </row>
    <row r="115" spans="3:3" ht="15.75" customHeight="1" x14ac:dyDescent="0.2">
      <c r="C115" s="111"/>
    </row>
    <row r="116" spans="3:3" ht="15.75" customHeight="1" x14ac:dyDescent="0.2">
      <c r="C116" s="111"/>
    </row>
    <row r="117" spans="3:3" ht="15.75" customHeight="1" x14ac:dyDescent="0.2">
      <c r="C117" s="111"/>
    </row>
    <row r="118" spans="3:3" ht="15.75" customHeight="1" x14ac:dyDescent="0.2">
      <c r="C118" s="111"/>
    </row>
    <row r="119" spans="3:3" ht="15.75" customHeight="1" x14ac:dyDescent="0.2">
      <c r="C119" s="111"/>
    </row>
    <row r="120" spans="3:3" ht="15.75" customHeight="1" x14ac:dyDescent="0.2">
      <c r="C120" s="111"/>
    </row>
    <row r="121" spans="3:3" ht="15.75" customHeight="1" x14ac:dyDescent="0.2">
      <c r="C121" s="111"/>
    </row>
    <row r="122" spans="3:3" ht="15.75" customHeight="1" x14ac:dyDescent="0.2">
      <c r="C122" s="111"/>
    </row>
    <row r="123" spans="3:3" ht="15.75" customHeight="1" x14ac:dyDescent="0.2">
      <c r="C123" s="111"/>
    </row>
    <row r="124" spans="3:3" ht="15.75" customHeight="1" x14ac:dyDescent="0.2">
      <c r="C124" s="111"/>
    </row>
    <row r="125" spans="3:3" ht="15.75" customHeight="1" x14ac:dyDescent="0.2">
      <c r="C125" s="111"/>
    </row>
    <row r="126" spans="3:3" ht="15.75" customHeight="1" x14ac:dyDescent="0.2">
      <c r="C126" s="111"/>
    </row>
    <row r="127" spans="3:3" ht="15.75" customHeight="1" x14ac:dyDescent="0.2">
      <c r="C127" s="111"/>
    </row>
    <row r="128" spans="3:3" ht="15.75" customHeight="1" x14ac:dyDescent="0.2">
      <c r="C128" s="111"/>
    </row>
    <row r="129" spans="3:5" ht="15.75" customHeight="1" x14ac:dyDescent="0.2">
      <c r="C129" s="111"/>
    </row>
    <row r="130" spans="3:5" ht="15.75" customHeight="1" x14ac:dyDescent="0.2">
      <c r="C130" s="111"/>
    </row>
    <row r="131" spans="3:5" ht="15.75" customHeight="1" x14ac:dyDescent="0.2">
      <c r="C131" s="111"/>
      <c r="D131" s="239"/>
      <c r="E131" s="239"/>
    </row>
    <row r="132" spans="3:5" ht="15.75" customHeight="1" x14ac:dyDescent="0.2">
      <c r="C132" s="111"/>
    </row>
    <row r="133" spans="3:5" ht="15.75" customHeight="1" x14ac:dyDescent="0.2">
      <c r="C133" s="111"/>
    </row>
    <row r="134" spans="3:5" ht="15" x14ac:dyDescent="0.2">
      <c r="C134" s="111"/>
    </row>
    <row r="135" spans="3:5" ht="15" x14ac:dyDescent="0.2">
      <c r="C135" s="111"/>
    </row>
    <row r="136" spans="3:5" ht="15" x14ac:dyDescent="0.2">
      <c r="C136" s="111"/>
    </row>
    <row r="137" spans="3:5" ht="15" x14ac:dyDescent="0.2">
      <c r="C137" s="111"/>
    </row>
    <row r="138" spans="3:5" ht="15" x14ac:dyDescent="0.2">
      <c r="C138" s="111"/>
    </row>
    <row r="139" spans="3:5" ht="15" x14ac:dyDescent="0.2">
      <c r="C139" s="111"/>
    </row>
    <row r="140" spans="3:5" ht="15" x14ac:dyDescent="0.2">
      <c r="C140" s="111"/>
    </row>
  </sheetData>
  <mergeCells count="190">
    <mergeCell ref="H34:I34"/>
    <mergeCell ref="E34:F34"/>
    <mergeCell ref="E53:F53"/>
    <mergeCell ref="A4:K4"/>
    <mergeCell ref="E40:G40"/>
    <mergeCell ref="H94:I94"/>
    <mergeCell ref="H95:I95"/>
    <mergeCell ref="H96:I96"/>
    <mergeCell ref="H97:I97"/>
    <mergeCell ref="H80:I80"/>
    <mergeCell ref="H81:I81"/>
    <mergeCell ref="H82:I82"/>
    <mergeCell ref="H83:I83"/>
    <mergeCell ref="H84:I84"/>
    <mergeCell ref="H85:I85"/>
    <mergeCell ref="F83:G83"/>
    <mergeCell ref="F84:G84"/>
    <mergeCell ref="D77:E77"/>
    <mergeCell ref="D76:E76"/>
    <mergeCell ref="D75:E75"/>
    <mergeCell ref="D78:E78"/>
    <mergeCell ref="F76:G76"/>
    <mergeCell ref="F77:G77"/>
    <mergeCell ref="F85:G85"/>
    <mergeCell ref="H98:I98"/>
    <mergeCell ref="H99:I99"/>
    <mergeCell ref="F96:G96"/>
    <mergeCell ref="F97:G97"/>
    <mergeCell ref="F98:G98"/>
    <mergeCell ref="F99:G99"/>
    <mergeCell ref="D87:E87"/>
    <mergeCell ref="D86:E86"/>
    <mergeCell ref="D88:E88"/>
    <mergeCell ref="F86:G86"/>
    <mergeCell ref="F87:G87"/>
    <mergeCell ref="F88:G88"/>
    <mergeCell ref="D91:E91"/>
    <mergeCell ref="D90:E90"/>
    <mergeCell ref="H86:I86"/>
    <mergeCell ref="H87:I87"/>
    <mergeCell ref="H88:I88"/>
    <mergeCell ref="H89:I89"/>
    <mergeCell ref="H90:I90"/>
    <mergeCell ref="H91:I91"/>
    <mergeCell ref="D100:E100"/>
    <mergeCell ref="D101:E101"/>
    <mergeCell ref="F101:G101"/>
    <mergeCell ref="F89:G89"/>
    <mergeCell ref="F90:G90"/>
    <mergeCell ref="F91:G91"/>
    <mergeCell ref="F92:G92"/>
    <mergeCell ref="F93:G93"/>
    <mergeCell ref="F94:G94"/>
    <mergeCell ref="F95:G95"/>
    <mergeCell ref="D94:E94"/>
    <mergeCell ref="D95:E95"/>
    <mergeCell ref="D96:E96"/>
    <mergeCell ref="D97:E97"/>
    <mergeCell ref="D98:E98"/>
    <mergeCell ref="D99:E99"/>
    <mergeCell ref="D89:E89"/>
    <mergeCell ref="D93:E93"/>
    <mergeCell ref="D92:E92"/>
    <mergeCell ref="F100:G100"/>
    <mergeCell ref="H101:I101"/>
    <mergeCell ref="H100:I100"/>
    <mergeCell ref="H92:I92"/>
    <mergeCell ref="H93:I93"/>
    <mergeCell ref="E70:K73"/>
    <mergeCell ref="H75:I75"/>
    <mergeCell ref="F75:G75"/>
    <mergeCell ref="D131:E131"/>
    <mergeCell ref="D79:E79"/>
    <mergeCell ref="D80:E80"/>
    <mergeCell ref="D81:E81"/>
    <mergeCell ref="D82:E82"/>
    <mergeCell ref="D83:E83"/>
    <mergeCell ref="D84:E84"/>
    <mergeCell ref="D85:E85"/>
    <mergeCell ref="F78:G78"/>
    <mergeCell ref="F79:G79"/>
    <mergeCell ref="H76:I76"/>
    <mergeCell ref="H77:I77"/>
    <mergeCell ref="H78:I78"/>
    <mergeCell ref="H79:I79"/>
    <mergeCell ref="F80:G80"/>
    <mergeCell ref="F81:G81"/>
    <mergeCell ref="F82:G82"/>
    <mergeCell ref="A5:K5"/>
    <mergeCell ref="E49:F49"/>
    <mergeCell ref="E39:G39"/>
    <mergeCell ref="E42:G42"/>
    <mergeCell ref="E43:G43"/>
    <mergeCell ref="E44:G44"/>
    <mergeCell ref="E46:G46"/>
    <mergeCell ref="H32:I32"/>
    <mergeCell ref="H33:I33"/>
    <mergeCell ref="H35:I35"/>
    <mergeCell ref="D37:K37"/>
    <mergeCell ref="E19:F19"/>
    <mergeCell ref="E20:F20"/>
    <mergeCell ref="E21:F21"/>
    <mergeCell ref="E22:F22"/>
    <mergeCell ref="E23:F23"/>
    <mergeCell ref="H29:I29"/>
    <mergeCell ref="H30:I30"/>
    <mergeCell ref="H22:I22"/>
    <mergeCell ref="H23:I23"/>
    <mergeCell ref="H25:I25"/>
    <mergeCell ref="H12:I12"/>
    <mergeCell ref="H13:I13"/>
    <mergeCell ref="H14:I14"/>
    <mergeCell ref="E28:F28"/>
    <mergeCell ref="H10:I10"/>
    <mergeCell ref="H11:I11"/>
    <mergeCell ref="H15:I15"/>
    <mergeCell ref="E29:F29"/>
    <mergeCell ref="E30:F30"/>
    <mergeCell ref="E31:F31"/>
    <mergeCell ref="H26:I26"/>
    <mergeCell ref="H27:I27"/>
    <mergeCell ref="H28:I28"/>
    <mergeCell ref="H16:I16"/>
    <mergeCell ref="H17:I17"/>
    <mergeCell ref="H18:I18"/>
    <mergeCell ref="H19:I19"/>
    <mergeCell ref="H20:I20"/>
    <mergeCell ref="H21:I21"/>
    <mergeCell ref="E24:F24"/>
    <mergeCell ref="H24:I24"/>
    <mergeCell ref="E17:F17"/>
    <mergeCell ref="B34:C34"/>
    <mergeCell ref="B33:C33"/>
    <mergeCell ref="B35:C35"/>
    <mergeCell ref="H9:I9"/>
    <mergeCell ref="H8:I8"/>
    <mergeCell ref="H7:I7"/>
    <mergeCell ref="E32:F32"/>
    <mergeCell ref="E33:F33"/>
    <mergeCell ref="E35:F35"/>
    <mergeCell ref="H31:I31"/>
    <mergeCell ref="E12:F12"/>
    <mergeCell ref="E13:F13"/>
    <mergeCell ref="E14:F14"/>
    <mergeCell ref="E15:F15"/>
    <mergeCell ref="E16:F16"/>
    <mergeCell ref="E18:F18"/>
    <mergeCell ref="E7:F7"/>
    <mergeCell ref="E8:F8"/>
    <mergeCell ref="E9:F9"/>
    <mergeCell ref="E10:F10"/>
    <mergeCell ref="E11:F11"/>
    <mergeCell ref="E25:F25"/>
    <mergeCell ref="E26:F26"/>
    <mergeCell ref="E27:F27"/>
    <mergeCell ref="B7:C7"/>
    <mergeCell ref="B17:C17"/>
    <mergeCell ref="B8:C8"/>
    <mergeCell ref="B12:C12"/>
    <mergeCell ref="B18:C18"/>
    <mergeCell ref="E61:F61"/>
    <mergeCell ref="B23:C23"/>
    <mergeCell ref="B24:C24"/>
    <mergeCell ref="B25:C25"/>
    <mergeCell ref="B26:C26"/>
    <mergeCell ref="B27:C27"/>
    <mergeCell ref="B28:C28"/>
    <mergeCell ref="B29:C29"/>
    <mergeCell ref="B30:C30"/>
    <mergeCell ref="E54:F54"/>
    <mergeCell ref="E56:F56"/>
    <mergeCell ref="E57:F57"/>
    <mergeCell ref="E58:F58"/>
    <mergeCell ref="E59:F59"/>
    <mergeCell ref="E60:F60"/>
    <mergeCell ref="E45:G45"/>
    <mergeCell ref="E47:G47"/>
    <mergeCell ref="B31:C31"/>
    <mergeCell ref="B32:C32"/>
    <mergeCell ref="B22:C22"/>
    <mergeCell ref="B11:C11"/>
    <mergeCell ref="B15:C15"/>
    <mergeCell ref="B21:C21"/>
    <mergeCell ref="B16:C16"/>
    <mergeCell ref="B9:C9"/>
    <mergeCell ref="B13:C13"/>
    <mergeCell ref="B19:C19"/>
    <mergeCell ref="B10:C10"/>
    <mergeCell ref="B14:C14"/>
    <mergeCell ref="B20:C20"/>
  </mergeCells>
  <conditionalFormatting sqref="D49">
    <cfRule type="cellIs" dxfId="1" priority="1" operator="greaterThan">
      <formula>0.5</formula>
    </cfRule>
  </conditionalFormatting>
  <dataValidations count="1">
    <dataValidation type="whole" showInputMessage="1" showErrorMessage="1" sqref="D39:D40 D53:D54">
      <formula1>1</formula1>
      <formula2>100</formula2>
    </dataValidation>
  </dataValidations>
  <pageMargins left="0.7" right="0.7" top="0.75" bottom="0.75" header="0.3" footer="0.3"/>
  <pageSetup paperSize="9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G77"/>
  <sheetViews>
    <sheetView workbookViewId="0">
      <selection activeCell="H2" sqref="H2"/>
    </sheetView>
  </sheetViews>
  <sheetFormatPr baseColWidth="10" defaultColWidth="4.140625" defaultRowHeight="15" x14ac:dyDescent="0.25"/>
  <cols>
    <col min="1" max="1" width="4.140625" style="1"/>
    <col min="2" max="2" width="5.42578125" style="1" bestFit="1" customWidth="1"/>
    <col min="3" max="3" width="21.85546875" style="1" bestFit="1" customWidth="1"/>
    <col min="4" max="27" width="4.140625" style="5"/>
    <col min="28" max="30" width="4.140625" style="1"/>
    <col min="31" max="31" width="5.5703125" style="1" customWidth="1"/>
    <col min="32" max="32" width="31.7109375" style="1" customWidth="1"/>
    <col min="33" max="16384" width="4.140625" style="1"/>
  </cols>
  <sheetData>
    <row r="1" spans="1:2763" x14ac:dyDescent="0.25">
      <c r="C1" s="145"/>
      <c r="D1" s="9">
        <v>1</v>
      </c>
      <c r="E1" s="9">
        <v>2</v>
      </c>
      <c r="F1" s="9">
        <v>3</v>
      </c>
      <c r="G1" s="9">
        <v>4</v>
      </c>
      <c r="H1" s="9">
        <v>5</v>
      </c>
      <c r="I1" s="9">
        <v>6</v>
      </c>
      <c r="J1" s="9">
        <v>7</v>
      </c>
      <c r="K1" s="9">
        <v>8</v>
      </c>
      <c r="L1" s="9">
        <v>9</v>
      </c>
      <c r="M1" s="9">
        <v>10</v>
      </c>
      <c r="N1" s="9">
        <v>11</v>
      </c>
      <c r="O1" s="9">
        <v>12</v>
      </c>
      <c r="P1" s="9">
        <v>13</v>
      </c>
      <c r="Q1" s="9">
        <v>14</v>
      </c>
      <c r="R1" s="9">
        <v>15</v>
      </c>
      <c r="S1" s="9">
        <v>16</v>
      </c>
      <c r="T1" s="9">
        <v>17</v>
      </c>
      <c r="U1" s="9">
        <v>18</v>
      </c>
      <c r="V1" s="9">
        <v>19</v>
      </c>
      <c r="W1" s="9">
        <v>20</v>
      </c>
      <c r="X1" s="9">
        <v>21</v>
      </c>
      <c r="Y1" s="9">
        <v>22</v>
      </c>
      <c r="Z1" s="9">
        <v>23</v>
      </c>
      <c r="AA1" s="9">
        <v>24</v>
      </c>
    </row>
    <row r="2" spans="1:2763" s="2" customFormat="1" ht="247.5" customHeight="1" x14ac:dyDescent="0.25">
      <c r="A2"/>
      <c r="B2" s="25" t="s">
        <v>11</v>
      </c>
      <c r="C2" s="149" t="s">
        <v>12</v>
      </c>
      <c r="D2" s="146" t="s">
        <v>74</v>
      </c>
      <c r="E2" s="146" t="s">
        <v>73</v>
      </c>
      <c r="F2" s="164" t="s">
        <v>125</v>
      </c>
      <c r="G2" s="170" t="s">
        <v>126</v>
      </c>
      <c r="H2" s="155" t="s">
        <v>72</v>
      </c>
      <c r="I2" s="155" t="s">
        <v>76</v>
      </c>
      <c r="J2" s="155" t="s">
        <v>117</v>
      </c>
      <c r="K2" s="155" t="s">
        <v>116</v>
      </c>
      <c r="L2" s="156" t="s">
        <v>2</v>
      </c>
      <c r="M2" s="155" t="s">
        <v>113</v>
      </c>
      <c r="N2" s="146" t="s">
        <v>0</v>
      </c>
      <c r="O2" s="146" t="s">
        <v>114</v>
      </c>
      <c r="P2" s="157" t="s">
        <v>115</v>
      </c>
      <c r="Q2" s="156" t="s">
        <v>1</v>
      </c>
      <c r="R2" s="156" t="s">
        <v>3</v>
      </c>
      <c r="S2" s="156" t="s">
        <v>4</v>
      </c>
      <c r="T2" s="155" t="s">
        <v>75</v>
      </c>
      <c r="U2" s="165" t="s">
        <v>85</v>
      </c>
      <c r="V2" s="155" t="s">
        <v>5</v>
      </c>
      <c r="W2" s="155" t="s">
        <v>6</v>
      </c>
      <c r="X2" s="155" t="s">
        <v>86</v>
      </c>
      <c r="Y2" s="155" t="s">
        <v>87</v>
      </c>
      <c r="Z2" s="155" t="s">
        <v>88</v>
      </c>
      <c r="AA2" s="146" t="s">
        <v>112</v>
      </c>
      <c r="AB2" s="148"/>
      <c r="AC2" s="147"/>
      <c r="AD2" s="1"/>
      <c r="AE2" s="11"/>
      <c r="AF2" s="15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</row>
    <row r="3" spans="1:2763" x14ac:dyDescent="0.25">
      <c r="A3"/>
      <c r="B3" s="26"/>
      <c r="C3" s="150"/>
      <c r="D3" s="9">
        <f t="shared" ref="D3:AA3" si="0">SUM(D4:D69)</f>
        <v>100</v>
      </c>
      <c r="E3" s="9">
        <f t="shared" si="0"/>
        <v>100</v>
      </c>
      <c r="F3" s="9">
        <f t="shared" si="0"/>
        <v>100</v>
      </c>
      <c r="G3" s="9">
        <f t="shared" si="0"/>
        <v>100</v>
      </c>
      <c r="H3" s="9">
        <f t="shared" si="0"/>
        <v>100</v>
      </c>
      <c r="I3" s="9">
        <f t="shared" si="0"/>
        <v>100</v>
      </c>
      <c r="J3" s="9">
        <f t="shared" si="0"/>
        <v>100</v>
      </c>
      <c r="K3" s="9">
        <f t="shared" si="0"/>
        <v>100</v>
      </c>
      <c r="L3" s="9">
        <f t="shared" si="0"/>
        <v>100</v>
      </c>
      <c r="M3" s="9">
        <f t="shared" si="0"/>
        <v>100</v>
      </c>
      <c r="N3" s="9">
        <f t="shared" si="0"/>
        <v>100</v>
      </c>
      <c r="O3" s="9">
        <f t="shared" si="0"/>
        <v>100</v>
      </c>
      <c r="P3" s="9">
        <f t="shared" si="0"/>
        <v>100</v>
      </c>
      <c r="Q3" s="9">
        <f t="shared" si="0"/>
        <v>100</v>
      </c>
      <c r="R3" s="9">
        <f t="shared" si="0"/>
        <v>100</v>
      </c>
      <c r="S3" s="9">
        <f t="shared" si="0"/>
        <v>100</v>
      </c>
      <c r="T3" s="9">
        <f t="shared" si="0"/>
        <v>100</v>
      </c>
      <c r="U3" s="9">
        <f t="shared" si="0"/>
        <v>100</v>
      </c>
      <c r="V3" s="9">
        <f t="shared" si="0"/>
        <v>100</v>
      </c>
      <c r="W3" s="9">
        <f t="shared" si="0"/>
        <v>100</v>
      </c>
      <c r="X3" s="9">
        <f t="shared" si="0"/>
        <v>100</v>
      </c>
      <c r="Y3" s="9">
        <f t="shared" si="0"/>
        <v>100</v>
      </c>
      <c r="Z3" s="9">
        <f t="shared" si="0"/>
        <v>100</v>
      </c>
      <c r="AA3" s="9">
        <f t="shared" si="0"/>
        <v>100</v>
      </c>
      <c r="AB3" s="16"/>
      <c r="AC3" s="16"/>
      <c r="AD3" s="16"/>
      <c r="AE3" s="16"/>
      <c r="AF3" s="11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5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</row>
    <row r="4" spans="1:2763" ht="16.5" customHeight="1" x14ac:dyDescent="0.25">
      <c r="A4" s="14">
        <v>25</v>
      </c>
      <c r="B4" s="160">
        <v>35</v>
      </c>
      <c r="C4" s="159" t="s">
        <v>124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/>
      <c r="AC4" s="11"/>
      <c r="AD4" s="11"/>
      <c r="AE4" s="111"/>
      <c r="AF4" s="162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</row>
    <row r="5" spans="1:2763" ht="16.5" customHeight="1" x14ac:dyDescent="0.25">
      <c r="A5" s="14">
        <v>26</v>
      </c>
      <c r="B5" s="26">
        <v>30</v>
      </c>
      <c r="C5" s="151" t="s">
        <v>40</v>
      </c>
      <c r="D5" s="9"/>
      <c r="E5" s="9"/>
      <c r="F5" s="9">
        <v>60</v>
      </c>
      <c r="G5" s="9">
        <v>60</v>
      </c>
      <c r="H5" s="9"/>
      <c r="I5" s="9"/>
      <c r="J5" s="9"/>
      <c r="K5" s="9"/>
      <c r="L5" s="9"/>
      <c r="M5" s="9"/>
      <c r="N5" s="9"/>
      <c r="O5" s="9"/>
      <c r="P5" s="9"/>
      <c r="Q5" s="6"/>
      <c r="R5" s="9"/>
      <c r="S5" s="9"/>
      <c r="T5" s="9"/>
      <c r="U5" s="9"/>
      <c r="V5" s="9"/>
      <c r="W5" s="9"/>
      <c r="X5" s="9"/>
      <c r="Y5" s="9"/>
      <c r="Z5" s="9"/>
      <c r="AA5" s="9"/>
      <c r="AB5" s="11"/>
      <c r="AC5" s="11"/>
      <c r="AD5" s="11"/>
      <c r="AE5" s="111"/>
      <c r="AF5" s="162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</row>
    <row r="6" spans="1:2763" ht="16.5" customHeight="1" x14ac:dyDescent="0.25">
      <c r="A6" s="14">
        <v>27</v>
      </c>
      <c r="B6" s="27">
        <v>1.8</v>
      </c>
      <c r="C6" s="151" t="s">
        <v>53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1"/>
      <c r="AC6" s="11"/>
      <c r="AD6" s="11"/>
      <c r="AE6" s="163"/>
      <c r="AF6" s="162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</row>
    <row r="7" spans="1:2763" ht="16.5" customHeight="1" x14ac:dyDescent="0.25">
      <c r="A7" s="14">
        <v>28</v>
      </c>
      <c r="B7" s="160">
        <v>1.3</v>
      </c>
      <c r="C7" s="159" t="s">
        <v>91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  <c r="AC7" s="11"/>
      <c r="AD7" s="11"/>
      <c r="AE7" s="111"/>
      <c r="AF7" s="162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</row>
    <row r="8" spans="1:2763" ht="16.5" customHeight="1" x14ac:dyDescent="0.25">
      <c r="A8" s="14">
        <v>29</v>
      </c>
      <c r="B8" s="27">
        <v>6</v>
      </c>
      <c r="C8" s="151" t="s">
        <v>52</v>
      </c>
      <c r="D8" s="9"/>
      <c r="E8" s="9"/>
      <c r="F8" s="16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67"/>
      <c r="V8" s="9"/>
      <c r="W8" s="9"/>
      <c r="X8" s="9"/>
      <c r="Y8" s="9"/>
      <c r="Z8" s="9"/>
      <c r="AA8" s="9"/>
      <c r="AB8" s="11"/>
      <c r="AC8" s="11"/>
      <c r="AD8" s="11"/>
      <c r="AE8" s="163"/>
      <c r="AF8" s="162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</row>
    <row r="9" spans="1:2763" ht="16.5" customHeight="1" x14ac:dyDescent="0.25">
      <c r="A9" s="14">
        <v>30</v>
      </c>
      <c r="B9" s="26">
        <v>0.5</v>
      </c>
      <c r="C9" s="151" t="s">
        <v>29</v>
      </c>
      <c r="D9" s="9"/>
      <c r="E9" s="9"/>
      <c r="F9" s="166"/>
      <c r="G9" s="9"/>
      <c r="H9" s="9"/>
      <c r="I9" s="9"/>
      <c r="J9" s="9"/>
      <c r="K9" s="9"/>
      <c r="L9" s="9"/>
      <c r="M9" s="9"/>
      <c r="N9" s="9"/>
      <c r="O9" s="9"/>
      <c r="P9" s="9"/>
      <c r="Q9" s="6"/>
      <c r="R9" s="9"/>
      <c r="S9" s="9"/>
      <c r="T9" s="9"/>
      <c r="U9" s="167"/>
      <c r="V9" s="9"/>
      <c r="W9" s="9"/>
      <c r="X9" s="9">
        <v>5</v>
      </c>
      <c r="Y9" s="9"/>
      <c r="Z9" s="9"/>
      <c r="AA9" s="9"/>
      <c r="AB9" s="11"/>
      <c r="AC9" s="11"/>
      <c r="AD9" s="11"/>
      <c r="AE9" s="163"/>
      <c r="AF9" s="162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</row>
    <row r="10" spans="1:2763" ht="16.5" customHeight="1" x14ac:dyDescent="0.25">
      <c r="A10" s="14">
        <v>31</v>
      </c>
      <c r="B10" s="27">
        <v>1.07</v>
      </c>
      <c r="C10" s="151" t="s">
        <v>14</v>
      </c>
      <c r="D10" s="9"/>
      <c r="E10" s="9"/>
      <c r="F10" s="166"/>
      <c r="G10" s="9"/>
      <c r="H10" s="9"/>
      <c r="I10" s="9"/>
      <c r="J10" s="9"/>
      <c r="K10" s="9"/>
      <c r="L10" s="9">
        <v>25</v>
      </c>
      <c r="M10" s="9"/>
      <c r="N10" s="9"/>
      <c r="O10" s="9"/>
      <c r="P10" s="9"/>
      <c r="Q10" s="6">
        <v>24</v>
      </c>
      <c r="R10" s="9"/>
      <c r="S10" s="9">
        <v>45</v>
      </c>
      <c r="T10" s="9">
        <v>10</v>
      </c>
      <c r="U10" s="167">
        <v>16</v>
      </c>
      <c r="V10" s="9"/>
      <c r="W10" s="9">
        <v>16</v>
      </c>
      <c r="X10" s="9">
        <v>11</v>
      </c>
      <c r="Y10" s="9"/>
      <c r="Z10" s="9">
        <v>17</v>
      </c>
      <c r="AA10" s="9"/>
      <c r="AB10" s="11"/>
      <c r="AC10" s="11"/>
      <c r="AD10" s="11"/>
      <c r="AE10" s="163"/>
      <c r="AF10" s="162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</row>
    <row r="11" spans="1:2763" ht="16.5" customHeight="1" x14ac:dyDescent="0.25">
      <c r="A11" s="14">
        <v>32</v>
      </c>
      <c r="B11" s="28">
        <v>16</v>
      </c>
      <c r="C11" s="151" t="s">
        <v>69</v>
      </c>
      <c r="D11" s="22"/>
      <c r="E11" s="23"/>
      <c r="F11" s="168"/>
      <c r="G11" s="24"/>
      <c r="H11" s="20"/>
      <c r="I11" s="9">
        <v>70</v>
      </c>
      <c r="J11" s="9"/>
      <c r="K11" s="22"/>
      <c r="L11" s="20"/>
      <c r="M11" s="23"/>
      <c r="N11" s="171"/>
      <c r="O11" s="24"/>
      <c r="P11" s="9"/>
      <c r="Q11" s="20"/>
      <c r="R11" s="21"/>
      <c r="S11" s="22"/>
      <c r="T11" s="22"/>
      <c r="U11" s="169"/>
      <c r="V11" s="22"/>
      <c r="W11" s="171"/>
      <c r="X11" s="20"/>
      <c r="Y11" s="9"/>
      <c r="Z11" s="21"/>
      <c r="AA11" s="21"/>
      <c r="AB11" s="11"/>
      <c r="AC11" s="11"/>
      <c r="AD11" s="11"/>
      <c r="AE11" s="163"/>
      <c r="AF11" s="162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  <c r="AMK11" s="5"/>
      <c r="AML11" s="5"/>
      <c r="AMM11" s="5"/>
      <c r="AMN11" s="5"/>
      <c r="AMO11" s="5"/>
      <c r="AMP11" s="5"/>
      <c r="AMQ11" s="5"/>
      <c r="AMR11" s="5"/>
      <c r="AMS11" s="5"/>
      <c r="AMT11" s="5"/>
      <c r="AMU11" s="5"/>
      <c r="AMV11" s="5"/>
      <c r="AMW11" s="5"/>
      <c r="AMX11" s="5"/>
      <c r="AMY11" s="5"/>
      <c r="AMZ11" s="5"/>
      <c r="ANA11" s="5"/>
      <c r="ANB11" s="5"/>
      <c r="ANC11" s="5"/>
      <c r="AND11" s="5"/>
      <c r="ANE11" s="5"/>
      <c r="ANF11" s="5"/>
      <c r="ANG11" s="5"/>
      <c r="ANH11" s="5"/>
      <c r="ANI11" s="5"/>
      <c r="ANJ11" s="5"/>
      <c r="ANK11" s="5"/>
      <c r="ANL11" s="5"/>
      <c r="ANM11" s="5"/>
      <c r="ANN11" s="5"/>
      <c r="ANO11" s="5"/>
      <c r="ANP11" s="5"/>
      <c r="ANQ11" s="5"/>
      <c r="ANR11" s="5"/>
      <c r="ANS11" s="5"/>
      <c r="ANT11" s="5"/>
      <c r="ANU11" s="5"/>
      <c r="ANV11" s="5"/>
      <c r="ANW11" s="5"/>
      <c r="ANX11" s="5"/>
      <c r="ANY11" s="5"/>
      <c r="ANZ11" s="5"/>
      <c r="AOA11" s="5"/>
      <c r="AOB11" s="5"/>
      <c r="AOC11" s="5"/>
      <c r="AOD11" s="5"/>
      <c r="AOE11" s="5"/>
      <c r="AOF11" s="5"/>
      <c r="AOG11" s="5"/>
      <c r="AOH11" s="5"/>
      <c r="AOI11" s="5"/>
      <c r="AOJ11" s="5"/>
      <c r="AOK11" s="5"/>
      <c r="AOL11" s="5"/>
      <c r="AOM11" s="5"/>
      <c r="AON11" s="5"/>
      <c r="AOO11" s="5"/>
      <c r="AOP11" s="5"/>
      <c r="AOQ11" s="5"/>
      <c r="AOR11" s="5"/>
      <c r="AOS11" s="5"/>
      <c r="AOT11" s="5"/>
      <c r="AOU11" s="5"/>
      <c r="AOV11" s="5"/>
      <c r="AOW11" s="5"/>
      <c r="AOX11" s="5"/>
      <c r="AOY11" s="5"/>
      <c r="AOZ11" s="5"/>
      <c r="APA11" s="5"/>
      <c r="APB11" s="5"/>
      <c r="APC11" s="5"/>
      <c r="APD11" s="5"/>
      <c r="APE11" s="5"/>
      <c r="APF11" s="5"/>
      <c r="APG11" s="5"/>
      <c r="APH11" s="5"/>
      <c r="API11" s="5"/>
      <c r="APJ11" s="5"/>
      <c r="APK11" s="5"/>
      <c r="APL11" s="5"/>
      <c r="APM11" s="5"/>
      <c r="APN11" s="5"/>
      <c r="APO11" s="5"/>
      <c r="APP11" s="5"/>
      <c r="APQ11" s="5"/>
      <c r="APR11" s="5"/>
      <c r="APS11" s="5"/>
      <c r="APT11" s="5"/>
      <c r="APU11" s="5"/>
      <c r="APV11" s="5"/>
      <c r="APW11" s="5"/>
      <c r="APX11" s="5"/>
      <c r="APY11" s="5"/>
      <c r="APZ11" s="5"/>
      <c r="AQA11" s="5"/>
      <c r="AQB11" s="5"/>
      <c r="AQC11" s="5"/>
      <c r="AQD11" s="5"/>
      <c r="AQE11" s="5"/>
      <c r="AQF11" s="5"/>
      <c r="AQG11" s="5"/>
      <c r="AQH11" s="5"/>
      <c r="AQI11" s="5"/>
      <c r="AQJ11" s="5"/>
      <c r="AQK11" s="5"/>
      <c r="AQL11" s="5"/>
      <c r="AQM11" s="5"/>
      <c r="AQN11" s="5"/>
      <c r="AQO11" s="5"/>
      <c r="AQP11" s="5"/>
      <c r="AQQ11" s="5"/>
      <c r="AQR11" s="5"/>
      <c r="AQS11" s="5"/>
      <c r="AQT11" s="5"/>
      <c r="AQU11" s="5"/>
      <c r="AQV11" s="5"/>
      <c r="AQW11" s="5"/>
      <c r="AQX11" s="5"/>
      <c r="AQY11" s="5"/>
      <c r="AQZ11" s="5"/>
      <c r="ARA11" s="5"/>
      <c r="ARB11" s="5"/>
      <c r="ARC11" s="5"/>
      <c r="ARD11" s="5"/>
      <c r="ARE11" s="5"/>
      <c r="ARF11" s="5"/>
      <c r="ARG11" s="5"/>
      <c r="ARH11" s="5"/>
      <c r="ARI11" s="5"/>
      <c r="ARJ11" s="5"/>
      <c r="ARK11" s="5"/>
      <c r="ARL11" s="5"/>
      <c r="ARM11" s="5"/>
      <c r="ARN11" s="5"/>
      <c r="ARO11" s="5"/>
      <c r="ARP11" s="5"/>
      <c r="ARQ11" s="5"/>
      <c r="ARR11" s="5"/>
      <c r="ARS11" s="5"/>
      <c r="ART11" s="5"/>
      <c r="ARU11" s="5"/>
      <c r="ARV11" s="5"/>
      <c r="ARW11" s="5"/>
      <c r="ARX11" s="5"/>
      <c r="ARY11" s="5"/>
      <c r="ARZ11" s="5"/>
      <c r="ASA11" s="5"/>
      <c r="ASB11" s="5"/>
      <c r="ASC11" s="5"/>
      <c r="ASD11" s="5"/>
      <c r="ASE11" s="5"/>
      <c r="ASF11" s="5"/>
      <c r="ASG11" s="5"/>
      <c r="ASH11" s="5"/>
      <c r="ASI11" s="5"/>
      <c r="ASJ11" s="5"/>
      <c r="ASK11" s="5"/>
      <c r="ASL11" s="5"/>
      <c r="ASM11" s="5"/>
      <c r="ASN11" s="5"/>
      <c r="ASO11" s="5"/>
      <c r="ASP11" s="5"/>
      <c r="ASQ11" s="5"/>
      <c r="ASR11" s="5"/>
      <c r="ASS11" s="5"/>
      <c r="AST11" s="5"/>
      <c r="ASU11" s="5"/>
      <c r="ASV11" s="5"/>
      <c r="ASW11" s="5"/>
      <c r="ASX11" s="5"/>
      <c r="ASY11" s="5"/>
      <c r="ASZ11" s="5"/>
      <c r="ATA11" s="5"/>
      <c r="ATB11" s="5"/>
      <c r="ATC11" s="5"/>
      <c r="ATD11" s="5"/>
      <c r="ATE11" s="5"/>
      <c r="ATF11" s="5"/>
      <c r="ATG11" s="5"/>
      <c r="ATH11" s="5"/>
      <c r="ATI11" s="5"/>
      <c r="ATJ11" s="5"/>
      <c r="ATK11" s="5"/>
      <c r="ATL11" s="5"/>
      <c r="ATM11" s="5"/>
      <c r="ATN11" s="5"/>
      <c r="ATO11" s="5"/>
      <c r="ATP11" s="5"/>
      <c r="ATQ11" s="5"/>
      <c r="ATR11" s="5"/>
      <c r="ATS11" s="5"/>
      <c r="ATT11" s="5"/>
      <c r="ATU11" s="5"/>
      <c r="ATV11" s="5"/>
      <c r="ATW11" s="5"/>
      <c r="ATX11" s="5"/>
      <c r="ATY11" s="5"/>
      <c r="ATZ11" s="5"/>
      <c r="AUA11" s="5"/>
      <c r="AUB11" s="5"/>
      <c r="AUC11" s="5"/>
      <c r="AUD11" s="5"/>
      <c r="AUE11" s="5"/>
      <c r="AUF11" s="5"/>
      <c r="AUG11" s="5"/>
      <c r="AUH11" s="5"/>
      <c r="AUI11" s="5"/>
      <c r="AUJ11" s="5"/>
      <c r="AUK11" s="5"/>
      <c r="AUL11" s="5"/>
      <c r="AUM11" s="5"/>
      <c r="AUN11" s="5"/>
      <c r="AUO11" s="5"/>
      <c r="AUP11" s="5"/>
      <c r="AUQ11" s="5"/>
      <c r="AUR11" s="5"/>
      <c r="AUS11" s="5"/>
      <c r="AUT11" s="5"/>
      <c r="AUU11" s="5"/>
      <c r="AUV11" s="5"/>
      <c r="AUW11" s="5"/>
      <c r="AUX11" s="5"/>
      <c r="AUY11" s="5"/>
      <c r="AUZ11" s="5"/>
      <c r="AVA11" s="5"/>
      <c r="AVB11" s="5"/>
      <c r="AVC11" s="5"/>
      <c r="AVD11" s="5"/>
      <c r="AVE11" s="5"/>
      <c r="AVF11" s="5"/>
      <c r="AVG11" s="5"/>
      <c r="AVH11" s="5"/>
      <c r="AVI11" s="5"/>
      <c r="AVJ11" s="5"/>
      <c r="AVK11" s="5"/>
      <c r="AVL11" s="5"/>
      <c r="AVM11" s="5"/>
      <c r="AVN11" s="5"/>
      <c r="AVO11" s="5"/>
      <c r="AVP11" s="5"/>
      <c r="AVQ11" s="5"/>
      <c r="AVR11" s="5"/>
      <c r="AVS11" s="5"/>
      <c r="AVT11" s="5"/>
      <c r="AVU11" s="5"/>
      <c r="AVV11" s="5"/>
      <c r="AVW11" s="5"/>
      <c r="AVX11" s="5"/>
      <c r="AVY11" s="5"/>
      <c r="AVZ11" s="5"/>
      <c r="AWA11" s="5"/>
      <c r="AWB11" s="5"/>
      <c r="AWC11" s="5"/>
      <c r="AWD11" s="5"/>
      <c r="AWE11" s="5"/>
      <c r="AWF11" s="5"/>
      <c r="AWG11" s="5"/>
      <c r="AWH11" s="5"/>
      <c r="AWI11" s="5"/>
      <c r="AWJ11" s="5"/>
      <c r="AWK11" s="5"/>
      <c r="AWL11" s="5"/>
      <c r="AWM11" s="5"/>
      <c r="AWN11" s="5"/>
      <c r="AWO11" s="5"/>
      <c r="AWP11" s="5"/>
      <c r="AWQ11" s="5"/>
      <c r="AWR11" s="5"/>
      <c r="AWS11" s="5"/>
      <c r="AWT11" s="5"/>
      <c r="AWU11" s="5"/>
      <c r="AWV11" s="5"/>
      <c r="AWW11" s="5"/>
      <c r="AWX11" s="5"/>
      <c r="AWY11" s="5"/>
      <c r="AWZ11" s="5"/>
      <c r="AXA11" s="5"/>
      <c r="AXB11" s="5"/>
      <c r="AXC11" s="5"/>
      <c r="AXD11" s="5"/>
      <c r="AXE11" s="5"/>
      <c r="AXF11" s="5"/>
      <c r="AXG11" s="5"/>
      <c r="AXH11" s="5"/>
      <c r="AXI11" s="5"/>
      <c r="AXJ11" s="5"/>
      <c r="AXK11" s="5"/>
      <c r="AXL11" s="5"/>
      <c r="AXM11" s="5"/>
      <c r="AXN11" s="5"/>
      <c r="AXO11" s="5"/>
      <c r="AXP11" s="5"/>
      <c r="AXQ11" s="5"/>
      <c r="AXR11" s="5"/>
      <c r="AXS11" s="5"/>
      <c r="AXT11" s="5"/>
      <c r="AXU11" s="5"/>
      <c r="AXV11" s="5"/>
      <c r="AXW11" s="5"/>
      <c r="AXX11" s="5"/>
      <c r="AXY11" s="5"/>
      <c r="AXZ11" s="5"/>
      <c r="AYA11" s="5"/>
      <c r="AYB11" s="5"/>
      <c r="AYC11" s="5"/>
      <c r="AYD11" s="5"/>
      <c r="AYE11" s="5"/>
      <c r="AYF11" s="5"/>
      <c r="AYG11" s="5"/>
      <c r="AYH11" s="5"/>
      <c r="AYI11" s="5"/>
      <c r="AYJ11" s="5"/>
      <c r="AYK11" s="5"/>
      <c r="AYL11" s="5"/>
      <c r="AYM11" s="5"/>
      <c r="AYN11" s="5"/>
      <c r="AYO11" s="5"/>
      <c r="AYP11" s="5"/>
      <c r="AYQ11" s="5"/>
      <c r="AYR11" s="5"/>
      <c r="AYS11" s="5"/>
      <c r="AYT11" s="5"/>
      <c r="AYU11" s="5"/>
      <c r="AYV11" s="5"/>
      <c r="AYW11" s="5"/>
      <c r="AYX11" s="5"/>
      <c r="AYY11" s="5"/>
      <c r="AYZ11" s="5"/>
      <c r="AZA11" s="5"/>
      <c r="AZB11" s="5"/>
      <c r="AZC11" s="5"/>
      <c r="AZD11" s="5"/>
      <c r="AZE11" s="5"/>
      <c r="AZF11" s="5"/>
      <c r="AZG11" s="5"/>
      <c r="AZH11" s="5"/>
      <c r="AZI11" s="5"/>
      <c r="AZJ11" s="5"/>
      <c r="AZK11" s="5"/>
      <c r="AZL11" s="5"/>
      <c r="AZM11" s="5"/>
      <c r="AZN11" s="5"/>
      <c r="AZO11" s="5"/>
      <c r="AZP11" s="5"/>
      <c r="AZQ11" s="5"/>
      <c r="AZR11" s="5"/>
      <c r="AZS11" s="5"/>
      <c r="AZT11" s="5"/>
      <c r="AZU11" s="5"/>
      <c r="AZV11" s="5"/>
      <c r="AZW11" s="5"/>
      <c r="AZX11" s="5"/>
      <c r="AZY11" s="5"/>
      <c r="AZZ11" s="5"/>
      <c r="BAA11" s="5"/>
      <c r="BAB11" s="5"/>
      <c r="BAC11" s="5"/>
      <c r="BAD11" s="5"/>
      <c r="BAE11" s="5"/>
      <c r="BAF11" s="5"/>
      <c r="BAG11" s="5"/>
      <c r="BAH11" s="5"/>
      <c r="BAI11" s="5"/>
      <c r="BAJ11" s="5"/>
      <c r="BAK11" s="5"/>
      <c r="BAL11" s="5"/>
      <c r="BAM11" s="5"/>
      <c r="BAN11" s="5"/>
      <c r="BAO11" s="5"/>
      <c r="BAP11" s="5"/>
      <c r="BAQ11" s="5"/>
      <c r="BAR11" s="5"/>
      <c r="BAS11" s="5"/>
      <c r="BAT11" s="5"/>
      <c r="BAU11" s="5"/>
      <c r="BAV11" s="5"/>
      <c r="BAW11" s="5"/>
      <c r="BAX11" s="5"/>
      <c r="BAY11" s="5"/>
      <c r="BAZ11" s="5"/>
      <c r="BBA11" s="5"/>
      <c r="BBB11" s="5"/>
      <c r="BBC11" s="5"/>
      <c r="BBD11" s="5"/>
      <c r="BBE11" s="5"/>
      <c r="BBF11" s="5"/>
      <c r="BBG11" s="5"/>
      <c r="BBH11" s="5"/>
      <c r="BBI11" s="5"/>
      <c r="BBJ11" s="5"/>
      <c r="BBK11" s="5"/>
      <c r="BBL11" s="5"/>
      <c r="BBM11" s="5"/>
      <c r="BBN11" s="5"/>
      <c r="BBO11" s="5"/>
      <c r="BBP11" s="5"/>
      <c r="BBQ11" s="5"/>
      <c r="BBR11" s="5"/>
      <c r="BBS11" s="5"/>
      <c r="BBT11" s="5"/>
      <c r="BBU11" s="5"/>
      <c r="BBV11" s="5"/>
      <c r="BBW11" s="5"/>
      <c r="BBX11" s="5"/>
      <c r="BBY11" s="5"/>
      <c r="BBZ11" s="5"/>
      <c r="BCA11" s="5"/>
      <c r="BCB11" s="5"/>
      <c r="BCC11" s="5"/>
      <c r="BCD11" s="5"/>
      <c r="BCE11" s="5"/>
      <c r="BCF11" s="5"/>
      <c r="BCG11" s="5"/>
      <c r="BCH11" s="5"/>
      <c r="BCI11" s="5"/>
      <c r="BCJ11" s="5"/>
      <c r="BCK11" s="5"/>
      <c r="BCL11" s="5"/>
      <c r="BCM11" s="5"/>
      <c r="BCN11" s="5"/>
      <c r="BCO11" s="5"/>
      <c r="BCP11" s="5"/>
      <c r="BCQ11" s="5"/>
      <c r="BCR11" s="5"/>
      <c r="BCS11" s="5"/>
      <c r="BCT11" s="5"/>
      <c r="BCU11" s="5"/>
      <c r="BCV11" s="5"/>
      <c r="BCW11" s="5"/>
      <c r="BCX11" s="5"/>
      <c r="BCY11" s="5"/>
      <c r="BCZ11" s="5"/>
      <c r="BDA11" s="5"/>
      <c r="BDB11" s="5"/>
      <c r="BDC11" s="5"/>
      <c r="BDD11" s="5"/>
      <c r="BDE11" s="5"/>
      <c r="BDF11" s="5"/>
      <c r="BDG11" s="5"/>
      <c r="BDH11" s="5"/>
      <c r="BDI11" s="5"/>
      <c r="BDJ11" s="5"/>
      <c r="BDK11" s="5"/>
      <c r="BDL11" s="5"/>
      <c r="BDM11" s="5"/>
      <c r="BDN11" s="5"/>
      <c r="BDO11" s="5"/>
      <c r="BDP11" s="5"/>
      <c r="BDQ11" s="5"/>
      <c r="BDR11" s="5"/>
      <c r="BDS11" s="5"/>
      <c r="BDT11" s="5"/>
      <c r="BDU11" s="5"/>
      <c r="BDV11" s="5"/>
      <c r="BDW11" s="5"/>
      <c r="BDX11" s="5"/>
      <c r="BDY11" s="5"/>
      <c r="BDZ11" s="5"/>
      <c r="BEA11" s="5"/>
      <c r="BEB11" s="5"/>
      <c r="BEC11" s="5"/>
      <c r="BED11" s="5"/>
      <c r="BEE11" s="5"/>
      <c r="BEF11" s="5"/>
      <c r="BEG11" s="5"/>
      <c r="BEH11" s="5"/>
      <c r="BEI11" s="5"/>
      <c r="BEJ11" s="5"/>
      <c r="BEK11" s="5"/>
      <c r="BEL11" s="5"/>
      <c r="BEM11" s="5"/>
      <c r="BEN11" s="5"/>
      <c r="BEO11" s="5"/>
      <c r="BEP11" s="5"/>
      <c r="BEQ11" s="5"/>
      <c r="BER11" s="5"/>
      <c r="BES11" s="5"/>
      <c r="BET11" s="5"/>
      <c r="BEU11" s="5"/>
      <c r="BEV11" s="5"/>
      <c r="BEW11" s="5"/>
      <c r="BEX11" s="5"/>
      <c r="BEY11" s="5"/>
      <c r="BEZ11" s="5"/>
      <c r="BFA11" s="5"/>
      <c r="BFB11" s="5"/>
      <c r="BFC11" s="5"/>
      <c r="BFD11" s="5"/>
      <c r="BFE11" s="5"/>
      <c r="BFF11" s="5"/>
      <c r="BFG11" s="5"/>
      <c r="BFH11" s="5"/>
      <c r="BFI11" s="5"/>
      <c r="BFJ11" s="5"/>
      <c r="BFK11" s="5"/>
      <c r="BFL11" s="5"/>
      <c r="BFM11" s="5"/>
      <c r="BFN11" s="5"/>
      <c r="BFO11" s="5"/>
      <c r="BFP11" s="5"/>
      <c r="BFQ11" s="5"/>
      <c r="BFR11" s="5"/>
      <c r="BFS11" s="5"/>
      <c r="BFT11" s="5"/>
      <c r="BFU11" s="5"/>
      <c r="BFV11" s="5"/>
      <c r="BFW11" s="5"/>
      <c r="BFX11" s="5"/>
      <c r="BFY11" s="5"/>
      <c r="BFZ11" s="5"/>
      <c r="BGA11" s="5"/>
      <c r="BGB11" s="5"/>
      <c r="BGC11" s="5"/>
      <c r="BGD11" s="5"/>
      <c r="BGE11" s="5"/>
      <c r="BGF11" s="5"/>
      <c r="BGG11" s="5"/>
      <c r="BGH11" s="5"/>
      <c r="BGI11" s="5"/>
      <c r="BGJ11" s="5"/>
      <c r="BGK11" s="5"/>
      <c r="BGL11" s="5"/>
      <c r="BGM11" s="5"/>
      <c r="BGN11" s="5"/>
      <c r="BGO11" s="5"/>
      <c r="BGP11" s="5"/>
      <c r="BGQ11" s="5"/>
      <c r="BGR11" s="5"/>
      <c r="BGS11" s="5"/>
      <c r="BGT11" s="5"/>
      <c r="BGU11" s="5"/>
      <c r="BGV11" s="5"/>
      <c r="BGW11" s="5"/>
      <c r="BGX11" s="5"/>
      <c r="BGY11" s="5"/>
      <c r="BGZ11" s="5"/>
      <c r="BHA11" s="5"/>
      <c r="BHB11" s="5"/>
      <c r="BHC11" s="5"/>
      <c r="BHD11" s="5"/>
      <c r="BHE11" s="5"/>
      <c r="BHF11" s="5"/>
      <c r="BHG11" s="5"/>
      <c r="BHH11" s="5"/>
      <c r="BHI11" s="5"/>
      <c r="BHJ11" s="5"/>
      <c r="BHK11" s="5"/>
      <c r="BHL11" s="5"/>
      <c r="BHM11" s="5"/>
      <c r="BHN11" s="5"/>
      <c r="BHO11" s="5"/>
      <c r="BHP11" s="5"/>
      <c r="BHQ11" s="5"/>
      <c r="BHR11" s="5"/>
      <c r="BHS11" s="5"/>
      <c r="BHT11" s="5"/>
      <c r="BHU11" s="5"/>
      <c r="BHV11" s="5"/>
      <c r="BHW11" s="5"/>
      <c r="BHX11" s="5"/>
      <c r="BHY11" s="5"/>
      <c r="BHZ11" s="5"/>
      <c r="BIA11" s="5"/>
      <c r="BIB11" s="5"/>
      <c r="BIC11" s="5"/>
      <c r="BID11" s="5"/>
      <c r="BIE11" s="5"/>
      <c r="BIF11" s="5"/>
      <c r="BIG11" s="5"/>
      <c r="BIH11" s="5"/>
      <c r="BII11" s="5"/>
      <c r="BIJ11" s="5"/>
      <c r="BIK11" s="5"/>
      <c r="BIL11" s="5"/>
      <c r="BIM11" s="5"/>
      <c r="BIN11" s="5"/>
      <c r="BIO11" s="5"/>
      <c r="BIP11" s="5"/>
      <c r="BIQ11" s="5"/>
      <c r="BIR11" s="5"/>
      <c r="BIS11" s="5"/>
      <c r="BIT11" s="5"/>
      <c r="BIU11" s="5"/>
      <c r="BIV11" s="5"/>
      <c r="BIW11" s="5"/>
      <c r="BIX11" s="5"/>
      <c r="BIY11" s="5"/>
      <c r="BIZ11" s="5"/>
      <c r="BJA11" s="5"/>
      <c r="BJB11" s="5"/>
      <c r="BJC11" s="5"/>
      <c r="BJD11" s="5"/>
      <c r="BJE11" s="5"/>
      <c r="BJF11" s="5"/>
      <c r="BJG11" s="5"/>
      <c r="BJH11" s="5"/>
      <c r="BJI11" s="5"/>
      <c r="BJJ11" s="5"/>
      <c r="BJK11" s="5"/>
      <c r="BJL11" s="5"/>
      <c r="BJM11" s="5"/>
      <c r="BJN11" s="5"/>
      <c r="BJO11" s="5"/>
      <c r="BJP11" s="5"/>
      <c r="BJQ11" s="5"/>
      <c r="BJR11" s="5"/>
      <c r="BJS11" s="5"/>
      <c r="BJT11" s="5"/>
      <c r="BJU11" s="5"/>
      <c r="BJV11" s="5"/>
      <c r="BJW11" s="5"/>
      <c r="BJX11" s="5"/>
      <c r="BJY11" s="5"/>
      <c r="BJZ11" s="5"/>
      <c r="BKA11" s="5"/>
      <c r="BKB11" s="5"/>
      <c r="BKC11" s="5"/>
      <c r="BKD11" s="5"/>
      <c r="BKE11" s="5"/>
      <c r="BKF11" s="5"/>
      <c r="BKG11" s="5"/>
      <c r="BKH11" s="5"/>
      <c r="BKI11" s="5"/>
      <c r="BKJ11" s="5"/>
      <c r="BKK11" s="5"/>
      <c r="BKL11" s="5"/>
      <c r="BKM11" s="5"/>
      <c r="BKN11" s="5"/>
      <c r="BKO11" s="5"/>
      <c r="BKP11" s="5"/>
      <c r="BKQ11" s="5"/>
      <c r="BKR11" s="5"/>
      <c r="BKS11" s="5"/>
      <c r="BKT11" s="5"/>
      <c r="BKU11" s="5"/>
      <c r="BKV11" s="5"/>
      <c r="BKW11" s="5"/>
      <c r="BKX11" s="5"/>
      <c r="BKY11" s="5"/>
      <c r="BKZ11" s="5"/>
      <c r="BLA11" s="5"/>
      <c r="BLB11" s="5"/>
      <c r="BLC11" s="5"/>
      <c r="BLD11" s="5"/>
      <c r="BLE11" s="5"/>
      <c r="BLF11" s="5"/>
      <c r="BLG11" s="5"/>
      <c r="BLH11" s="5"/>
      <c r="BLI11" s="5"/>
      <c r="BLJ11" s="5"/>
      <c r="BLK11" s="5"/>
      <c r="BLL11" s="5"/>
      <c r="BLM11" s="5"/>
      <c r="BLN11" s="5"/>
      <c r="BLO11" s="5"/>
      <c r="BLP11" s="5"/>
      <c r="BLQ11" s="5"/>
      <c r="BLR11" s="5"/>
      <c r="BLS11" s="5"/>
      <c r="BLT11" s="5"/>
      <c r="BLU11" s="5"/>
      <c r="BLV11" s="5"/>
      <c r="BLW11" s="5"/>
      <c r="BLX11" s="5"/>
      <c r="BLY11" s="5"/>
      <c r="BLZ11" s="5"/>
      <c r="BMA11" s="5"/>
      <c r="BMB11" s="5"/>
      <c r="BMC11" s="5"/>
      <c r="BMD11" s="5"/>
      <c r="BME11" s="5"/>
      <c r="BMF11" s="5"/>
      <c r="BMG11" s="5"/>
      <c r="BMH11" s="5"/>
      <c r="BMI11" s="5"/>
      <c r="BMJ11" s="5"/>
      <c r="BMK11" s="5"/>
      <c r="BML11" s="5"/>
      <c r="BMM11" s="5"/>
      <c r="BMN11" s="5"/>
      <c r="BMO11" s="5"/>
      <c r="BMP11" s="5"/>
      <c r="BMQ11" s="5"/>
      <c r="BMR11" s="5"/>
      <c r="BMS11" s="5"/>
      <c r="BMT11" s="5"/>
      <c r="BMU11" s="5"/>
      <c r="BMV11" s="5"/>
      <c r="BMW11" s="5"/>
      <c r="BMX11" s="5"/>
      <c r="BMY11" s="5"/>
      <c r="BMZ11" s="5"/>
      <c r="BNA11" s="5"/>
      <c r="BNB11" s="5"/>
      <c r="BNC11" s="5"/>
      <c r="BND11" s="5"/>
      <c r="BNE11" s="5"/>
      <c r="BNF11" s="5"/>
      <c r="BNG11" s="5"/>
      <c r="BNH11" s="5"/>
      <c r="BNI11" s="5"/>
      <c r="BNJ11" s="5"/>
      <c r="BNK11" s="5"/>
      <c r="BNL11" s="5"/>
      <c r="BNM11" s="5"/>
      <c r="BNN11" s="5"/>
      <c r="BNO11" s="5"/>
      <c r="BNP11" s="5"/>
      <c r="BNQ11" s="5"/>
      <c r="BNR11" s="5"/>
      <c r="BNS11" s="5"/>
      <c r="BNT11" s="5"/>
      <c r="BNU11" s="5"/>
      <c r="BNV11" s="5"/>
      <c r="BNW11" s="5"/>
      <c r="BNX11" s="5"/>
      <c r="BNY11" s="5"/>
      <c r="BNZ11" s="5"/>
      <c r="BOA11" s="5"/>
      <c r="BOB11" s="5"/>
      <c r="BOC11" s="5"/>
      <c r="BOD11" s="5"/>
      <c r="BOE11" s="5"/>
      <c r="BOF11" s="5"/>
      <c r="BOG11" s="5"/>
      <c r="BOH11" s="5"/>
      <c r="BOI11" s="5"/>
      <c r="BOJ11" s="5"/>
      <c r="BOK11" s="5"/>
      <c r="BOL11" s="5"/>
      <c r="BOM11" s="5"/>
      <c r="BON11" s="5"/>
      <c r="BOO11" s="5"/>
      <c r="BOP11" s="5"/>
      <c r="BOQ11" s="5"/>
      <c r="BOR11" s="5"/>
      <c r="BOS11" s="5"/>
      <c r="BOT11" s="5"/>
      <c r="BOU11" s="5"/>
      <c r="BOV11" s="5"/>
      <c r="BOW11" s="5"/>
      <c r="BOX11" s="5"/>
      <c r="BOY11" s="5"/>
      <c r="BOZ11" s="5"/>
      <c r="BPA11" s="5"/>
      <c r="BPB11" s="5"/>
      <c r="BPC11" s="5"/>
      <c r="BPD11" s="5"/>
      <c r="BPE11" s="5"/>
      <c r="BPF11" s="5"/>
      <c r="BPG11" s="5"/>
      <c r="BPH11" s="5"/>
      <c r="BPI11" s="5"/>
      <c r="BPJ11" s="5"/>
      <c r="BPK11" s="5"/>
      <c r="BPL11" s="5"/>
      <c r="BPM11" s="5"/>
      <c r="BPN11" s="5"/>
      <c r="BPO11" s="5"/>
      <c r="BPP11" s="5"/>
      <c r="BPQ11" s="5"/>
      <c r="BPR11" s="5"/>
      <c r="BPS11" s="5"/>
      <c r="BPT11" s="5"/>
      <c r="BPU11" s="5"/>
      <c r="BPV11" s="5"/>
      <c r="BPW11" s="5"/>
      <c r="BPX11" s="5"/>
      <c r="BPY11" s="5"/>
      <c r="BPZ11" s="5"/>
      <c r="BQA11" s="5"/>
      <c r="BQB11" s="5"/>
      <c r="BQC11" s="5"/>
      <c r="BQD11" s="5"/>
      <c r="BQE11" s="5"/>
      <c r="BQF11" s="5"/>
      <c r="BQG11" s="5"/>
      <c r="BQH11" s="5"/>
      <c r="BQI11" s="5"/>
      <c r="BQJ11" s="5"/>
      <c r="BQK11" s="5"/>
      <c r="BQL11" s="5"/>
      <c r="BQM11" s="5"/>
      <c r="BQN11" s="5"/>
      <c r="BQO11" s="5"/>
      <c r="BQP11" s="5"/>
      <c r="BQQ11" s="5"/>
      <c r="BQR11" s="5"/>
      <c r="BQS11" s="5"/>
      <c r="BQT11" s="5"/>
      <c r="BQU11" s="5"/>
      <c r="BQV11" s="5"/>
      <c r="BQW11" s="5"/>
      <c r="BQX11" s="5"/>
      <c r="BQY11" s="5"/>
      <c r="BQZ11" s="5"/>
      <c r="BRA11" s="5"/>
      <c r="BRB11" s="5"/>
      <c r="BRC11" s="5"/>
      <c r="BRD11" s="5"/>
      <c r="BRE11" s="5"/>
      <c r="BRF11" s="5"/>
      <c r="BRG11" s="5"/>
      <c r="BRH11" s="5"/>
      <c r="BRI11" s="5"/>
      <c r="BRJ11" s="5"/>
      <c r="BRK11" s="5"/>
      <c r="BRL11" s="5"/>
      <c r="BRM11" s="5"/>
      <c r="BRN11" s="5"/>
      <c r="BRO11" s="5"/>
      <c r="BRP11" s="5"/>
      <c r="BRQ11" s="5"/>
      <c r="BRR11" s="5"/>
      <c r="BRS11" s="5"/>
      <c r="BRT11" s="5"/>
      <c r="BRU11" s="5"/>
      <c r="BRV11" s="5"/>
      <c r="BRW11" s="5"/>
      <c r="BRX11" s="5"/>
      <c r="BRY11" s="5"/>
      <c r="BRZ11" s="5"/>
      <c r="BSA11" s="5"/>
      <c r="BSB11" s="5"/>
      <c r="BSC11" s="5"/>
      <c r="BSD11" s="5"/>
      <c r="BSE11" s="5"/>
      <c r="BSF11" s="5"/>
      <c r="BSG11" s="5"/>
      <c r="BSH11" s="5"/>
      <c r="BSI11" s="5"/>
      <c r="BSJ11" s="5"/>
      <c r="BSK11" s="5"/>
      <c r="BSL11" s="5"/>
      <c r="BSM11" s="5"/>
      <c r="BSN11" s="5"/>
      <c r="BSO11" s="5"/>
      <c r="BSP11" s="5"/>
      <c r="BSQ11" s="5"/>
      <c r="BSR11" s="5"/>
      <c r="BSS11" s="5"/>
      <c r="BST11" s="5"/>
      <c r="BSU11" s="5"/>
      <c r="BSV11" s="5"/>
      <c r="BSW11" s="5"/>
      <c r="BSX11" s="5"/>
      <c r="BSY11" s="5"/>
      <c r="BSZ11" s="5"/>
      <c r="BTA11" s="5"/>
      <c r="BTB11" s="5"/>
      <c r="BTC11" s="5"/>
      <c r="BTD11" s="5"/>
      <c r="BTE11" s="5"/>
      <c r="BTF11" s="5"/>
      <c r="BTG11" s="5"/>
      <c r="BTH11" s="5"/>
      <c r="BTI11" s="5"/>
      <c r="BTJ11" s="5"/>
      <c r="BTK11" s="5"/>
      <c r="BTL11" s="5"/>
      <c r="BTM11" s="5"/>
      <c r="BTN11" s="5"/>
      <c r="BTO11" s="5"/>
      <c r="BTP11" s="5"/>
      <c r="BTQ11" s="5"/>
      <c r="BTR11" s="5"/>
      <c r="BTS11" s="5"/>
      <c r="BTT11" s="5"/>
      <c r="BTU11" s="5"/>
      <c r="BTV11" s="5"/>
      <c r="BTW11" s="5"/>
      <c r="BTX11" s="5"/>
      <c r="BTY11" s="5"/>
      <c r="BTZ11" s="5"/>
      <c r="BUA11" s="5"/>
      <c r="BUB11" s="5"/>
      <c r="BUC11" s="5"/>
      <c r="BUD11" s="5"/>
      <c r="BUE11" s="5"/>
      <c r="BUF11" s="5"/>
      <c r="BUG11" s="5"/>
      <c r="BUH11" s="5"/>
      <c r="BUI11" s="5"/>
      <c r="BUJ11" s="5"/>
      <c r="BUK11" s="5"/>
      <c r="BUL11" s="5"/>
      <c r="BUM11" s="5"/>
      <c r="BUN11" s="5"/>
      <c r="BUO11" s="5"/>
      <c r="BUP11" s="5"/>
      <c r="BUQ11" s="5"/>
      <c r="BUR11" s="5"/>
      <c r="BUS11" s="5"/>
      <c r="BUT11" s="5"/>
      <c r="BUU11" s="5"/>
      <c r="BUV11" s="5"/>
      <c r="BUW11" s="5"/>
      <c r="BUX11" s="5"/>
      <c r="BUY11" s="5"/>
      <c r="BUZ11" s="5"/>
      <c r="BVA11" s="5"/>
      <c r="BVB11" s="5"/>
      <c r="BVC11" s="5"/>
      <c r="BVD11" s="5"/>
      <c r="BVE11" s="5"/>
      <c r="BVF11" s="5"/>
      <c r="BVG11" s="5"/>
      <c r="BVH11" s="5"/>
      <c r="BVI11" s="5"/>
      <c r="BVJ11" s="5"/>
      <c r="BVK11" s="5"/>
      <c r="BVL11" s="5"/>
      <c r="BVM11" s="5"/>
      <c r="BVN11" s="5"/>
      <c r="BVO11" s="5"/>
      <c r="BVP11" s="5"/>
      <c r="BVQ11" s="5"/>
      <c r="BVR11" s="5"/>
      <c r="BVS11" s="5"/>
      <c r="BVT11" s="5"/>
      <c r="BVU11" s="5"/>
      <c r="BVV11" s="5"/>
      <c r="BVW11" s="5"/>
      <c r="BVX11" s="5"/>
      <c r="BVY11" s="5"/>
      <c r="BVZ11" s="5"/>
      <c r="BWA11" s="5"/>
      <c r="BWB11" s="5"/>
      <c r="BWC11" s="5"/>
      <c r="BWD11" s="5"/>
      <c r="BWE11" s="5"/>
      <c r="BWF11" s="5"/>
      <c r="BWG11" s="5"/>
      <c r="BWH11" s="5"/>
      <c r="BWI11" s="5"/>
      <c r="BWJ11" s="5"/>
      <c r="BWK11" s="5"/>
      <c r="BWL11" s="5"/>
      <c r="BWM11" s="5"/>
      <c r="BWN11" s="5"/>
      <c r="BWO11" s="5"/>
      <c r="BWP11" s="5"/>
      <c r="BWQ11" s="5"/>
      <c r="BWR11" s="5"/>
      <c r="BWS11" s="5"/>
      <c r="BWT11" s="5"/>
      <c r="BWU11" s="5"/>
      <c r="BWV11" s="5"/>
      <c r="BWW11" s="5"/>
      <c r="BWX11" s="5"/>
      <c r="BWY11" s="5"/>
      <c r="BWZ11" s="5"/>
      <c r="BXA11" s="5"/>
      <c r="BXB11" s="5"/>
      <c r="BXC11" s="5"/>
      <c r="BXD11" s="5"/>
      <c r="BXE11" s="5"/>
      <c r="BXF11" s="5"/>
      <c r="BXG11" s="5"/>
      <c r="BXH11" s="5"/>
      <c r="BXI11" s="5"/>
      <c r="BXJ11" s="5"/>
      <c r="BXK11" s="5"/>
      <c r="BXL11" s="5"/>
      <c r="BXM11" s="5"/>
      <c r="BXN11" s="5"/>
      <c r="BXO11" s="5"/>
      <c r="BXP11" s="5"/>
      <c r="BXQ11" s="5"/>
      <c r="BXR11" s="5"/>
      <c r="BXS11" s="5"/>
      <c r="BXT11" s="5"/>
      <c r="BXU11" s="5"/>
      <c r="BXV11" s="5"/>
      <c r="BXW11" s="5"/>
      <c r="BXX11" s="5"/>
      <c r="BXY11" s="5"/>
      <c r="BXZ11" s="5"/>
      <c r="BYA11" s="5"/>
      <c r="BYB11" s="5"/>
      <c r="BYC11" s="5"/>
      <c r="BYD11" s="5"/>
      <c r="BYE11" s="5"/>
      <c r="BYF11" s="5"/>
      <c r="BYG11" s="5"/>
      <c r="BYH11" s="5"/>
      <c r="BYI11" s="5"/>
      <c r="BYJ11" s="5"/>
      <c r="BYK11" s="5"/>
      <c r="BYL11" s="5"/>
      <c r="BYM11" s="5"/>
      <c r="BYN11" s="5"/>
      <c r="BYO11" s="5"/>
      <c r="BYP11" s="5"/>
      <c r="BYQ11" s="5"/>
      <c r="BYR11" s="5"/>
      <c r="BYS11" s="5"/>
      <c r="BYT11" s="5"/>
      <c r="BYU11" s="5"/>
      <c r="BYV11" s="5"/>
      <c r="BYW11" s="5"/>
      <c r="BYX11" s="5"/>
      <c r="BYY11" s="5"/>
      <c r="BYZ11" s="5"/>
      <c r="BZA11" s="5"/>
      <c r="BZB11" s="5"/>
      <c r="BZC11" s="5"/>
      <c r="BZD11" s="5"/>
      <c r="BZE11" s="5"/>
      <c r="BZF11" s="5"/>
      <c r="BZG11" s="5"/>
      <c r="BZH11" s="5"/>
      <c r="BZI11" s="5"/>
      <c r="BZJ11" s="5"/>
      <c r="BZK11" s="5"/>
      <c r="BZL11" s="5"/>
      <c r="BZM11" s="5"/>
      <c r="BZN11" s="5"/>
      <c r="BZO11" s="5"/>
      <c r="BZP11" s="5"/>
      <c r="BZQ11" s="5"/>
      <c r="BZR11" s="5"/>
      <c r="BZS11" s="5"/>
      <c r="BZT11" s="5"/>
      <c r="BZU11" s="5"/>
      <c r="BZV11" s="5"/>
      <c r="BZW11" s="5"/>
      <c r="BZX11" s="5"/>
      <c r="BZY11" s="5"/>
      <c r="BZZ11" s="5"/>
      <c r="CAA11" s="5"/>
      <c r="CAB11" s="5"/>
      <c r="CAC11" s="5"/>
      <c r="CAD11" s="5"/>
      <c r="CAE11" s="5"/>
      <c r="CAF11" s="5"/>
      <c r="CAG11" s="5"/>
      <c r="CAH11" s="5"/>
      <c r="CAI11" s="5"/>
      <c r="CAJ11" s="5"/>
      <c r="CAK11" s="5"/>
      <c r="CAL11" s="5"/>
      <c r="CAM11" s="5"/>
      <c r="CAN11" s="5"/>
      <c r="CAO11" s="5"/>
      <c r="CAP11" s="5"/>
      <c r="CAQ11" s="5"/>
      <c r="CAR11" s="5"/>
      <c r="CAS11" s="5"/>
      <c r="CAT11" s="5"/>
      <c r="CAU11" s="5"/>
      <c r="CAV11" s="5"/>
      <c r="CAW11" s="5"/>
      <c r="CAX11" s="5"/>
      <c r="CAY11" s="5"/>
      <c r="CAZ11" s="5"/>
      <c r="CBA11" s="5"/>
      <c r="CBB11" s="5"/>
      <c r="CBC11" s="5"/>
      <c r="CBD11" s="5"/>
      <c r="CBE11" s="5"/>
      <c r="CBF11" s="5"/>
      <c r="CBG11" s="5"/>
      <c r="CBH11" s="5"/>
      <c r="CBI11" s="5"/>
      <c r="CBJ11" s="5"/>
      <c r="CBK11" s="5"/>
      <c r="CBL11" s="5"/>
      <c r="CBM11" s="5"/>
      <c r="CBN11" s="5"/>
      <c r="CBO11" s="5"/>
      <c r="CBP11" s="5"/>
      <c r="CBQ11" s="5"/>
      <c r="CBR11" s="5"/>
      <c r="CBS11" s="5"/>
      <c r="CBT11" s="5"/>
      <c r="CBU11" s="5"/>
      <c r="CBV11" s="5"/>
      <c r="CBW11" s="5"/>
      <c r="CBX11" s="5"/>
      <c r="CBY11" s="5"/>
      <c r="CBZ11" s="5"/>
      <c r="CCA11" s="5"/>
      <c r="CCB11" s="5"/>
      <c r="CCC11" s="5"/>
      <c r="CCD11" s="5"/>
      <c r="CCE11" s="5"/>
      <c r="CCF11" s="5"/>
      <c r="CCG11" s="5"/>
      <c r="CCH11" s="5"/>
      <c r="CCI11" s="5"/>
      <c r="CCJ11" s="5"/>
      <c r="CCK11" s="5"/>
      <c r="CCL11" s="5"/>
      <c r="CCM11" s="5"/>
      <c r="CCN11" s="5"/>
      <c r="CCO11" s="5"/>
      <c r="CCP11" s="5"/>
      <c r="CCQ11" s="5"/>
      <c r="CCR11" s="5"/>
      <c r="CCS11" s="5"/>
      <c r="CCT11" s="5"/>
      <c r="CCU11" s="5"/>
      <c r="CCV11" s="5"/>
      <c r="CCW11" s="5"/>
      <c r="CCX11" s="5"/>
      <c r="CCY11" s="5"/>
      <c r="CCZ11" s="5"/>
      <c r="CDA11" s="5"/>
      <c r="CDB11" s="5"/>
      <c r="CDC11" s="5"/>
      <c r="CDD11" s="5"/>
      <c r="CDE11" s="5"/>
      <c r="CDF11" s="5"/>
      <c r="CDG11" s="5"/>
      <c r="CDH11" s="5"/>
      <c r="CDI11" s="5"/>
      <c r="CDJ11" s="5"/>
      <c r="CDK11" s="5"/>
      <c r="CDL11" s="5"/>
      <c r="CDM11" s="5"/>
      <c r="CDN11" s="5"/>
      <c r="CDO11" s="5"/>
      <c r="CDP11" s="5"/>
      <c r="CDQ11" s="5"/>
      <c r="CDR11" s="5"/>
      <c r="CDS11" s="5"/>
      <c r="CDT11" s="5"/>
      <c r="CDU11" s="5"/>
      <c r="CDV11" s="5"/>
      <c r="CDW11" s="5"/>
      <c r="CDX11" s="5"/>
      <c r="CDY11" s="5"/>
      <c r="CDZ11" s="5"/>
      <c r="CEA11" s="5"/>
      <c r="CEB11" s="5"/>
      <c r="CEC11" s="5"/>
      <c r="CED11" s="5"/>
      <c r="CEE11" s="5"/>
      <c r="CEF11" s="5"/>
      <c r="CEG11" s="5"/>
      <c r="CEH11" s="5"/>
      <c r="CEI11" s="5"/>
      <c r="CEJ11" s="5"/>
      <c r="CEK11" s="5"/>
      <c r="CEL11" s="5"/>
      <c r="CEM11" s="5"/>
      <c r="CEN11" s="5"/>
      <c r="CEO11" s="5"/>
      <c r="CEP11" s="5"/>
      <c r="CEQ11" s="5"/>
      <c r="CER11" s="5"/>
      <c r="CES11" s="5"/>
      <c r="CET11" s="5"/>
      <c r="CEU11" s="5"/>
      <c r="CEV11" s="5"/>
      <c r="CEW11" s="5"/>
      <c r="CEX11" s="5"/>
      <c r="CEY11" s="5"/>
      <c r="CEZ11" s="5"/>
      <c r="CFA11" s="5"/>
      <c r="CFB11" s="5"/>
      <c r="CFC11" s="5"/>
      <c r="CFD11" s="5"/>
      <c r="CFE11" s="5"/>
      <c r="CFF11" s="5"/>
      <c r="CFG11" s="5"/>
      <c r="CFH11" s="5"/>
      <c r="CFI11" s="5"/>
      <c r="CFJ11" s="5"/>
      <c r="CFK11" s="5"/>
      <c r="CFL11" s="5"/>
      <c r="CFM11" s="5"/>
      <c r="CFN11" s="5"/>
      <c r="CFO11" s="5"/>
      <c r="CFP11" s="5"/>
      <c r="CFQ11" s="5"/>
      <c r="CFR11" s="5"/>
      <c r="CFS11" s="5"/>
      <c r="CFT11" s="5"/>
      <c r="CFU11" s="5"/>
      <c r="CFV11" s="5"/>
      <c r="CFW11" s="5"/>
      <c r="CFX11" s="5"/>
      <c r="CFY11" s="5"/>
      <c r="CFZ11" s="5"/>
      <c r="CGA11" s="5"/>
      <c r="CGB11" s="5"/>
      <c r="CGC11" s="5"/>
      <c r="CGD11" s="5"/>
      <c r="CGE11" s="5"/>
      <c r="CGF11" s="5"/>
      <c r="CGG11" s="5"/>
      <c r="CGH11" s="5"/>
      <c r="CGI11" s="5"/>
      <c r="CGJ11" s="5"/>
      <c r="CGK11" s="5"/>
      <c r="CGL11" s="5"/>
      <c r="CGM11" s="5"/>
      <c r="CGN11" s="5"/>
      <c r="CGO11" s="5"/>
      <c r="CGP11" s="5"/>
      <c r="CGQ11" s="5"/>
      <c r="CGR11" s="5"/>
      <c r="CGS11" s="5"/>
      <c r="CGT11" s="5"/>
      <c r="CGU11" s="5"/>
      <c r="CGV11" s="5"/>
      <c r="CGW11" s="5"/>
      <c r="CGX11" s="5"/>
      <c r="CGY11" s="5"/>
      <c r="CGZ11" s="5"/>
      <c r="CHA11" s="5"/>
      <c r="CHB11" s="5"/>
      <c r="CHC11" s="5"/>
      <c r="CHD11" s="5"/>
      <c r="CHE11" s="5"/>
      <c r="CHF11" s="5"/>
      <c r="CHG11" s="5"/>
      <c r="CHH11" s="5"/>
      <c r="CHI11" s="5"/>
      <c r="CHJ11" s="5"/>
      <c r="CHK11" s="5"/>
      <c r="CHL11" s="5"/>
      <c r="CHM11" s="5"/>
      <c r="CHN11" s="5"/>
      <c r="CHO11" s="5"/>
      <c r="CHP11" s="5"/>
      <c r="CHQ11" s="5"/>
      <c r="CHR11" s="5"/>
      <c r="CHS11" s="5"/>
      <c r="CHT11" s="5"/>
      <c r="CHU11" s="5"/>
      <c r="CHV11" s="5"/>
      <c r="CHW11" s="5"/>
      <c r="CHX11" s="5"/>
      <c r="CHY11" s="5"/>
      <c r="CHZ11" s="5"/>
      <c r="CIA11" s="5"/>
      <c r="CIB11" s="5"/>
      <c r="CIC11" s="5"/>
      <c r="CID11" s="5"/>
      <c r="CIE11" s="5"/>
      <c r="CIF11" s="5"/>
      <c r="CIG11" s="5"/>
      <c r="CIH11" s="5"/>
      <c r="CII11" s="5"/>
      <c r="CIJ11" s="5"/>
      <c r="CIK11" s="5"/>
      <c r="CIL11" s="5"/>
      <c r="CIM11" s="5"/>
      <c r="CIN11" s="5"/>
      <c r="CIO11" s="5"/>
      <c r="CIP11" s="5"/>
      <c r="CIQ11" s="5"/>
      <c r="CIR11" s="5"/>
      <c r="CIS11" s="5"/>
      <c r="CIT11" s="5"/>
      <c r="CIU11" s="5"/>
      <c r="CIV11" s="5"/>
      <c r="CIW11" s="5"/>
      <c r="CIX11" s="5"/>
      <c r="CIY11" s="5"/>
      <c r="CIZ11" s="5"/>
      <c r="CJA11" s="5"/>
      <c r="CJB11" s="5"/>
      <c r="CJC11" s="5"/>
      <c r="CJD11" s="5"/>
      <c r="CJE11" s="5"/>
      <c r="CJF11" s="5"/>
      <c r="CJG11" s="5"/>
      <c r="CJH11" s="5"/>
      <c r="CJI11" s="5"/>
      <c r="CJJ11" s="5"/>
      <c r="CJK11" s="5"/>
      <c r="CJL11" s="5"/>
      <c r="CJM11" s="5"/>
      <c r="CJN11" s="5"/>
      <c r="CJO11" s="5"/>
      <c r="CJP11" s="5"/>
      <c r="CJQ11" s="5"/>
      <c r="CJR11" s="5"/>
      <c r="CJS11" s="5"/>
      <c r="CJT11" s="5"/>
      <c r="CJU11" s="5"/>
      <c r="CJV11" s="5"/>
      <c r="CJW11" s="5"/>
      <c r="CJX11" s="5"/>
      <c r="CJY11" s="5"/>
      <c r="CJZ11" s="5"/>
      <c r="CKA11" s="5"/>
      <c r="CKB11" s="5"/>
      <c r="CKC11" s="5"/>
      <c r="CKD11" s="5"/>
      <c r="CKE11" s="5"/>
      <c r="CKF11" s="5"/>
      <c r="CKG11" s="5"/>
      <c r="CKH11" s="5"/>
      <c r="CKI11" s="5"/>
      <c r="CKJ11" s="5"/>
      <c r="CKK11" s="5"/>
      <c r="CKL11" s="5"/>
      <c r="CKM11" s="5"/>
      <c r="CKN11" s="5"/>
      <c r="CKO11" s="5"/>
      <c r="CKP11" s="5"/>
      <c r="CKQ11" s="5"/>
      <c r="CKR11" s="5"/>
      <c r="CKS11" s="5"/>
      <c r="CKT11" s="5"/>
      <c r="CKU11" s="5"/>
      <c r="CKV11" s="5"/>
      <c r="CKW11" s="5"/>
      <c r="CKX11" s="5"/>
      <c r="CKY11" s="5"/>
      <c r="CKZ11" s="5"/>
      <c r="CLA11" s="5"/>
      <c r="CLB11" s="5"/>
      <c r="CLC11" s="5"/>
      <c r="CLD11" s="5"/>
      <c r="CLE11" s="5"/>
      <c r="CLF11" s="5"/>
      <c r="CLG11" s="5"/>
      <c r="CLH11" s="5"/>
      <c r="CLI11" s="5"/>
      <c r="CLJ11" s="5"/>
      <c r="CLK11" s="5"/>
      <c r="CLL11" s="5"/>
      <c r="CLM11" s="5"/>
      <c r="CLN11" s="5"/>
      <c r="CLO11" s="5"/>
      <c r="CLP11" s="5"/>
      <c r="CLQ11" s="5"/>
      <c r="CLR11" s="5"/>
      <c r="CLS11" s="5"/>
      <c r="CLT11" s="5"/>
      <c r="CLU11" s="5"/>
      <c r="CLV11" s="5"/>
      <c r="CLW11" s="5"/>
      <c r="CLX11" s="5"/>
      <c r="CLY11" s="5"/>
      <c r="CLZ11" s="5"/>
      <c r="CMA11" s="5"/>
      <c r="CMB11" s="5"/>
      <c r="CMC11" s="5"/>
      <c r="CMD11" s="5"/>
      <c r="CME11" s="5"/>
      <c r="CMF11" s="5"/>
      <c r="CMG11" s="5"/>
      <c r="CMH11" s="5"/>
      <c r="CMI11" s="5"/>
      <c r="CMJ11" s="5"/>
      <c r="CMK11" s="5"/>
      <c r="CML11" s="5"/>
      <c r="CMM11" s="5"/>
      <c r="CMN11" s="5"/>
      <c r="CMO11" s="5"/>
      <c r="CMP11" s="5"/>
      <c r="CMQ11" s="5"/>
      <c r="CMR11" s="5"/>
      <c r="CMS11" s="5"/>
      <c r="CMT11" s="5"/>
      <c r="CMU11" s="5"/>
      <c r="CMV11" s="5"/>
      <c r="CMW11" s="5"/>
      <c r="CMX11" s="5"/>
      <c r="CMY11" s="5"/>
      <c r="CMZ11" s="5"/>
      <c r="CNA11" s="5"/>
      <c r="CNB11" s="5"/>
      <c r="CNC11" s="5"/>
      <c r="CND11" s="5"/>
      <c r="CNE11" s="5"/>
      <c r="CNF11" s="5"/>
      <c r="CNG11" s="5"/>
      <c r="CNH11" s="5"/>
      <c r="CNI11" s="5"/>
      <c r="CNJ11" s="5"/>
      <c r="CNK11" s="5"/>
      <c r="CNL11" s="5"/>
      <c r="CNM11" s="5"/>
      <c r="CNN11" s="5"/>
      <c r="CNO11" s="5"/>
      <c r="CNP11" s="5"/>
      <c r="CNQ11" s="5"/>
      <c r="CNR11" s="5"/>
      <c r="CNS11" s="5"/>
      <c r="CNT11" s="5"/>
      <c r="CNU11" s="5"/>
      <c r="CNV11" s="5"/>
      <c r="CNW11" s="5"/>
      <c r="CNX11" s="5"/>
      <c r="CNY11" s="5"/>
      <c r="CNZ11" s="5"/>
      <c r="COA11" s="5"/>
      <c r="COB11" s="5"/>
      <c r="COC11" s="5"/>
      <c r="COD11" s="5"/>
      <c r="COE11" s="5"/>
      <c r="COF11" s="5"/>
      <c r="COG11" s="5"/>
      <c r="COH11" s="5"/>
      <c r="COI11" s="5"/>
      <c r="COJ11" s="5"/>
      <c r="COK11" s="5"/>
      <c r="COL11" s="5"/>
      <c r="COM11" s="5"/>
      <c r="CON11" s="5"/>
      <c r="COO11" s="5"/>
      <c r="COP11" s="5"/>
      <c r="COQ11" s="5"/>
      <c r="COR11" s="5"/>
      <c r="COS11" s="5"/>
      <c r="COT11" s="5"/>
      <c r="COU11" s="5"/>
      <c r="COV11" s="5"/>
      <c r="COW11" s="5"/>
      <c r="COX11" s="5"/>
      <c r="COY11" s="5"/>
      <c r="COZ11" s="5"/>
      <c r="CPA11" s="5"/>
      <c r="CPB11" s="5"/>
      <c r="CPC11" s="5"/>
      <c r="CPD11" s="5"/>
      <c r="CPE11" s="5"/>
      <c r="CPF11" s="5"/>
      <c r="CPG11" s="5"/>
      <c r="CPH11" s="5"/>
      <c r="CPI11" s="5"/>
      <c r="CPJ11" s="5"/>
      <c r="CPK11" s="5"/>
      <c r="CPL11" s="5"/>
      <c r="CPM11" s="5"/>
      <c r="CPN11" s="5"/>
      <c r="CPO11" s="5"/>
      <c r="CPP11" s="5"/>
      <c r="CPQ11" s="5"/>
      <c r="CPR11" s="5"/>
      <c r="CPS11" s="5"/>
      <c r="CPT11" s="5"/>
      <c r="CPU11" s="5"/>
      <c r="CPV11" s="5"/>
      <c r="CPW11" s="5"/>
      <c r="CPX11" s="5"/>
      <c r="CPY11" s="5"/>
      <c r="CPZ11" s="5"/>
      <c r="CQA11" s="5"/>
      <c r="CQB11" s="5"/>
      <c r="CQC11" s="5"/>
      <c r="CQD11" s="5"/>
      <c r="CQE11" s="5"/>
      <c r="CQF11" s="5"/>
      <c r="CQG11" s="5"/>
      <c r="CQH11" s="5"/>
      <c r="CQI11" s="5"/>
      <c r="CQJ11" s="5"/>
      <c r="CQK11" s="5"/>
      <c r="CQL11" s="5"/>
      <c r="CQM11" s="5"/>
      <c r="CQN11" s="5"/>
      <c r="CQO11" s="5"/>
      <c r="CQP11" s="5"/>
      <c r="CQQ11" s="5"/>
      <c r="CQR11" s="5"/>
      <c r="CQS11" s="5"/>
      <c r="CQT11" s="5"/>
      <c r="CQU11" s="5"/>
      <c r="CQV11" s="5"/>
      <c r="CQW11" s="5"/>
      <c r="CQX11" s="5"/>
      <c r="CQY11" s="5"/>
      <c r="CQZ11" s="5"/>
      <c r="CRA11" s="5"/>
      <c r="CRB11" s="5"/>
      <c r="CRC11" s="5"/>
      <c r="CRD11" s="5"/>
      <c r="CRE11" s="5"/>
      <c r="CRF11" s="5"/>
      <c r="CRG11" s="5"/>
      <c r="CRH11" s="5"/>
      <c r="CRI11" s="5"/>
      <c r="CRJ11" s="5"/>
      <c r="CRK11" s="5"/>
      <c r="CRL11" s="5"/>
      <c r="CRM11" s="5"/>
      <c r="CRN11" s="5"/>
      <c r="CRO11" s="5"/>
      <c r="CRP11" s="5"/>
      <c r="CRQ11" s="5"/>
      <c r="CRR11" s="5"/>
      <c r="CRS11" s="5"/>
      <c r="CRT11" s="5"/>
      <c r="CRU11" s="5"/>
      <c r="CRV11" s="5"/>
      <c r="CRW11" s="5"/>
      <c r="CRX11" s="5"/>
      <c r="CRY11" s="5"/>
      <c r="CRZ11" s="5"/>
      <c r="CSA11" s="5"/>
      <c r="CSB11" s="5"/>
      <c r="CSC11" s="5"/>
      <c r="CSD11" s="5"/>
      <c r="CSE11" s="5"/>
      <c r="CSF11" s="5"/>
      <c r="CSG11" s="5"/>
      <c r="CSH11" s="5"/>
      <c r="CSI11" s="5"/>
      <c r="CSJ11" s="5"/>
      <c r="CSK11" s="5"/>
      <c r="CSL11" s="5"/>
      <c r="CSM11" s="5"/>
      <c r="CSN11" s="5"/>
      <c r="CSO11" s="5"/>
      <c r="CSP11" s="5"/>
      <c r="CSQ11" s="5"/>
      <c r="CSR11" s="5"/>
      <c r="CSS11" s="5"/>
      <c r="CST11" s="5"/>
      <c r="CSU11" s="5"/>
      <c r="CSV11" s="5"/>
      <c r="CSW11" s="5"/>
      <c r="CSX11" s="5"/>
      <c r="CSY11" s="5"/>
      <c r="CSZ11" s="5"/>
      <c r="CTA11" s="5"/>
      <c r="CTB11" s="5"/>
      <c r="CTC11" s="5"/>
      <c r="CTD11" s="5"/>
      <c r="CTE11" s="5"/>
      <c r="CTF11" s="5"/>
      <c r="CTG11" s="5"/>
      <c r="CTH11" s="5"/>
      <c r="CTI11" s="5"/>
      <c r="CTJ11" s="5"/>
      <c r="CTK11" s="5"/>
      <c r="CTL11" s="5"/>
      <c r="CTM11" s="5"/>
      <c r="CTN11" s="5"/>
      <c r="CTO11" s="5"/>
      <c r="CTP11" s="5"/>
      <c r="CTQ11" s="5"/>
      <c r="CTR11" s="5"/>
      <c r="CTS11" s="5"/>
      <c r="CTT11" s="5"/>
      <c r="CTU11" s="5"/>
      <c r="CTV11" s="5"/>
      <c r="CTW11" s="5"/>
      <c r="CTX11" s="5"/>
      <c r="CTY11" s="5"/>
      <c r="CTZ11" s="5"/>
      <c r="CUA11" s="5"/>
      <c r="CUB11" s="5"/>
      <c r="CUC11" s="5"/>
      <c r="CUD11" s="5"/>
      <c r="CUE11" s="5"/>
      <c r="CUF11" s="5"/>
      <c r="CUG11" s="5"/>
      <c r="CUH11" s="5"/>
      <c r="CUI11" s="5"/>
      <c r="CUJ11" s="5"/>
      <c r="CUK11" s="5"/>
      <c r="CUL11" s="5"/>
      <c r="CUM11" s="5"/>
      <c r="CUN11" s="5"/>
      <c r="CUO11" s="5"/>
      <c r="CUP11" s="5"/>
      <c r="CUQ11" s="5"/>
      <c r="CUR11" s="5"/>
      <c r="CUS11" s="5"/>
      <c r="CUT11" s="5"/>
      <c r="CUU11" s="5"/>
      <c r="CUV11" s="5"/>
      <c r="CUW11" s="5"/>
      <c r="CUX11" s="5"/>
      <c r="CUY11" s="5"/>
      <c r="CUZ11" s="5"/>
      <c r="CVA11" s="5"/>
      <c r="CVB11" s="5"/>
      <c r="CVC11" s="5"/>
      <c r="CVD11" s="5"/>
      <c r="CVE11" s="5"/>
      <c r="CVF11" s="5"/>
      <c r="CVG11" s="5"/>
      <c r="CVH11" s="5"/>
      <c r="CVI11" s="5"/>
      <c r="CVJ11" s="5"/>
      <c r="CVK11" s="5"/>
      <c r="CVL11" s="5"/>
      <c r="CVM11" s="5"/>
      <c r="CVN11" s="5"/>
      <c r="CVO11" s="5"/>
      <c r="CVP11" s="5"/>
      <c r="CVQ11" s="5"/>
      <c r="CVR11" s="5"/>
      <c r="CVS11" s="5"/>
      <c r="CVT11" s="5"/>
      <c r="CVU11" s="5"/>
      <c r="CVV11" s="5"/>
      <c r="CVW11" s="5"/>
      <c r="CVX11" s="5"/>
      <c r="CVY11" s="5"/>
      <c r="CVZ11" s="5"/>
      <c r="CWA11" s="5"/>
      <c r="CWB11" s="5"/>
      <c r="CWC11" s="5"/>
      <c r="CWD11" s="5"/>
      <c r="CWE11" s="5"/>
      <c r="CWF11" s="5"/>
      <c r="CWG11" s="5"/>
      <c r="CWH11" s="5"/>
      <c r="CWI11" s="5"/>
      <c r="CWJ11" s="5"/>
      <c r="CWK11" s="5"/>
      <c r="CWL11" s="5"/>
      <c r="CWM11" s="5"/>
      <c r="CWN11" s="5"/>
      <c r="CWO11" s="5"/>
      <c r="CWP11" s="5"/>
      <c r="CWQ11" s="5"/>
      <c r="CWR11" s="5"/>
      <c r="CWS11" s="5"/>
      <c r="CWT11" s="5"/>
      <c r="CWU11" s="5"/>
      <c r="CWV11" s="5"/>
      <c r="CWW11" s="5"/>
      <c r="CWX11" s="5"/>
      <c r="CWY11" s="5"/>
      <c r="CWZ11" s="5"/>
      <c r="CXA11" s="5"/>
      <c r="CXB11" s="5"/>
      <c r="CXC11" s="5"/>
      <c r="CXD11" s="5"/>
      <c r="CXE11" s="5"/>
      <c r="CXF11" s="5"/>
      <c r="CXG11" s="5"/>
      <c r="CXH11" s="5"/>
      <c r="CXI11" s="5"/>
      <c r="CXJ11" s="5"/>
      <c r="CXK11" s="5"/>
      <c r="CXL11" s="5"/>
      <c r="CXM11" s="5"/>
      <c r="CXN11" s="5"/>
      <c r="CXO11" s="5"/>
      <c r="CXP11" s="5"/>
      <c r="CXQ11" s="5"/>
      <c r="CXR11" s="5"/>
      <c r="CXS11" s="5"/>
      <c r="CXT11" s="5"/>
      <c r="CXU11" s="5"/>
      <c r="CXV11" s="5"/>
      <c r="CXW11" s="5"/>
      <c r="CXX11" s="5"/>
      <c r="CXY11" s="5"/>
      <c r="CXZ11" s="5"/>
      <c r="CYA11" s="5"/>
      <c r="CYB11" s="5"/>
      <c r="CYC11" s="5"/>
      <c r="CYD11" s="5"/>
      <c r="CYE11" s="5"/>
      <c r="CYF11" s="5"/>
      <c r="CYG11" s="5"/>
      <c r="CYH11" s="5"/>
      <c r="CYI11" s="5"/>
      <c r="CYJ11" s="5"/>
      <c r="CYK11" s="5"/>
      <c r="CYL11" s="5"/>
      <c r="CYM11" s="5"/>
      <c r="CYN11" s="5"/>
      <c r="CYO11" s="5"/>
      <c r="CYP11" s="5"/>
      <c r="CYQ11" s="5"/>
      <c r="CYR11" s="5"/>
      <c r="CYS11" s="5"/>
      <c r="CYT11" s="5"/>
      <c r="CYU11" s="5"/>
      <c r="CYV11" s="5"/>
      <c r="CYW11" s="5"/>
      <c r="CYX11" s="5"/>
      <c r="CYY11" s="5"/>
      <c r="CYZ11" s="5"/>
      <c r="CZA11" s="5"/>
      <c r="CZB11" s="5"/>
      <c r="CZC11" s="5"/>
      <c r="CZD11" s="5"/>
      <c r="CZE11" s="5"/>
      <c r="CZF11" s="5"/>
      <c r="CZG11" s="5"/>
      <c r="CZH11" s="5"/>
      <c r="CZI11" s="5"/>
      <c r="CZJ11" s="5"/>
      <c r="CZK11" s="5"/>
      <c r="CZL11" s="5"/>
      <c r="CZM11" s="5"/>
      <c r="CZN11" s="5"/>
      <c r="CZO11" s="5"/>
      <c r="CZP11" s="5"/>
      <c r="CZQ11" s="5"/>
      <c r="CZR11" s="5"/>
      <c r="CZS11" s="5"/>
      <c r="CZT11" s="5"/>
      <c r="CZU11" s="5"/>
      <c r="CZV11" s="5"/>
      <c r="CZW11" s="5"/>
      <c r="CZX11" s="5"/>
      <c r="CZY11" s="5"/>
      <c r="CZZ11" s="5"/>
      <c r="DAA11" s="5"/>
      <c r="DAB11" s="5"/>
      <c r="DAC11" s="5"/>
      <c r="DAD11" s="5"/>
      <c r="DAE11" s="5"/>
      <c r="DAF11" s="5"/>
      <c r="DAG11" s="5"/>
      <c r="DAH11" s="5"/>
      <c r="DAI11" s="5"/>
      <c r="DAJ11" s="5"/>
      <c r="DAK11" s="5"/>
      <c r="DAL11" s="5"/>
      <c r="DAM11" s="5"/>
      <c r="DAN11" s="5"/>
      <c r="DAO11" s="5"/>
      <c r="DAP11" s="5"/>
      <c r="DAQ11" s="5"/>
      <c r="DAR11" s="5"/>
      <c r="DAS11" s="5"/>
      <c r="DAT11" s="5"/>
      <c r="DAU11" s="5"/>
      <c r="DAV11" s="5"/>
      <c r="DAW11" s="5"/>
      <c r="DAX11" s="5"/>
      <c r="DAY11" s="5"/>
      <c r="DAZ11" s="5"/>
      <c r="DBA11" s="5"/>
      <c r="DBB11" s="5"/>
      <c r="DBC11" s="5"/>
      <c r="DBD11" s="5"/>
      <c r="DBE11" s="5"/>
      <c r="DBF11" s="5"/>
      <c r="DBG11" s="5"/>
    </row>
    <row r="12" spans="1:2763" ht="16.5" customHeight="1" x14ac:dyDescent="0.25">
      <c r="A12" s="14">
        <v>33</v>
      </c>
      <c r="B12" s="26">
        <v>2.25</v>
      </c>
      <c r="C12" s="152" t="s">
        <v>19</v>
      </c>
      <c r="D12" s="9"/>
      <c r="E12" s="9"/>
      <c r="F12" s="166"/>
      <c r="G12" s="9"/>
      <c r="H12" s="9"/>
      <c r="I12" s="9"/>
      <c r="J12" s="9"/>
      <c r="K12" s="9"/>
      <c r="L12" s="9"/>
      <c r="M12" s="9"/>
      <c r="N12" s="9"/>
      <c r="O12" s="9"/>
      <c r="P12" s="9"/>
      <c r="Q12" s="6"/>
      <c r="R12" s="9"/>
      <c r="S12" s="9"/>
      <c r="T12" s="9"/>
      <c r="U12" s="167"/>
      <c r="V12" s="9"/>
      <c r="W12" s="9"/>
      <c r="X12" s="9"/>
      <c r="Y12" s="9"/>
      <c r="Z12" s="9"/>
      <c r="AA12" s="9"/>
      <c r="AB12" s="11"/>
      <c r="AC12" s="11"/>
      <c r="AD12" s="11"/>
      <c r="AE12" s="163"/>
      <c r="AF12" s="162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</row>
    <row r="13" spans="1:2763" s="4" customFormat="1" ht="16.5" customHeight="1" x14ac:dyDescent="0.25">
      <c r="A13" s="14">
        <v>34</v>
      </c>
      <c r="B13" s="27">
        <v>2.04</v>
      </c>
      <c r="C13" s="152" t="s">
        <v>20</v>
      </c>
      <c r="D13" s="9"/>
      <c r="E13" s="9"/>
      <c r="F13" s="166"/>
      <c r="G13" s="9"/>
      <c r="H13" s="9"/>
      <c r="I13" s="9"/>
      <c r="J13" s="9"/>
      <c r="K13" s="9">
        <v>12</v>
      </c>
      <c r="L13" s="9">
        <v>15</v>
      </c>
      <c r="M13" s="9"/>
      <c r="N13" s="9"/>
      <c r="O13" s="9"/>
      <c r="P13" s="9"/>
      <c r="Q13" s="6"/>
      <c r="R13" s="9">
        <v>30</v>
      </c>
      <c r="S13" s="9"/>
      <c r="T13" s="9">
        <v>20</v>
      </c>
      <c r="U13" s="167"/>
      <c r="V13" s="9"/>
      <c r="W13" s="9"/>
      <c r="X13" s="9">
        <v>21</v>
      </c>
      <c r="Y13" s="9"/>
      <c r="Z13" s="9">
        <v>26</v>
      </c>
      <c r="AA13" s="9"/>
      <c r="AB13" s="11"/>
      <c r="AC13" s="11"/>
      <c r="AD13" s="11"/>
      <c r="AE13" s="111"/>
      <c r="AF13" s="162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</row>
    <row r="14" spans="1:2763" ht="16.5" customHeight="1" x14ac:dyDescent="0.25">
      <c r="A14" s="14">
        <v>35</v>
      </c>
      <c r="B14" s="27">
        <v>2.37</v>
      </c>
      <c r="C14" s="152" t="s">
        <v>13</v>
      </c>
      <c r="D14" s="9"/>
      <c r="E14" s="9"/>
      <c r="F14" s="166"/>
      <c r="G14" s="9"/>
      <c r="H14" s="9"/>
      <c r="I14" s="9"/>
      <c r="J14" s="9"/>
      <c r="K14" s="9">
        <v>38</v>
      </c>
      <c r="L14" s="9"/>
      <c r="M14" s="9"/>
      <c r="N14" s="9"/>
      <c r="O14" s="9"/>
      <c r="P14" s="9"/>
      <c r="Q14" s="6">
        <v>44</v>
      </c>
      <c r="R14" s="9"/>
      <c r="S14" s="9"/>
      <c r="T14" s="9"/>
      <c r="U14" s="167"/>
      <c r="V14" s="9"/>
      <c r="W14" s="9">
        <v>20</v>
      </c>
      <c r="X14" s="9"/>
      <c r="Y14" s="9"/>
      <c r="Z14" s="9"/>
      <c r="AA14" s="9"/>
      <c r="AB14" s="11"/>
      <c r="AC14" s="11"/>
      <c r="AD14" s="11"/>
      <c r="AE14" s="163"/>
      <c r="AF14" s="162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  <c r="AMK14" s="5"/>
      <c r="AML14" s="5"/>
      <c r="AMM14" s="5"/>
      <c r="AMN14" s="5"/>
      <c r="AMO14" s="5"/>
      <c r="AMP14" s="5"/>
      <c r="AMQ14" s="5"/>
      <c r="AMR14" s="5"/>
      <c r="AMS14" s="5"/>
      <c r="AMT14" s="5"/>
      <c r="AMU14" s="5"/>
      <c r="AMV14" s="5"/>
      <c r="AMW14" s="5"/>
      <c r="AMX14" s="5"/>
      <c r="AMY14" s="5"/>
      <c r="AMZ14" s="5"/>
      <c r="ANA14" s="5"/>
      <c r="ANB14" s="5"/>
      <c r="ANC14" s="5"/>
      <c r="AND14" s="5"/>
      <c r="ANE14" s="5"/>
      <c r="ANF14" s="5"/>
      <c r="ANG14" s="5"/>
      <c r="ANH14" s="5"/>
      <c r="ANI14" s="5"/>
      <c r="ANJ14" s="5"/>
      <c r="ANK14" s="5"/>
      <c r="ANL14" s="5"/>
      <c r="ANM14" s="5"/>
      <c r="ANN14" s="5"/>
      <c r="ANO14" s="5"/>
      <c r="ANP14" s="5"/>
      <c r="ANQ14" s="5"/>
      <c r="ANR14" s="5"/>
      <c r="ANS14" s="5"/>
      <c r="ANT14" s="5"/>
      <c r="ANU14" s="5"/>
      <c r="ANV14" s="5"/>
      <c r="ANW14" s="5"/>
      <c r="ANX14" s="5"/>
      <c r="ANY14" s="5"/>
      <c r="ANZ14" s="5"/>
      <c r="AOA14" s="5"/>
      <c r="AOB14" s="5"/>
      <c r="AOC14" s="5"/>
      <c r="AOD14" s="5"/>
      <c r="AOE14" s="5"/>
      <c r="AOF14" s="5"/>
      <c r="AOG14" s="5"/>
      <c r="AOH14" s="5"/>
      <c r="AOI14" s="5"/>
      <c r="AOJ14" s="5"/>
      <c r="AOK14" s="5"/>
      <c r="AOL14" s="5"/>
      <c r="AOM14" s="5"/>
      <c r="AON14" s="5"/>
      <c r="AOO14" s="5"/>
      <c r="AOP14" s="5"/>
      <c r="AOQ14" s="5"/>
      <c r="AOR14" s="5"/>
      <c r="AOS14" s="5"/>
      <c r="AOT14" s="5"/>
      <c r="AOU14" s="5"/>
      <c r="AOV14" s="5"/>
      <c r="AOW14" s="5"/>
      <c r="AOX14" s="5"/>
      <c r="AOY14" s="5"/>
      <c r="AOZ14" s="5"/>
      <c r="APA14" s="5"/>
      <c r="APB14" s="5"/>
      <c r="APC14" s="5"/>
      <c r="APD14" s="5"/>
      <c r="APE14" s="5"/>
      <c r="APF14" s="5"/>
      <c r="APG14" s="5"/>
      <c r="APH14" s="5"/>
      <c r="API14" s="5"/>
      <c r="APJ14" s="5"/>
      <c r="APK14" s="5"/>
      <c r="APL14" s="5"/>
      <c r="APM14" s="5"/>
      <c r="APN14" s="5"/>
      <c r="APO14" s="5"/>
      <c r="APP14" s="5"/>
      <c r="APQ14" s="5"/>
      <c r="APR14" s="5"/>
      <c r="APS14" s="5"/>
      <c r="APT14" s="5"/>
      <c r="APU14" s="5"/>
      <c r="APV14" s="5"/>
      <c r="APW14" s="5"/>
      <c r="APX14" s="5"/>
      <c r="APY14" s="5"/>
      <c r="APZ14" s="5"/>
      <c r="AQA14" s="5"/>
      <c r="AQB14" s="5"/>
      <c r="AQC14" s="5"/>
      <c r="AQD14" s="5"/>
      <c r="AQE14" s="5"/>
      <c r="AQF14" s="5"/>
      <c r="AQG14" s="5"/>
      <c r="AQH14" s="5"/>
      <c r="AQI14" s="5"/>
      <c r="AQJ14" s="5"/>
      <c r="AQK14" s="5"/>
      <c r="AQL14" s="5"/>
      <c r="AQM14" s="5"/>
      <c r="AQN14" s="5"/>
      <c r="AQO14" s="5"/>
      <c r="AQP14" s="5"/>
      <c r="AQQ14" s="5"/>
      <c r="AQR14" s="5"/>
      <c r="AQS14" s="5"/>
      <c r="AQT14" s="5"/>
      <c r="AQU14" s="5"/>
      <c r="AQV14" s="5"/>
      <c r="AQW14" s="5"/>
      <c r="AQX14" s="5"/>
      <c r="AQY14" s="5"/>
      <c r="AQZ14" s="5"/>
      <c r="ARA14" s="5"/>
      <c r="ARB14" s="5"/>
      <c r="ARC14" s="5"/>
      <c r="ARD14" s="5"/>
      <c r="ARE14" s="5"/>
      <c r="ARF14" s="5"/>
      <c r="ARG14" s="5"/>
      <c r="ARH14" s="5"/>
      <c r="ARI14" s="5"/>
      <c r="ARJ14" s="5"/>
      <c r="ARK14" s="5"/>
      <c r="ARL14" s="5"/>
      <c r="ARM14" s="5"/>
      <c r="ARN14" s="5"/>
      <c r="ARO14" s="5"/>
      <c r="ARP14" s="5"/>
      <c r="ARQ14" s="5"/>
      <c r="ARR14" s="5"/>
      <c r="ARS14" s="5"/>
      <c r="ART14" s="5"/>
      <c r="ARU14" s="5"/>
      <c r="ARV14" s="5"/>
      <c r="ARW14" s="5"/>
      <c r="ARX14" s="5"/>
      <c r="ARY14" s="5"/>
      <c r="ARZ14" s="5"/>
      <c r="ASA14" s="5"/>
      <c r="ASB14" s="5"/>
      <c r="ASC14" s="5"/>
      <c r="ASD14" s="5"/>
      <c r="ASE14" s="5"/>
      <c r="ASF14" s="5"/>
      <c r="ASG14" s="5"/>
      <c r="ASH14" s="5"/>
      <c r="ASI14" s="5"/>
      <c r="ASJ14" s="5"/>
      <c r="ASK14" s="5"/>
      <c r="ASL14" s="5"/>
      <c r="ASM14" s="5"/>
      <c r="ASN14" s="5"/>
      <c r="ASO14" s="5"/>
      <c r="ASP14" s="5"/>
      <c r="ASQ14" s="5"/>
      <c r="ASR14" s="5"/>
      <c r="ASS14" s="5"/>
      <c r="AST14" s="5"/>
      <c r="ASU14" s="5"/>
      <c r="ASV14" s="5"/>
      <c r="ASW14" s="5"/>
      <c r="ASX14" s="5"/>
      <c r="ASY14" s="5"/>
      <c r="ASZ14" s="5"/>
      <c r="ATA14" s="5"/>
      <c r="ATB14" s="5"/>
      <c r="ATC14" s="5"/>
      <c r="ATD14" s="5"/>
      <c r="ATE14" s="5"/>
      <c r="ATF14" s="5"/>
      <c r="ATG14" s="5"/>
      <c r="ATH14" s="5"/>
      <c r="ATI14" s="5"/>
      <c r="ATJ14" s="5"/>
      <c r="ATK14" s="5"/>
      <c r="ATL14" s="5"/>
      <c r="ATM14" s="5"/>
      <c r="ATN14" s="5"/>
      <c r="ATO14" s="5"/>
      <c r="ATP14" s="5"/>
      <c r="ATQ14" s="5"/>
      <c r="ATR14" s="5"/>
      <c r="ATS14" s="5"/>
      <c r="ATT14" s="5"/>
      <c r="ATU14" s="5"/>
      <c r="ATV14" s="5"/>
      <c r="ATW14" s="5"/>
      <c r="ATX14" s="5"/>
      <c r="ATY14" s="5"/>
      <c r="ATZ14" s="5"/>
      <c r="AUA14" s="5"/>
      <c r="AUB14" s="5"/>
      <c r="AUC14" s="5"/>
      <c r="AUD14" s="5"/>
      <c r="AUE14" s="5"/>
      <c r="AUF14" s="5"/>
      <c r="AUG14" s="5"/>
      <c r="AUH14" s="5"/>
      <c r="AUI14" s="5"/>
      <c r="AUJ14" s="5"/>
      <c r="AUK14" s="5"/>
      <c r="AUL14" s="5"/>
      <c r="AUM14" s="5"/>
      <c r="AUN14" s="5"/>
      <c r="AUO14" s="5"/>
      <c r="AUP14" s="5"/>
      <c r="AUQ14" s="5"/>
      <c r="AUR14" s="5"/>
      <c r="AUS14" s="5"/>
      <c r="AUT14" s="5"/>
      <c r="AUU14" s="5"/>
      <c r="AUV14" s="5"/>
      <c r="AUW14" s="5"/>
      <c r="AUX14" s="5"/>
      <c r="AUY14" s="5"/>
      <c r="AUZ14" s="5"/>
      <c r="AVA14" s="5"/>
      <c r="AVB14" s="5"/>
      <c r="AVC14" s="5"/>
      <c r="AVD14" s="5"/>
      <c r="AVE14" s="5"/>
      <c r="AVF14" s="5"/>
      <c r="AVG14" s="5"/>
      <c r="AVH14" s="5"/>
      <c r="AVI14" s="5"/>
      <c r="AVJ14" s="5"/>
      <c r="AVK14" s="5"/>
      <c r="AVL14" s="5"/>
      <c r="AVM14" s="5"/>
      <c r="AVN14" s="5"/>
      <c r="AVO14" s="5"/>
      <c r="AVP14" s="5"/>
      <c r="AVQ14" s="5"/>
      <c r="AVR14" s="5"/>
      <c r="AVS14" s="5"/>
      <c r="AVT14" s="5"/>
      <c r="AVU14" s="5"/>
      <c r="AVV14" s="5"/>
      <c r="AVW14" s="5"/>
      <c r="AVX14" s="5"/>
      <c r="AVY14" s="5"/>
      <c r="AVZ14" s="5"/>
      <c r="AWA14" s="5"/>
      <c r="AWB14" s="5"/>
      <c r="AWC14" s="5"/>
      <c r="AWD14" s="5"/>
      <c r="AWE14" s="5"/>
      <c r="AWF14" s="5"/>
      <c r="AWG14" s="5"/>
      <c r="AWH14" s="5"/>
      <c r="AWI14" s="5"/>
      <c r="AWJ14" s="5"/>
      <c r="AWK14" s="5"/>
      <c r="AWL14" s="5"/>
      <c r="AWM14" s="5"/>
      <c r="AWN14" s="5"/>
      <c r="AWO14" s="5"/>
      <c r="AWP14" s="5"/>
      <c r="AWQ14" s="5"/>
      <c r="AWR14" s="5"/>
      <c r="AWS14" s="5"/>
      <c r="AWT14" s="5"/>
      <c r="AWU14" s="5"/>
      <c r="AWV14" s="5"/>
      <c r="AWW14" s="5"/>
      <c r="AWX14" s="5"/>
      <c r="AWY14" s="5"/>
      <c r="AWZ14" s="5"/>
      <c r="AXA14" s="5"/>
      <c r="AXB14" s="5"/>
      <c r="AXC14" s="5"/>
      <c r="AXD14" s="5"/>
      <c r="AXE14" s="5"/>
      <c r="AXF14" s="5"/>
      <c r="AXG14" s="5"/>
      <c r="AXH14" s="5"/>
      <c r="AXI14" s="5"/>
      <c r="AXJ14" s="5"/>
      <c r="AXK14" s="5"/>
      <c r="AXL14" s="5"/>
      <c r="AXM14" s="5"/>
      <c r="AXN14" s="5"/>
      <c r="AXO14" s="5"/>
      <c r="AXP14" s="5"/>
      <c r="AXQ14" s="5"/>
      <c r="AXR14" s="5"/>
      <c r="AXS14" s="5"/>
      <c r="AXT14" s="5"/>
      <c r="AXU14" s="5"/>
      <c r="AXV14" s="5"/>
      <c r="AXW14" s="5"/>
      <c r="AXX14" s="5"/>
      <c r="AXY14" s="5"/>
      <c r="AXZ14" s="5"/>
      <c r="AYA14" s="5"/>
      <c r="AYB14" s="5"/>
      <c r="AYC14" s="5"/>
      <c r="AYD14" s="5"/>
      <c r="AYE14" s="5"/>
      <c r="AYF14" s="5"/>
      <c r="AYG14" s="5"/>
      <c r="AYH14" s="5"/>
      <c r="AYI14" s="5"/>
      <c r="AYJ14" s="5"/>
      <c r="AYK14" s="5"/>
      <c r="AYL14" s="5"/>
      <c r="AYM14" s="5"/>
      <c r="AYN14" s="5"/>
      <c r="AYO14" s="5"/>
      <c r="AYP14" s="5"/>
      <c r="AYQ14" s="5"/>
      <c r="AYR14" s="5"/>
      <c r="AYS14" s="5"/>
      <c r="AYT14" s="5"/>
      <c r="AYU14" s="5"/>
      <c r="AYV14" s="5"/>
      <c r="AYW14" s="5"/>
      <c r="AYX14" s="5"/>
      <c r="AYY14" s="5"/>
      <c r="AYZ14" s="5"/>
      <c r="AZA14" s="5"/>
      <c r="AZB14" s="5"/>
      <c r="AZC14" s="5"/>
      <c r="AZD14" s="5"/>
      <c r="AZE14" s="5"/>
      <c r="AZF14" s="5"/>
      <c r="AZG14" s="5"/>
      <c r="AZH14" s="5"/>
      <c r="AZI14" s="5"/>
      <c r="AZJ14" s="5"/>
      <c r="AZK14" s="5"/>
      <c r="AZL14" s="5"/>
      <c r="AZM14" s="5"/>
      <c r="AZN14" s="5"/>
      <c r="AZO14" s="5"/>
      <c r="AZP14" s="5"/>
      <c r="AZQ14" s="5"/>
      <c r="AZR14" s="5"/>
      <c r="AZS14" s="5"/>
      <c r="AZT14" s="5"/>
      <c r="AZU14" s="5"/>
      <c r="AZV14" s="5"/>
      <c r="AZW14" s="5"/>
      <c r="AZX14" s="5"/>
      <c r="AZY14" s="5"/>
      <c r="AZZ14" s="5"/>
      <c r="BAA14" s="5"/>
      <c r="BAB14" s="5"/>
      <c r="BAC14" s="5"/>
      <c r="BAD14" s="5"/>
      <c r="BAE14" s="5"/>
      <c r="BAF14" s="5"/>
      <c r="BAG14" s="5"/>
      <c r="BAH14" s="5"/>
      <c r="BAI14" s="5"/>
      <c r="BAJ14" s="5"/>
      <c r="BAK14" s="5"/>
      <c r="BAL14" s="5"/>
      <c r="BAM14" s="5"/>
      <c r="BAN14" s="5"/>
      <c r="BAO14" s="5"/>
      <c r="BAP14" s="5"/>
      <c r="BAQ14" s="5"/>
      <c r="BAR14" s="5"/>
      <c r="BAS14" s="5"/>
      <c r="BAT14" s="5"/>
      <c r="BAU14" s="5"/>
      <c r="BAV14" s="5"/>
      <c r="BAW14" s="5"/>
      <c r="BAX14" s="5"/>
      <c r="BAY14" s="5"/>
      <c r="BAZ14" s="5"/>
      <c r="BBA14" s="5"/>
      <c r="BBB14" s="5"/>
      <c r="BBC14" s="5"/>
      <c r="BBD14" s="5"/>
      <c r="BBE14" s="5"/>
      <c r="BBF14" s="5"/>
      <c r="BBG14" s="5"/>
      <c r="BBH14" s="5"/>
      <c r="BBI14" s="5"/>
      <c r="BBJ14" s="5"/>
      <c r="BBK14" s="5"/>
      <c r="BBL14" s="5"/>
      <c r="BBM14" s="5"/>
      <c r="BBN14" s="5"/>
      <c r="BBO14" s="5"/>
      <c r="BBP14" s="5"/>
      <c r="BBQ14" s="5"/>
      <c r="BBR14" s="5"/>
      <c r="BBS14" s="5"/>
      <c r="BBT14" s="5"/>
      <c r="BBU14" s="5"/>
      <c r="BBV14" s="5"/>
      <c r="BBW14" s="5"/>
      <c r="BBX14" s="5"/>
      <c r="BBY14" s="5"/>
      <c r="BBZ14" s="5"/>
      <c r="BCA14" s="5"/>
      <c r="BCB14" s="5"/>
      <c r="BCC14" s="5"/>
      <c r="BCD14" s="5"/>
      <c r="BCE14" s="5"/>
      <c r="BCF14" s="5"/>
      <c r="BCG14" s="5"/>
      <c r="BCH14" s="5"/>
      <c r="BCI14" s="5"/>
      <c r="BCJ14" s="5"/>
      <c r="BCK14" s="5"/>
      <c r="BCL14" s="5"/>
      <c r="BCM14" s="5"/>
      <c r="BCN14" s="5"/>
      <c r="BCO14" s="5"/>
      <c r="BCP14" s="5"/>
      <c r="BCQ14" s="5"/>
      <c r="BCR14" s="5"/>
      <c r="BCS14" s="5"/>
      <c r="BCT14" s="5"/>
      <c r="BCU14" s="5"/>
      <c r="BCV14" s="5"/>
      <c r="BCW14" s="5"/>
      <c r="BCX14" s="5"/>
      <c r="BCY14" s="5"/>
      <c r="BCZ14" s="5"/>
      <c r="BDA14" s="5"/>
      <c r="BDB14" s="5"/>
      <c r="BDC14" s="5"/>
      <c r="BDD14" s="5"/>
      <c r="BDE14" s="5"/>
      <c r="BDF14" s="5"/>
      <c r="BDG14" s="5"/>
      <c r="BDH14" s="5"/>
      <c r="BDI14" s="5"/>
      <c r="BDJ14" s="5"/>
      <c r="BDK14" s="5"/>
      <c r="BDL14" s="5"/>
      <c r="BDM14" s="5"/>
      <c r="BDN14" s="5"/>
      <c r="BDO14" s="5"/>
      <c r="BDP14" s="5"/>
      <c r="BDQ14" s="5"/>
      <c r="BDR14" s="5"/>
      <c r="BDS14" s="5"/>
      <c r="BDT14" s="5"/>
      <c r="BDU14" s="5"/>
      <c r="BDV14" s="5"/>
      <c r="BDW14" s="5"/>
      <c r="BDX14" s="5"/>
      <c r="BDY14" s="5"/>
      <c r="BDZ14" s="5"/>
      <c r="BEA14" s="5"/>
      <c r="BEB14" s="5"/>
      <c r="BEC14" s="5"/>
      <c r="BED14" s="5"/>
      <c r="BEE14" s="5"/>
      <c r="BEF14" s="5"/>
      <c r="BEG14" s="5"/>
      <c r="BEH14" s="5"/>
      <c r="BEI14" s="5"/>
      <c r="BEJ14" s="5"/>
      <c r="BEK14" s="5"/>
      <c r="BEL14" s="5"/>
      <c r="BEM14" s="5"/>
      <c r="BEN14" s="5"/>
      <c r="BEO14" s="5"/>
      <c r="BEP14" s="5"/>
      <c r="BEQ14" s="5"/>
      <c r="BER14" s="5"/>
      <c r="BES14" s="5"/>
      <c r="BET14" s="5"/>
      <c r="BEU14" s="5"/>
      <c r="BEV14" s="5"/>
      <c r="BEW14" s="5"/>
      <c r="BEX14" s="5"/>
      <c r="BEY14" s="5"/>
      <c r="BEZ14" s="5"/>
      <c r="BFA14" s="5"/>
      <c r="BFB14" s="5"/>
      <c r="BFC14" s="5"/>
      <c r="BFD14" s="5"/>
      <c r="BFE14" s="5"/>
      <c r="BFF14" s="5"/>
      <c r="BFG14" s="5"/>
      <c r="BFH14" s="5"/>
      <c r="BFI14" s="5"/>
      <c r="BFJ14" s="5"/>
      <c r="BFK14" s="5"/>
      <c r="BFL14" s="5"/>
      <c r="BFM14" s="5"/>
      <c r="BFN14" s="5"/>
      <c r="BFO14" s="5"/>
      <c r="BFP14" s="5"/>
      <c r="BFQ14" s="5"/>
      <c r="BFR14" s="5"/>
      <c r="BFS14" s="5"/>
      <c r="BFT14" s="5"/>
      <c r="BFU14" s="5"/>
      <c r="BFV14" s="5"/>
      <c r="BFW14" s="5"/>
      <c r="BFX14" s="5"/>
      <c r="BFY14" s="5"/>
      <c r="BFZ14" s="5"/>
      <c r="BGA14" s="5"/>
      <c r="BGB14" s="5"/>
      <c r="BGC14" s="5"/>
      <c r="BGD14" s="5"/>
      <c r="BGE14" s="5"/>
      <c r="BGF14" s="5"/>
      <c r="BGG14" s="5"/>
      <c r="BGH14" s="5"/>
      <c r="BGI14" s="5"/>
      <c r="BGJ14" s="5"/>
      <c r="BGK14" s="5"/>
      <c r="BGL14" s="5"/>
      <c r="BGM14" s="5"/>
      <c r="BGN14" s="5"/>
      <c r="BGO14" s="5"/>
      <c r="BGP14" s="5"/>
      <c r="BGQ14" s="5"/>
      <c r="BGR14" s="5"/>
      <c r="BGS14" s="5"/>
      <c r="BGT14" s="5"/>
      <c r="BGU14" s="5"/>
      <c r="BGV14" s="5"/>
      <c r="BGW14" s="5"/>
      <c r="BGX14" s="5"/>
      <c r="BGY14" s="5"/>
      <c r="BGZ14" s="5"/>
      <c r="BHA14" s="5"/>
      <c r="BHB14" s="5"/>
      <c r="BHC14" s="5"/>
      <c r="BHD14" s="5"/>
      <c r="BHE14" s="5"/>
      <c r="BHF14" s="5"/>
      <c r="BHG14" s="5"/>
      <c r="BHH14" s="5"/>
      <c r="BHI14" s="5"/>
      <c r="BHJ14" s="5"/>
      <c r="BHK14" s="5"/>
      <c r="BHL14" s="5"/>
      <c r="BHM14" s="5"/>
      <c r="BHN14" s="5"/>
      <c r="BHO14" s="5"/>
      <c r="BHP14" s="5"/>
      <c r="BHQ14" s="5"/>
      <c r="BHR14" s="5"/>
      <c r="BHS14" s="5"/>
      <c r="BHT14" s="5"/>
      <c r="BHU14" s="5"/>
      <c r="BHV14" s="5"/>
      <c r="BHW14" s="5"/>
      <c r="BHX14" s="5"/>
      <c r="BHY14" s="5"/>
      <c r="BHZ14" s="5"/>
      <c r="BIA14" s="5"/>
      <c r="BIB14" s="5"/>
      <c r="BIC14" s="5"/>
      <c r="BID14" s="5"/>
      <c r="BIE14" s="5"/>
      <c r="BIF14" s="5"/>
      <c r="BIG14" s="5"/>
      <c r="BIH14" s="5"/>
      <c r="BII14" s="5"/>
      <c r="BIJ14" s="5"/>
      <c r="BIK14" s="5"/>
      <c r="BIL14" s="5"/>
      <c r="BIM14" s="5"/>
      <c r="BIN14" s="5"/>
      <c r="BIO14" s="5"/>
      <c r="BIP14" s="5"/>
      <c r="BIQ14" s="5"/>
      <c r="BIR14" s="5"/>
      <c r="BIS14" s="5"/>
      <c r="BIT14" s="5"/>
      <c r="BIU14" s="5"/>
      <c r="BIV14" s="5"/>
      <c r="BIW14" s="5"/>
      <c r="BIX14" s="5"/>
      <c r="BIY14" s="5"/>
      <c r="BIZ14" s="5"/>
      <c r="BJA14" s="5"/>
      <c r="BJB14" s="5"/>
      <c r="BJC14" s="5"/>
      <c r="BJD14" s="5"/>
      <c r="BJE14" s="5"/>
      <c r="BJF14" s="5"/>
      <c r="BJG14" s="5"/>
      <c r="BJH14" s="5"/>
      <c r="BJI14" s="5"/>
      <c r="BJJ14" s="5"/>
      <c r="BJK14" s="5"/>
      <c r="BJL14" s="5"/>
      <c r="BJM14" s="5"/>
      <c r="BJN14" s="5"/>
      <c r="BJO14" s="5"/>
      <c r="BJP14" s="5"/>
      <c r="BJQ14" s="5"/>
      <c r="BJR14" s="5"/>
      <c r="BJS14" s="5"/>
      <c r="BJT14" s="5"/>
      <c r="BJU14" s="5"/>
      <c r="BJV14" s="5"/>
      <c r="BJW14" s="5"/>
      <c r="BJX14" s="5"/>
      <c r="BJY14" s="5"/>
      <c r="BJZ14" s="5"/>
      <c r="BKA14" s="5"/>
      <c r="BKB14" s="5"/>
      <c r="BKC14" s="5"/>
      <c r="BKD14" s="5"/>
      <c r="BKE14" s="5"/>
      <c r="BKF14" s="5"/>
      <c r="BKG14" s="5"/>
      <c r="BKH14" s="5"/>
      <c r="BKI14" s="5"/>
      <c r="BKJ14" s="5"/>
      <c r="BKK14" s="5"/>
      <c r="BKL14" s="5"/>
      <c r="BKM14" s="5"/>
      <c r="BKN14" s="5"/>
      <c r="BKO14" s="5"/>
      <c r="BKP14" s="5"/>
      <c r="BKQ14" s="5"/>
      <c r="BKR14" s="5"/>
      <c r="BKS14" s="5"/>
      <c r="BKT14" s="5"/>
      <c r="BKU14" s="5"/>
      <c r="BKV14" s="5"/>
      <c r="BKW14" s="5"/>
      <c r="BKX14" s="5"/>
      <c r="BKY14" s="5"/>
      <c r="BKZ14" s="5"/>
      <c r="BLA14" s="5"/>
      <c r="BLB14" s="5"/>
      <c r="BLC14" s="5"/>
      <c r="BLD14" s="5"/>
      <c r="BLE14" s="5"/>
      <c r="BLF14" s="5"/>
      <c r="BLG14" s="5"/>
      <c r="BLH14" s="5"/>
      <c r="BLI14" s="5"/>
      <c r="BLJ14" s="5"/>
      <c r="BLK14" s="5"/>
      <c r="BLL14" s="5"/>
      <c r="BLM14" s="5"/>
      <c r="BLN14" s="5"/>
      <c r="BLO14" s="5"/>
      <c r="BLP14" s="5"/>
      <c r="BLQ14" s="5"/>
      <c r="BLR14" s="5"/>
      <c r="BLS14" s="5"/>
      <c r="BLT14" s="5"/>
      <c r="BLU14" s="5"/>
      <c r="BLV14" s="5"/>
      <c r="BLW14" s="5"/>
      <c r="BLX14" s="5"/>
      <c r="BLY14" s="5"/>
      <c r="BLZ14" s="5"/>
      <c r="BMA14" s="5"/>
      <c r="BMB14" s="5"/>
      <c r="BMC14" s="5"/>
      <c r="BMD14" s="5"/>
      <c r="BME14" s="5"/>
      <c r="BMF14" s="5"/>
      <c r="BMG14" s="5"/>
      <c r="BMH14" s="5"/>
      <c r="BMI14" s="5"/>
      <c r="BMJ14" s="5"/>
      <c r="BMK14" s="5"/>
      <c r="BML14" s="5"/>
      <c r="BMM14" s="5"/>
      <c r="BMN14" s="5"/>
      <c r="BMO14" s="5"/>
      <c r="BMP14" s="5"/>
      <c r="BMQ14" s="5"/>
      <c r="BMR14" s="5"/>
      <c r="BMS14" s="5"/>
      <c r="BMT14" s="5"/>
      <c r="BMU14" s="5"/>
      <c r="BMV14" s="5"/>
      <c r="BMW14" s="5"/>
      <c r="BMX14" s="5"/>
      <c r="BMY14" s="5"/>
      <c r="BMZ14" s="5"/>
      <c r="BNA14" s="5"/>
      <c r="BNB14" s="5"/>
      <c r="BNC14" s="5"/>
      <c r="BND14" s="5"/>
      <c r="BNE14" s="5"/>
      <c r="BNF14" s="5"/>
      <c r="BNG14" s="5"/>
      <c r="BNH14" s="5"/>
      <c r="BNI14" s="5"/>
      <c r="BNJ14" s="5"/>
      <c r="BNK14" s="5"/>
      <c r="BNL14" s="5"/>
      <c r="BNM14" s="5"/>
      <c r="BNN14" s="5"/>
      <c r="BNO14" s="5"/>
      <c r="BNP14" s="5"/>
      <c r="BNQ14" s="5"/>
      <c r="BNR14" s="5"/>
      <c r="BNS14" s="5"/>
      <c r="BNT14" s="5"/>
      <c r="BNU14" s="5"/>
      <c r="BNV14" s="5"/>
      <c r="BNW14" s="5"/>
      <c r="BNX14" s="5"/>
      <c r="BNY14" s="5"/>
      <c r="BNZ14" s="5"/>
      <c r="BOA14" s="5"/>
      <c r="BOB14" s="5"/>
      <c r="BOC14" s="5"/>
      <c r="BOD14" s="5"/>
      <c r="BOE14" s="5"/>
      <c r="BOF14" s="5"/>
      <c r="BOG14" s="5"/>
      <c r="BOH14" s="5"/>
      <c r="BOI14" s="5"/>
      <c r="BOJ14" s="5"/>
      <c r="BOK14" s="5"/>
      <c r="BOL14" s="5"/>
      <c r="BOM14" s="5"/>
      <c r="BON14" s="5"/>
      <c r="BOO14" s="5"/>
      <c r="BOP14" s="5"/>
      <c r="BOQ14" s="5"/>
      <c r="BOR14" s="5"/>
      <c r="BOS14" s="5"/>
      <c r="BOT14" s="5"/>
      <c r="BOU14" s="5"/>
      <c r="BOV14" s="5"/>
      <c r="BOW14" s="5"/>
      <c r="BOX14" s="5"/>
      <c r="BOY14" s="5"/>
      <c r="BOZ14" s="5"/>
      <c r="BPA14" s="5"/>
      <c r="BPB14" s="5"/>
      <c r="BPC14" s="5"/>
      <c r="BPD14" s="5"/>
      <c r="BPE14" s="5"/>
      <c r="BPF14" s="5"/>
      <c r="BPG14" s="5"/>
      <c r="BPH14" s="5"/>
      <c r="BPI14" s="5"/>
      <c r="BPJ14" s="5"/>
      <c r="BPK14" s="5"/>
      <c r="BPL14" s="5"/>
      <c r="BPM14" s="5"/>
      <c r="BPN14" s="5"/>
      <c r="BPO14" s="5"/>
      <c r="BPP14" s="5"/>
      <c r="BPQ14" s="5"/>
      <c r="BPR14" s="5"/>
      <c r="BPS14" s="5"/>
      <c r="BPT14" s="5"/>
      <c r="BPU14" s="5"/>
      <c r="BPV14" s="5"/>
      <c r="BPW14" s="5"/>
      <c r="BPX14" s="5"/>
      <c r="BPY14" s="5"/>
      <c r="BPZ14" s="5"/>
      <c r="BQA14" s="5"/>
      <c r="BQB14" s="5"/>
      <c r="BQC14" s="5"/>
      <c r="BQD14" s="5"/>
      <c r="BQE14" s="5"/>
      <c r="BQF14" s="5"/>
      <c r="BQG14" s="5"/>
      <c r="BQH14" s="5"/>
      <c r="BQI14" s="5"/>
      <c r="BQJ14" s="5"/>
      <c r="BQK14" s="5"/>
      <c r="BQL14" s="5"/>
      <c r="BQM14" s="5"/>
      <c r="BQN14" s="5"/>
      <c r="BQO14" s="5"/>
      <c r="BQP14" s="5"/>
      <c r="BQQ14" s="5"/>
      <c r="BQR14" s="5"/>
      <c r="BQS14" s="5"/>
      <c r="BQT14" s="5"/>
      <c r="BQU14" s="5"/>
      <c r="BQV14" s="5"/>
      <c r="BQW14" s="5"/>
      <c r="BQX14" s="5"/>
      <c r="BQY14" s="5"/>
      <c r="BQZ14" s="5"/>
      <c r="BRA14" s="5"/>
      <c r="BRB14" s="5"/>
      <c r="BRC14" s="5"/>
      <c r="BRD14" s="5"/>
      <c r="BRE14" s="5"/>
      <c r="BRF14" s="5"/>
      <c r="BRG14" s="5"/>
      <c r="BRH14" s="5"/>
      <c r="BRI14" s="5"/>
      <c r="BRJ14" s="5"/>
      <c r="BRK14" s="5"/>
      <c r="BRL14" s="5"/>
      <c r="BRM14" s="5"/>
      <c r="BRN14" s="5"/>
      <c r="BRO14" s="5"/>
      <c r="BRP14" s="5"/>
      <c r="BRQ14" s="5"/>
      <c r="BRR14" s="5"/>
      <c r="BRS14" s="5"/>
      <c r="BRT14" s="5"/>
      <c r="BRU14" s="5"/>
      <c r="BRV14" s="5"/>
      <c r="BRW14" s="5"/>
      <c r="BRX14" s="5"/>
      <c r="BRY14" s="5"/>
      <c r="BRZ14" s="5"/>
      <c r="BSA14" s="5"/>
      <c r="BSB14" s="5"/>
      <c r="BSC14" s="5"/>
      <c r="BSD14" s="5"/>
      <c r="BSE14" s="5"/>
      <c r="BSF14" s="5"/>
      <c r="BSG14" s="5"/>
      <c r="BSH14" s="5"/>
      <c r="BSI14" s="5"/>
      <c r="BSJ14" s="5"/>
      <c r="BSK14" s="5"/>
      <c r="BSL14" s="5"/>
      <c r="BSM14" s="5"/>
      <c r="BSN14" s="5"/>
      <c r="BSO14" s="5"/>
      <c r="BSP14" s="5"/>
      <c r="BSQ14" s="5"/>
      <c r="BSR14" s="5"/>
      <c r="BSS14" s="5"/>
      <c r="BST14" s="5"/>
      <c r="BSU14" s="5"/>
      <c r="BSV14" s="5"/>
      <c r="BSW14" s="5"/>
      <c r="BSX14" s="5"/>
      <c r="BSY14" s="5"/>
      <c r="BSZ14" s="5"/>
      <c r="BTA14" s="5"/>
      <c r="BTB14" s="5"/>
      <c r="BTC14" s="5"/>
      <c r="BTD14" s="5"/>
      <c r="BTE14" s="5"/>
      <c r="BTF14" s="5"/>
      <c r="BTG14" s="5"/>
      <c r="BTH14" s="5"/>
      <c r="BTI14" s="5"/>
      <c r="BTJ14" s="5"/>
      <c r="BTK14" s="5"/>
      <c r="BTL14" s="5"/>
      <c r="BTM14" s="5"/>
      <c r="BTN14" s="5"/>
      <c r="BTO14" s="5"/>
      <c r="BTP14" s="5"/>
      <c r="BTQ14" s="5"/>
      <c r="BTR14" s="5"/>
      <c r="BTS14" s="5"/>
      <c r="BTT14" s="5"/>
      <c r="BTU14" s="5"/>
      <c r="BTV14" s="5"/>
      <c r="BTW14" s="5"/>
      <c r="BTX14" s="5"/>
      <c r="BTY14" s="5"/>
      <c r="BTZ14" s="5"/>
      <c r="BUA14" s="5"/>
      <c r="BUB14" s="5"/>
      <c r="BUC14" s="5"/>
      <c r="BUD14" s="5"/>
      <c r="BUE14" s="5"/>
      <c r="BUF14" s="5"/>
      <c r="BUG14" s="5"/>
      <c r="BUH14" s="5"/>
      <c r="BUI14" s="5"/>
      <c r="BUJ14" s="5"/>
      <c r="BUK14" s="5"/>
      <c r="BUL14" s="5"/>
      <c r="BUM14" s="5"/>
      <c r="BUN14" s="5"/>
      <c r="BUO14" s="5"/>
      <c r="BUP14" s="5"/>
      <c r="BUQ14" s="5"/>
      <c r="BUR14" s="5"/>
      <c r="BUS14" s="5"/>
      <c r="BUT14" s="5"/>
      <c r="BUU14" s="5"/>
      <c r="BUV14" s="5"/>
      <c r="BUW14" s="5"/>
      <c r="BUX14" s="5"/>
      <c r="BUY14" s="5"/>
      <c r="BUZ14" s="5"/>
      <c r="BVA14" s="5"/>
      <c r="BVB14" s="5"/>
      <c r="BVC14" s="5"/>
      <c r="BVD14" s="5"/>
      <c r="BVE14" s="5"/>
      <c r="BVF14" s="5"/>
      <c r="BVG14" s="5"/>
      <c r="BVH14" s="5"/>
      <c r="BVI14" s="5"/>
      <c r="BVJ14" s="5"/>
      <c r="BVK14" s="5"/>
      <c r="BVL14" s="5"/>
      <c r="BVM14" s="5"/>
      <c r="BVN14" s="5"/>
      <c r="BVO14" s="5"/>
      <c r="BVP14" s="5"/>
      <c r="BVQ14" s="5"/>
      <c r="BVR14" s="5"/>
      <c r="BVS14" s="5"/>
      <c r="BVT14" s="5"/>
      <c r="BVU14" s="5"/>
      <c r="BVV14" s="5"/>
      <c r="BVW14" s="5"/>
      <c r="BVX14" s="5"/>
      <c r="BVY14" s="5"/>
      <c r="BVZ14" s="5"/>
      <c r="BWA14" s="5"/>
      <c r="BWB14" s="5"/>
      <c r="BWC14" s="5"/>
      <c r="BWD14" s="5"/>
      <c r="BWE14" s="5"/>
      <c r="BWF14" s="5"/>
      <c r="BWG14" s="5"/>
      <c r="BWH14" s="5"/>
      <c r="BWI14" s="5"/>
      <c r="BWJ14" s="5"/>
      <c r="BWK14" s="5"/>
      <c r="BWL14" s="5"/>
      <c r="BWM14" s="5"/>
      <c r="BWN14" s="5"/>
      <c r="BWO14" s="5"/>
      <c r="BWP14" s="5"/>
      <c r="BWQ14" s="5"/>
      <c r="BWR14" s="5"/>
      <c r="BWS14" s="5"/>
      <c r="BWT14" s="5"/>
      <c r="BWU14" s="5"/>
      <c r="BWV14" s="5"/>
      <c r="BWW14" s="5"/>
      <c r="BWX14" s="5"/>
      <c r="BWY14" s="5"/>
      <c r="BWZ14" s="5"/>
      <c r="BXA14" s="5"/>
      <c r="BXB14" s="5"/>
      <c r="BXC14" s="5"/>
      <c r="BXD14" s="5"/>
      <c r="BXE14" s="5"/>
      <c r="BXF14" s="5"/>
      <c r="BXG14" s="5"/>
      <c r="BXH14" s="5"/>
      <c r="BXI14" s="5"/>
      <c r="BXJ14" s="5"/>
      <c r="BXK14" s="5"/>
      <c r="BXL14" s="5"/>
      <c r="BXM14" s="5"/>
      <c r="BXN14" s="5"/>
      <c r="BXO14" s="5"/>
      <c r="BXP14" s="5"/>
      <c r="BXQ14" s="5"/>
      <c r="BXR14" s="5"/>
      <c r="BXS14" s="5"/>
      <c r="BXT14" s="5"/>
      <c r="BXU14" s="5"/>
      <c r="BXV14" s="5"/>
      <c r="BXW14" s="5"/>
      <c r="BXX14" s="5"/>
      <c r="BXY14" s="5"/>
      <c r="BXZ14" s="5"/>
      <c r="BYA14" s="5"/>
      <c r="BYB14" s="5"/>
      <c r="BYC14" s="5"/>
      <c r="BYD14" s="5"/>
      <c r="BYE14" s="5"/>
      <c r="BYF14" s="5"/>
      <c r="BYG14" s="5"/>
      <c r="BYH14" s="5"/>
      <c r="BYI14" s="5"/>
      <c r="BYJ14" s="5"/>
      <c r="BYK14" s="5"/>
      <c r="BYL14" s="5"/>
      <c r="BYM14" s="5"/>
      <c r="BYN14" s="5"/>
      <c r="BYO14" s="5"/>
      <c r="BYP14" s="5"/>
      <c r="BYQ14" s="5"/>
      <c r="BYR14" s="5"/>
      <c r="BYS14" s="5"/>
      <c r="BYT14" s="5"/>
      <c r="BYU14" s="5"/>
      <c r="BYV14" s="5"/>
      <c r="BYW14" s="5"/>
      <c r="BYX14" s="5"/>
      <c r="BYY14" s="5"/>
      <c r="BYZ14" s="5"/>
      <c r="BZA14" s="5"/>
      <c r="BZB14" s="5"/>
      <c r="BZC14" s="5"/>
      <c r="BZD14" s="5"/>
      <c r="BZE14" s="5"/>
      <c r="BZF14" s="5"/>
      <c r="BZG14" s="5"/>
      <c r="BZH14" s="5"/>
      <c r="BZI14" s="5"/>
      <c r="BZJ14" s="5"/>
      <c r="BZK14" s="5"/>
      <c r="BZL14" s="5"/>
      <c r="BZM14" s="5"/>
      <c r="BZN14" s="5"/>
      <c r="BZO14" s="5"/>
      <c r="BZP14" s="5"/>
      <c r="BZQ14" s="5"/>
      <c r="BZR14" s="5"/>
      <c r="BZS14" s="5"/>
      <c r="BZT14" s="5"/>
      <c r="BZU14" s="5"/>
      <c r="BZV14" s="5"/>
      <c r="BZW14" s="5"/>
      <c r="BZX14" s="5"/>
      <c r="BZY14" s="5"/>
      <c r="BZZ14" s="5"/>
      <c r="CAA14" s="5"/>
      <c r="CAB14" s="5"/>
      <c r="CAC14" s="5"/>
      <c r="CAD14" s="5"/>
      <c r="CAE14" s="5"/>
      <c r="CAF14" s="5"/>
      <c r="CAG14" s="5"/>
      <c r="CAH14" s="5"/>
      <c r="CAI14" s="5"/>
      <c r="CAJ14" s="5"/>
      <c r="CAK14" s="5"/>
      <c r="CAL14" s="5"/>
      <c r="CAM14" s="5"/>
      <c r="CAN14" s="5"/>
      <c r="CAO14" s="5"/>
      <c r="CAP14" s="5"/>
      <c r="CAQ14" s="5"/>
      <c r="CAR14" s="5"/>
      <c r="CAS14" s="5"/>
      <c r="CAT14" s="5"/>
      <c r="CAU14" s="5"/>
      <c r="CAV14" s="5"/>
      <c r="CAW14" s="5"/>
      <c r="CAX14" s="5"/>
      <c r="CAY14" s="5"/>
      <c r="CAZ14" s="5"/>
      <c r="CBA14" s="5"/>
      <c r="CBB14" s="5"/>
      <c r="CBC14" s="5"/>
      <c r="CBD14" s="5"/>
      <c r="CBE14" s="5"/>
      <c r="CBF14" s="5"/>
      <c r="CBG14" s="5"/>
      <c r="CBH14" s="5"/>
      <c r="CBI14" s="5"/>
      <c r="CBJ14" s="5"/>
      <c r="CBK14" s="5"/>
      <c r="CBL14" s="5"/>
      <c r="CBM14" s="5"/>
      <c r="CBN14" s="5"/>
      <c r="CBO14" s="5"/>
      <c r="CBP14" s="5"/>
      <c r="CBQ14" s="5"/>
      <c r="CBR14" s="5"/>
      <c r="CBS14" s="5"/>
      <c r="CBT14" s="5"/>
      <c r="CBU14" s="5"/>
      <c r="CBV14" s="5"/>
      <c r="CBW14" s="5"/>
      <c r="CBX14" s="5"/>
      <c r="CBY14" s="5"/>
      <c r="CBZ14" s="5"/>
      <c r="CCA14" s="5"/>
      <c r="CCB14" s="5"/>
      <c r="CCC14" s="5"/>
      <c r="CCD14" s="5"/>
      <c r="CCE14" s="5"/>
      <c r="CCF14" s="5"/>
      <c r="CCG14" s="5"/>
      <c r="CCH14" s="5"/>
      <c r="CCI14" s="5"/>
      <c r="CCJ14" s="5"/>
      <c r="CCK14" s="5"/>
      <c r="CCL14" s="5"/>
      <c r="CCM14" s="5"/>
      <c r="CCN14" s="5"/>
      <c r="CCO14" s="5"/>
      <c r="CCP14" s="5"/>
      <c r="CCQ14" s="5"/>
      <c r="CCR14" s="5"/>
      <c r="CCS14" s="5"/>
      <c r="CCT14" s="5"/>
      <c r="CCU14" s="5"/>
      <c r="CCV14" s="5"/>
      <c r="CCW14" s="5"/>
      <c r="CCX14" s="5"/>
      <c r="CCY14" s="5"/>
      <c r="CCZ14" s="5"/>
      <c r="CDA14" s="5"/>
      <c r="CDB14" s="5"/>
      <c r="CDC14" s="5"/>
      <c r="CDD14" s="5"/>
      <c r="CDE14" s="5"/>
      <c r="CDF14" s="5"/>
      <c r="CDG14" s="5"/>
      <c r="CDH14" s="5"/>
      <c r="CDI14" s="5"/>
      <c r="CDJ14" s="5"/>
      <c r="CDK14" s="5"/>
      <c r="CDL14" s="5"/>
      <c r="CDM14" s="5"/>
      <c r="CDN14" s="5"/>
      <c r="CDO14" s="5"/>
      <c r="CDP14" s="5"/>
      <c r="CDQ14" s="5"/>
      <c r="CDR14" s="5"/>
      <c r="CDS14" s="5"/>
      <c r="CDT14" s="5"/>
      <c r="CDU14" s="5"/>
      <c r="CDV14" s="5"/>
      <c r="CDW14" s="5"/>
      <c r="CDX14" s="5"/>
      <c r="CDY14" s="5"/>
      <c r="CDZ14" s="5"/>
      <c r="CEA14" s="5"/>
      <c r="CEB14" s="5"/>
      <c r="CEC14" s="5"/>
      <c r="CED14" s="5"/>
      <c r="CEE14" s="5"/>
      <c r="CEF14" s="5"/>
      <c r="CEG14" s="5"/>
      <c r="CEH14" s="5"/>
      <c r="CEI14" s="5"/>
      <c r="CEJ14" s="5"/>
      <c r="CEK14" s="5"/>
      <c r="CEL14" s="5"/>
      <c r="CEM14" s="5"/>
      <c r="CEN14" s="5"/>
      <c r="CEO14" s="5"/>
      <c r="CEP14" s="5"/>
      <c r="CEQ14" s="5"/>
      <c r="CER14" s="5"/>
      <c r="CES14" s="5"/>
      <c r="CET14" s="5"/>
      <c r="CEU14" s="5"/>
      <c r="CEV14" s="5"/>
      <c r="CEW14" s="5"/>
      <c r="CEX14" s="5"/>
      <c r="CEY14" s="5"/>
      <c r="CEZ14" s="5"/>
      <c r="CFA14" s="5"/>
      <c r="CFB14" s="5"/>
      <c r="CFC14" s="5"/>
      <c r="CFD14" s="5"/>
      <c r="CFE14" s="5"/>
      <c r="CFF14" s="5"/>
      <c r="CFG14" s="5"/>
      <c r="CFH14" s="5"/>
      <c r="CFI14" s="5"/>
      <c r="CFJ14" s="5"/>
      <c r="CFK14" s="5"/>
      <c r="CFL14" s="5"/>
      <c r="CFM14" s="5"/>
      <c r="CFN14" s="5"/>
      <c r="CFO14" s="5"/>
      <c r="CFP14" s="5"/>
      <c r="CFQ14" s="5"/>
      <c r="CFR14" s="5"/>
      <c r="CFS14" s="5"/>
      <c r="CFT14" s="5"/>
      <c r="CFU14" s="5"/>
      <c r="CFV14" s="5"/>
      <c r="CFW14" s="5"/>
      <c r="CFX14" s="5"/>
      <c r="CFY14" s="5"/>
      <c r="CFZ14" s="5"/>
      <c r="CGA14" s="5"/>
      <c r="CGB14" s="5"/>
      <c r="CGC14" s="5"/>
      <c r="CGD14" s="5"/>
      <c r="CGE14" s="5"/>
      <c r="CGF14" s="5"/>
      <c r="CGG14" s="5"/>
      <c r="CGH14" s="5"/>
      <c r="CGI14" s="5"/>
      <c r="CGJ14" s="5"/>
      <c r="CGK14" s="5"/>
      <c r="CGL14" s="5"/>
      <c r="CGM14" s="5"/>
      <c r="CGN14" s="5"/>
      <c r="CGO14" s="5"/>
      <c r="CGP14" s="5"/>
      <c r="CGQ14" s="5"/>
      <c r="CGR14" s="5"/>
      <c r="CGS14" s="5"/>
      <c r="CGT14" s="5"/>
      <c r="CGU14" s="5"/>
      <c r="CGV14" s="5"/>
      <c r="CGW14" s="5"/>
      <c r="CGX14" s="5"/>
      <c r="CGY14" s="5"/>
      <c r="CGZ14" s="5"/>
      <c r="CHA14" s="5"/>
      <c r="CHB14" s="5"/>
      <c r="CHC14" s="5"/>
      <c r="CHD14" s="5"/>
      <c r="CHE14" s="5"/>
      <c r="CHF14" s="5"/>
      <c r="CHG14" s="5"/>
      <c r="CHH14" s="5"/>
      <c r="CHI14" s="5"/>
      <c r="CHJ14" s="5"/>
      <c r="CHK14" s="5"/>
      <c r="CHL14" s="5"/>
      <c r="CHM14" s="5"/>
      <c r="CHN14" s="5"/>
      <c r="CHO14" s="5"/>
      <c r="CHP14" s="5"/>
      <c r="CHQ14" s="5"/>
      <c r="CHR14" s="5"/>
      <c r="CHS14" s="5"/>
      <c r="CHT14" s="5"/>
      <c r="CHU14" s="5"/>
      <c r="CHV14" s="5"/>
      <c r="CHW14" s="5"/>
      <c r="CHX14" s="5"/>
      <c r="CHY14" s="5"/>
      <c r="CHZ14" s="5"/>
      <c r="CIA14" s="5"/>
      <c r="CIB14" s="5"/>
      <c r="CIC14" s="5"/>
      <c r="CID14" s="5"/>
      <c r="CIE14" s="5"/>
      <c r="CIF14" s="5"/>
      <c r="CIG14" s="5"/>
      <c r="CIH14" s="5"/>
      <c r="CII14" s="5"/>
      <c r="CIJ14" s="5"/>
      <c r="CIK14" s="5"/>
      <c r="CIL14" s="5"/>
      <c r="CIM14" s="5"/>
      <c r="CIN14" s="5"/>
      <c r="CIO14" s="5"/>
      <c r="CIP14" s="5"/>
      <c r="CIQ14" s="5"/>
      <c r="CIR14" s="5"/>
      <c r="CIS14" s="5"/>
      <c r="CIT14" s="5"/>
      <c r="CIU14" s="5"/>
      <c r="CIV14" s="5"/>
      <c r="CIW14" s="5"/>
      <c r="CIX14" s="5"/>
      <c r="CIY14" s="5"/>
      <c r="CIZ14" s="5"/>
      <c r="CJA14" s="5"/>
      <c r="CJB14" s="5"/>
      <c r="CJC14" s="5"/>
      <c r="CJD14" s="5"/>
      <c r="CJE14" s="5"/>
      <c r="CJF14" s="5"/>
      <c r="CJG14" s="5"/>
      <c r="CJH14" s="5"/>
      <c r="CJI14" s="5"/>
      <c r="CJJ14" s="5"/>
      <c r="CJK14" s="5"/>
      <c r="CJL14" s="5"/>
      <c r="CJM14" s="5"/>
      <c r="CJN14" s="5"/>
      <c r="CJO14" s="5"/>
      <c r="CJP14" s="5"/>
      <c r="CJQ14" s="5"/>
      <c r="CJR14" s="5"/>
      <c r="CJS14" s="5"/>
      <c r="CJT14" s="5"/>
      <c r="CJU14" s="5"/>
      <c r="CJV14" s="5"/>
      <c r="CJW14" s="5"/>
      <c r="CJX14" s="5"/>
      <c r="CJY14" s="5"/>
      <c r="CJZ14" s="5"/>
      <c r="CKA14" s="5"/>
      <c r="CKB14" s="5"/>
      <c r="CKC14" s="5"/>
      <c r="CKD14" s="5"/>
      <c r="CKE14" s="5"/>
      <c r="CKF14" s="5"/>
      <c r="CKG14" s="5"/>
      <c r="CKH14" s="5"/>
      <c r="CKI14" s="5"/>
      <c r="CKJ14" s="5"/>
      <c r="CKK14" s="5"/>
      <c r="CKL14" s="5"/>
      <c r="CKM14" s="5"/>
      <c r="CKN14" s="5"/>
      <c r="CKO14" s="5"/>
      <c r="CKP14" s="5"/>
      <c r="CKQ14" s="5"/>
      <c r="CKR14" s="5"/>
      <c r="CKS14" s="5"/>
      <c r="CKT14" s="5"/>
      <c r="CKU14" s="5"/>
      <c r="CKV14" s="5"/>
      <c r="CKW14" s="5"/>
      <c r="CKX14" s="5"/>
      <c r="CKY14" s="5"/>
      <c r="CKZ14" s="5"/>
      <c r="CLA14" s="5"/>
      <c r="CLB14" s="5"/>
      <c r="CLC14" s="5"/>
      <c r="CLD14" s="5"/>
      <c r="CLE14" s="5"/>
      <c r="CLF14" s="5"/>
      <c r="CLG14" s="5"/>
      <c r="CLH14" s="5"/>
      <c r="CLI14" s="5"/>
      <c r="CLJ14" s="5"/>
      <c r="CLK14" s="5"/>
      <c r="CLL14" s="5"/>
      <c r="CLM14" s="5"/>
      <c r="CLN14" s="5"/>
      <c r="CLO14" s="5"/>
      <c r="CLP14" s="5"/>
      <c r="CLQ14" s="5"/>
      <c r="CLR14" s="5"/>
      <c r="CLS14" s="5"/>
      <c r="CLT14" s="5"/>
      <c r="CLU14" s="5"/>
      <c r="CLV14" s="5"/>
      <c r="CLW14" s="5"/>
      <c r="CLX14" s="5"/>
      <c r="CLY14" s="5"/>
      <c r="CLZ14" s="5"/>
      <c r="CMA14" s="5"/>
      <c r="CMB14" s="5"/>
      <c r="CMC14" s="5"/>
      <c r="CMD14" s="5"/>
      <c r="CME14" s="5"/>
      <c r="CMF14" s="5"/>
      <c r="CMG14" s="5"/>
      <c r="CMH14" s="5"/>
      <c r="CMI14" s="5"/>
      <c r="CMJ14" s="5"/>
      <c r="CMK14" s="5"/>
      <c r="CML14" s="5"/>
      <c r="CMM14" s="5"/>
      <c r="CMN14" s="5"/>
      <c r="CMO14" s="5"/>
      <c r="CMP14" s="5"/>
      <c r="CMQ14" s="5"/>
      <c r="CMR14" s="5"/>
      <c r="CMS14" s="5"/>
      <c r="CMT14" s="5"/>
      <c r="CMU14" s="5"/>
      <c r="CMV14" s="5"/>
      <c r="CMW14" s="5"/>
      <c r="CMX14" s="5"/>
      <c r="CMY14" s="5"/>
      <c r="CMZ14" s="5"/>
      <c r="CNA14" s="5"/>
      <c r="CNB14" s="5"/>
      <c r="CNC14" s="5"/>
      <c r="CND14" s="5"/>
      <c r="CNE14" s="5"/>
      <c r="CNF14" s="5"/>
      <c r="CNG14" s="5"/>
      <c r="CNH14" s="5"/>
      <c r="CNI14" s="5"/>
      <c r="CNJ14" s="5"/>
      <c r="CNK14" s="5"/>
      <c r="CNL14" s="5"/>
      <c r="CNM14" s="5"/>
      <c r="CNN14" s="5"/>
      <c r="CNO14" s="5"/>
      <c r="CNP14" s="5"/>
      <c r="CNQ14" s="5"/>
      <c r="CNR14" s="5"/>
      <c r="CNS14" s="5"/>
      <c r="CNT14" s="5"/>
      <c r="CNU14" s="5"/>
      <c r="CNV14" s="5"/>
      <c r="CNW14" s="5"/>
      <c r="CNX14" s="5"/>
      <c r="CNY14" s="5"/>
      <c r="CNZ14" s="5"/>
      <c r="COA14" s="5"/>
      <c r="COB14" s="5"/>
      <c r="COC14" s="5"/>
      <c r="COD14" s="5"/>
      <c r="COE14" s="5"/>
      <c r="COF14" s="5"/>
      <c r="COG14" s="5"/>
      <c r="COH14" s="5"/>
      <c r="COI14" s="5"/>
      <c r="COJ14" s="5"/>
      <c r="COK14" s="5"/>
      <c r="COL14" s="5"/>
      <c r="COM14" s="5"/>
      <c r="CON14" s="5"/>
      <c r="COO14" s="5"/>
      <c r="COP14" s="5"/>
      <c r="COQ14" s="5"/>
      <c r="COR14" s="5"/>
      <c r="COS14" s="5"/>
      <c r="COT14" s="5"/>
      <c r="COU14" s="5"/>
      <c r="COV14" s="5"/>
      <c r="COW14" s="5"/>
      <c r="COX14" s="5"/>
      <c r="COY14" s="5"/>
      <c r="COZ14" s="5"/>
      <c r="CPA14" s="5"/>
      <c r="CPB14" s="5"/>
      <c r="CPC14" s="5"/>
      <c r="CPD14" s="5"/>
      <c r="CPE14" s="5"/>
      <c r="CPF14" s="5"/>
      <c r="CPG14" s="5"/>
      <c r="CPH14" s="5"/>
      <c r="CPI14" s="5"/>
      <c r="CPJ14" s="5"/>
      <c r="CPK14" s="5"/>
      <c r="CPL14" s="5"/>
      <c r="CPM14" s="5"/>
      <c r="CPN14" s="5"/>
      <c r="CPO14" s="5"/>
      <c r="CPP14" s="5"/>
      <c r="CPQ14" s="5"/>
      <c r="CPR14" s="5"/>
      <c r="CPS14" s="5"/>
      <c r="CPT14" s="5"/>
      <c r="CPU14" s="5"/>
      <c r="CPV14" s="5"/>
      <c r="CPW14" s="5"/>
      <c r="CPX14" s="5"/>
      <c r="CPY14" s="5"/>
      <c r="CPZ14" s="5"/>
      <c r="CQA14" s="5"/>
      <c r="CQB14" s="5"/>
      <c r="CQC14" s="5"/>
      <c r="CQD14" s="5"/>
      <c r="CQE14" s="5"/>
      <c r="CQF14" s="5"/>
      <c r="CQG14" s="5"/>
      <c r="CQH14" s="5"/>
      <c r="CQI14" s="5"/>
      <c r="CQJ14" s="5"/>
      <c r="CQK14" s="5"/>
      <c r="CQL14" s="5"/>
      <c r="CQM14" s="5"/>
      <c r="CQN14" s="5"/>
      <c r="CQO14" s="5"/>
      <c r="CQP14" s="5"/>
      <c r="CQQ14" s="5"/>
      <c r="CQR14" s="5"/>
      <c r="CQS14" s="5"/>
      <c r="CQT14" s="5"/>
      <c r="CQU14" s="5"/>
      <c r="CQV14" s="5"/>
      <c r="CQW14" s="5"/>
      <c r="CQX14" s="5"/>
      <c r="CQY14" s="5"/>
      <c r="CQZ14" s="5"/>
      <c r="CRA14" s="5"/>
      <c r="CRB14" s="5"/>
      <c r="CRC14" s="5"/>
      <c r="CRD14" s="5"/>
      <c r="CRE14" s="5"/>
      <c r="CRF14" s="5"/>
      <c r="CRG14" s="5"/>
      <c r="CRH14" s="5"/>
      <c r="CRI14" s="5"/>
      <c r="CRJ14" s="5"/>
      <c r="CRK14" s="5"/>
      <c r="CRL14" s="5"/>
      <c r="CRM14" s="5"/>
      <c r="CRN14" s="5"/>
      <c r="CRO14" s="5"/>
      <c r="CRP14" s="5"/>
      <c r="CRQ14" s="5"/>
      <c r="CRR14" s="5"/>
      <c r="CRS14" s="5"/>
      <c r="CRT14" s="5"/>
      <c r="CRU14" s="5"/>
      <c r="CRV14" s="5"/>
      <c r="CRW14" s="5"/>
      <c r="CRX14" s="5"/>
      <c r="CRY14" s="5"/>
      <c r="CRZ14" s="5"/>
      <c r="CSA14" s="5"/>
      <c r="CSB14" s="5"/>
      <c r="CSC14" s="5"/>
      <c r="CSD14" s="5"/>
      <c r="CSE14" s="5"/>
      <c r="CSF14" s="5"/>
      <c r="CSG14" s="5"/>
      <c r="CSH14" s="5"/>
      <c r="CSI14" s="5"/>
      <c r="CSJ14" s="5"/>
      <c r="CSK14" s="5"/>
      <c r="CSL14" s="5"/>
      <c r="CSM14" s="5"/>
      <c r="CSN14" s="5"/>
      <c r="CSO14" s="5"/>
      <c r="CSP14" s="5"/>
      <c r="CSQ14" s="5"/>
      <c r="CSR14" s="5"/>
      <c r="CSS14" s="5"/>
      <c r="CST14" s="5"/>
      <c r="CSU14" s="5"/>
      <c r="CSV14" s="5"/>
      <c r="CSW14" s="5"/>
      <c r="CSX14" s="5"/>
      <c r="CSY14" s="5"/>
      <c r="CSZ14" s="5"/>
      <c r="CTA14" s="5"/>
      <c r="CTB14" s="5"/>
      <c r="CTC14" s="5"/>
      <c r="CTD14" s="5"/>
      <c r="CTE14" s="5"/>
      <c r="CTF14" s="5"/>
      <c r="CTG14" s="5"/>
      <c r="CTH14" s="5"/>
      <c r="CTI14" s="5"/>
      <c r="CTJ14" s="5"/>
      <c r="CTK14" s="5"/>
      <c r="CTL14" s="5"/>
      <c r="CTM14" s="5"/>
      <c r="CTN14" s="5"/>
      <c r="CTO14" s="5"/>
      <c r="CTP14" s="5"/>
      <c r="CTQ14" s="5"/>
      <c r="CTR14" s="5"/>
      <c r="CTS14" s="5"/>
      <c r="CTT14" s="5"/>
      <c r="CTU14" s="5"/>
      <c r="CTV14" s="5"/>
      <c r="CTW14" s="5"/>
      <c r="CTX14" s="5"/>
      <c r="CTY14" s="5"/>
      <c r="CTZ14" s="5"/>
      <c r="CUA14" s="5"/>
      <c r="CUB14" s="5"/>
      <c r="CUC14" s="5"/>
      <c r="CUD14" s="5"/>
      <c r="CUE14" s="5"/>
      <c r="CUF14" s="5"/>
      <c r="CUG14" s="5"/>
      <c r="CUH14" s="5"/>
      <c r="CUI14" s="5"/>
      <c r="CUJ14" s="5"/>
      <c r="CUK14" s="5"/>
      <c r="CUL14" s="5"/>
      <c r="CUM14" s="5"/>
      <c r="CUN14" s="5"/>
      <c r="CUO14" s="5"/>
      <c r="CUP14" s="5"/>
      <c r="CUQ14" s="5"/>
      <c r="CUR14" s="5"/>
      <c r="CUS14" s="5"/>
      <c r="CUT14" s="5"/>
      <c r="CUU14" s="5"/>
      <c r="CUV14" s="5"/>
      <c r="CUW14" s="5"/>
      <c r="CUX14" s="5"/>
      <c r="CUY14" s="5"/>
      <c r="CUZ14" s="5"/>
      <c r="CVA14" s="5"/>
      <c r="CVB14" s="5"/>
      <c r="CVC14" s="5"/>
      <c r="CVD14" s="5"/>
      <c r="CVE14" s="5"/>
      <c r="CVF14" s="5"/>
      <c r="CVG14" s="5"/>
      <c r="CVH14" s="5"/>
      <c r="CVI14" s="5"/>
      <c r="CVJ14" s="5"/>
      <c r="CVK14" s="5"/>
      <c r="CVL14" s="5"/>
      <c r="CVM14" s="5"/>
      <c r="CVN14" s="5"/>
      <c r="CVO14" s="5"/>
      <c r="CVP14" s="5"/>
      <c r="CVQ14" s="5"/>
      <c r="CVR14" s="5"/>
      <c r="CVS14" s="5"/>
      <c r="CVT14" s="5"/>
      <c r="CVU14" s="5"/>
      <c r="CVV14" s="5"/>
      <c r="CVW14" s="5"/>
      <c r="CVX14" s="5"/>
      <c r="CVY14" s="5"/>
      <c r="CVZ14" s="5"/>
      <c r="CWA14" s="5"/>
      <c r="CWB14" s="5"/>
      <c r="CWC14" s="5"/>
      <c r="CWD14" s="5"/>
      <c r="CWE14" s="5"/>
      <c r="CWF14" s="5"/>
      <c r="CWG14" s="5"/>
      <c r="CWH14" s="5"/>
      <c r="CWI14" s="5"/>
      <c r="CWJ14" s="5"/>
      <c r="CWK14" s="5"/>
      <c r="CWL14" s="5"/>
      <c r="CWM14" s="5"/>
      <c r="CWN14" s="5"/>
      <c r="CWO14" s="5"/>
      <c r="CWP14" s="5"/>
      <c r="CWQ14" s="5"/>
      <c r="CWR14" s="5"/>
      <c r="CWS14" s="5"/>
      <c r="CWT14" s="5"/>
      <c r="CWU14" s="5"/>
      <c r="CWV14" s="5"/>
      <c r="CWW14" s="5"/>
      <c r="CWX14" s="5"/>
      <c r="CWY14" s="5"/>
      <c r="CWZ14" s="5"/>
      <c r="CXA14" s="5"/>
      <c r="CXB14" s="5"/>
      <c r="CXC14" s="5"/>
      <c r="CXD14" s="5"/>
      <c r="CXE14" s="5"/>
      <c r="CXF14" s="5"/>
      <c r="CXG14" s="5"/>
      <c r="CXH14" s="5"/>
      <c r="CXI14" s="5"/>
      <c r="CXJ14" s="5"/>
      <c r="CXK14" s="5"/>
      <c r="CXL14" s="5"/>
      <c r="CXM14" s="5"/>
      <c r="CXN14" s="5"/>
      <c r="CXO14" s="5"/>
      <c r="CXP14" s="5"/>
      <c r="CXQ14" s="5"/>
      <c r="CXR14" s="5"/>
      <c r="CXS14" s="5"/>
      <c r="CXT14" s="5"/>
      <c r="CXU14" s="5"/>
      <c r="CXV14" s="5"/>
      <c r="CXW14" s="5"/>
      <c r="CXX14" s="5"/>
      <c r="CXY14" s="5"/>
      <c r="CXZ14" s="5"/>
      <c r="CYA14" s="5"/>
      <c r="CYB14" s="5"/>
      <c r="CYC14" s="5"/>
      <c r="CYD14" s="5"/>
      <c r="CYE14" s="5"/>
      <c r="CYF14" s="5"/>
      <c r="CYG14" s="5"/>
      <c r="CYH14" s="5"/>
      <c r="CYI14" s="5"/>
      <c r="CYJ14" s="5"/>
      <c r="CYK14" s="5"/>
      <c r="CYL14" s="5"/>
      <c r="CYM14" s="5"/>
      <c r="CYN14" s="5"/>
      <c r="CYO14" s="5"/>
      <c r="CYP14" s="5"/>
      <c r="CYQ14" s="5"/>
      <c r="CYR14" s="5"/>
      <c r="CYS14" s="5"/>
      <c r="CYT14" s="5"/>
      <c r="CYU14" s="5"/>
      <c r="CYV14" s="5"/>
      <c r="CYW14" s="5"/>
      <c r="CYX14" s="5"/>
      <c r="CYY14" s="5"/>
      <c r="CYZ14" s="5"/>
      <c r="CZA14" s="5"/>
      <c r="CZB14" s="5"/>
      <c r="CZC14" s="5"/>
      <c r="CZD14" s="5"/>
      <c r="CZE14" s="5"/>
      <c r="CZF14" s="5"/>
      <c r="CZG14" s="5"/>
      <c r="CZH14" s="5"/>
      <c r="CZI14" s="5"/>
      <c r="CZJ14" s="5"/>
      <c r="CZK14" s="5"/>
      <c r="CZL14" s="5"/>
      <c r="CZM14" s="5"/>
      <c r="CZN14" s="5"/>
      <c r="CZO14" s="5"/>
      <c r="CZP14" s="5"/>
      <c r="CZQ14" s="5"/>
      <c r="CZR14" s="5"/>
      <c r="CZS14" s="5"/>
      <c r="CZT14" s="5"/>
      <c r="CZU14" s="5"/>
      <c r="CZV14" s="5"/>
      <c r="CZW14" s="5"/>
      <c r="CZX14" s="5"/>
      <c r="CZY14" s="5"/>
      <c r="CZZ14" s="5"/>
      <c r="DAA14" s="5"/>
      <c r="DAB14" s="5"/>
      <c r="DAC14" s="5"/>
      <c r="DAD14" s="5"/>
      <c r="DAE14" s="5"/>
      <c r="DAF14" s="5"/>
      <c r="DAG14" s="5"/>
      <c r="DAH14" s="5"/>
      <c r="DAI14" s="5"/>
      <c r="DAJ14" s="5"/>
      <c r="DAK14" s="5"/>
      <c r="DAL14" s="5"/>
      <c r="DAM14" s="5"/>
      <c r="DAN14" s="5"/>
      <c r="DAO14" s="5"/>
      <c r="DAP14" s="5"/>
      <c r="DAQ14" s="5"/>
      <c r="DAR14" s="5"/>
      <c r="DAS14" s="5"/>
      <c r="DAT14" s="5"/>
      <c r="DAU14" s="5"/>
      <c r="DAV14" s="5"/>
      <c r="DAW14" s="5"/>
      <c r="DAX14" s="5"/>
      <c r="DAY14" s="5"/>
      <c r="DAZ14" s="5"/>
      <c r="DBA14" s="5"/>
      <c r="DBB14" s="5"/>
      <c r="DBC14" s="5"/>
      <c r="DBD14" s="5"/>
      <c r="DBE14" s="5"/>
      <c r="DBF14" s="5"/>
      <c r="DBG14" s="5"/>
    </row>
    <row r="15" spans="1:2763" s="7" customFormat="1" ht="16.5" customHeight="1" x14ac:dyDescent="0.25">
      <c r="A15" s="14">
        <v>36</v>
      </c>
      <c r="B15" s="27">
        <v>2.1</v>
      </c>
      <c r="C15" s="152" t="s">
        <v>30</v>
      </c>
      <c r="D15" s="9"/>
      <c r="E15" s="9"/>
      <c r="F15" s="166"/>
      <c r="G15" s="9"/>
      <c r="H15" s="9"/>
      <c r="I15" s="9"/>
      <c r="J15" s="9"/>
      <c r="K15" s="9"/>
      <c r="L15" s="9"/>
      <c r="M15" s="9"/>
      <c r="N15" s="9"/>
      <c r="O15" s="9"/>
      <c r="P15" s="9"/>
      <c r="Q15" s="6"/>
      <c r="R15" s="9"/>
      <c r="S15" s="9"/>
      <c r="T15" s="9"/>
      <c r="U15" s="167">
        <v>14</v>
      </c>
      <c r="V15" s="9">
        <v>15</v>
      </c>
      <c r="W15" s="9"/>
      <c r="X15" s="9"/>
      <c r="Y15" s="9"/>
      <c r="Z15" s="9"/>
      <c r="AA15" s="9"/>
      <c r="AB15" s="11"/>
      <c r="AC15" s="11"/>
      <c r="AD15" s="11"/>
      <c r="AE15" s="163"/>
      <c r="AF15" s="162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  <c r="AMK15" s="5"/>
      <c r="AML15" s="5"/>
      <c r="AMM15" s="5"/>
      <c r="AMN15" s="5"/>
      <c r="AMO15" s="5"/>
      <c r="AMP15" s="5"/>
      <c r="AMQ15" s="5"/>
      <c r="AMR15" s="5"/>
      <c r="AMS15" s="5"/>
      <c r="AMT15" s="5"/>
      <c r="AMU15" s="5"/>
      <c r="AMV15" s="5"/>
      <c r="AMW15" s="5"/>
      <c r="AMX15" s="5"/>
      <c r="AMY15" s="5"/>
      <c r="AMZ15" s="5"/>
      <c r="ANA15" s="5"/>
      <c r="ANB15" s="5"/>
      <c r="ANC15" s="5"/>
      <c r="AND15" s="5"/>
      <c r="ANE15" s="5"/>
      <c r="ANF15" s="5"/>
      <c r="ANG15" s="5"/>
      <c r="ANH15" s="5"/>
      <c r="ANI15" s="5"/>
      <c r="ANJ15" s="5"/>
      <c r="ANK15" s="5"/>
      <c r="ANL15" s="5"/>
      <c r="ANM15" s="5"/>
      <c r="ANN15" s="5"/>
      <c r="ANO15" s="5"/>
      <c r="ANP15" s="5"/>
      <c r="ANQ15" s="5"/>
      <c r="ANR15" s="5"/>
      <c r="ANS15" s="5"/>
      <c r="ANT15" s="5"/>
      <c r="ANU15" s="5"/>
      <c r="ANV15" s="5"/>
      <c r="ANW15" s="5"/>
      <c r="ANX15" s="5"/>
      <c r="ANY15" s="5"/>
      <c r="ANZ15" s="5"/>
      <c r="AOA15" s="5"/>
      <c r="AOB15" s="5"/>
      <c r="AOC15" s="5"/>
      <c r="AOD15" s="5"/>
      <c r="AOE15" s="5"/>
      <c r="AOF15" s="5"/>
      <c r="AOG15" s="5"/>
      <c r="AOH15" s="5"/>
      <c r="AOI15" s="5"/>
      <c r="AOJ15" s="5"/>
      <c r="AOK15" s="5"/>
      <c r="AOL15" s="5"/>
      <c r="AOM15" s="5"/>
      <c r="AON15" s="5"/>
      <c r="AOO15" s="5"/>
      <c r="AOP15" s="5"/>
      <c r="AOQ15" s="5"/>
      <c r="AOR15" s="5"/>
      <c r="AOS15" s="5"/>
      <c r="AOT15" s="5"/>
      <c r="AOU15" s="5"/>
      <c r="AOV15" s="5"/>
      <c r="AOW15" s="5"/>
      <c r="AOX15" s="5"/>
      <c r="AOY15" s="5"/>
      <c r="AOZ15" s="5"/>
      <c r="APA15" s="5"/>
      <c r="APB15" s="5"/>
      <c r="APC15" s="5"/>
      <c r="APD15" s="5"/>
      <c r="APE15" s="5"/>
      <c r="APF15" s="5"/>
      <c r="APG15" s="5"/>
      <c r="APH15" s="5"/>
      <c r="API15" s="5"/>
      <c r="APJ15" s="5"/>
      <c r="APK15" s="5"/>
      <c r="APL15" s="5"/>
      <c r="APM15" s="5"/>
      <c r="APN15" s="5"/>
      <c r="APO15" s="5"/>
      <c r="APP15" s="5"/>
      <c r="APQ15" s="5"/>
      <c r="APR15" s="5"/>
      <c r="APS15" s="5"/>
      <c r="APT15" s="5"/>
      <c r="APU15" s="5"/>
      <c r="APV15" s="5"/>
      <c r="APW15" s="5"/>
      <c r="APX15" s="5"/>
      <c r="APY15" s="5"/>
      <c r="APZ15" s="5"/>
      <c r="AQA15" s="5"/>
      <c r="AQB15" s="5"/>
      <c r="AQC15" s="5"/>
      <c r="AQD15" s="5"/>
      <c r="AQE15" s="5"/>
      <c r="AQF15" s="5"/>
      <c r="AQG15" s="5"/>
      <c r="AQH15" s="5"/>
      <c r="AQI15" s="5"/>
      <c r="AQJ15" s="5"/>
      <c r="AQK15" s="5"/>
      <c r="AQL15" s="5"/>
      <c r="AQM15" s="5"/>
      <c r="AQN15" s="5"/>
      <c r="AQO15" s="5"/>
      <c r="AQP15" s="5"/>
      <c r="AQQ15" s="5"/>
      <c r="AQR15" s="5"/>
      <c r="AQS15" s="5"/>
      <c r="AQT15" s="5"/>
      <c r="AQU15" s="5"/>
      <c r="AQV15" s="5"/>
      <c r="AQW15" s="5"/>
      <c r="AQX15" s="5"/>
      <c r="AQY15" s="5"/>
      <c r="AQZ15" s="5"/>
      <c r="ARA15" s="5"/>
      <c r="ARB15" s="5"/>
      <c r="ARC15" s="5"/>
      <c r="ARD15" s="5"/>
      <c r="ARE15" s="5"/>
      <c r="ARF15" s="5"/>
      <c r="ARG15" s="5"/>
      <c r="ARH15" s="5"/>
      <c r="ARI15" s="5"/>
      <c r="ARJ15" s="5"/>
      <c r="ARK15" s="5"/>
      <c r="ARL15" s="5"/>
      <c r="ARM15" s="5"/>
      <c r="ARN15" s="5"/>
      <c r="ARO15" s="5"/>
      <c r="ARP15" s="5"/>
      <c r="ARQ15" s="5"/>
      <c r="ARR15" s="5"/>
      <c r="ARS15" s="5"/>
      <c r="ART15" s="5"/>
      <c r="ARU15" s="5"/>
      <c r="ARV15" s="5"/>
      <c r="ARW15" s="5"/>
      <c r="ARX15" s="5"/>
      <c r="ARY15" s="5"/>
      <c r="ARZ15" s="5"/>
      <c r="ASA15" s="5"/>
      <c r="ASB15" s="5"/>
      <c r="ASC15" s="5"/>
      <c r="ASD15" s="5"/>
      <c r="ASE15" s="5"/>
      <c r="ASF15" s="5"/>
      <c r="ASG15" s="5"/>
      <c r="ASH15" s="5"/>
      <c r="ASI15" s="5"/>
      <c r="ASJ15" s="5"/>
      <c r="ASK15" s="5"/>
      <c r="ASL15" s="5"/>
      <c r="ASM15" s="5"/>
      <c r="ASN15" s="5"/>
      <c r="ASO15" s="5"/>
      <c r="ASP15" s="5"/>
      <c r="ASQ15" s="5"/>
      <c r="ASR15" s="5"/>
      <c r="ASS15" s="5"/>
      <c r="AST15" s="5"/>
      <c r="ASU15" s="5"/>
      <c r="ASV15" s="5"/>
      <c r="ASW15" s="5"/>
      <c r="ASX15" s="5"/>
      <c r="ASY15" s="5"/>
      <c r="ASZ15" s="5"/>
      <c r="ATA15" s="5"/>
      <c r="ATB15" s="5"/>
      <c r="ATC15" s="5"/>
      <c r="ATD15" s="5"/>
      <c r="ATE15" s="5"/>
      <c r="ATF15" s="5"/>
      <c r="ATG15" s="5"/>
      <c r="ATH15" s="5"/>
      <c r="ATI15" s="5"/>
      <c r="ATJ15" s="5"/>
      <c r="ATK15" s="5"/>
      <c r="ATL15" s="5"/>
      <c r="ATM15" s="5"/>
      <c r="ATN15" s="5"/>
      <c r="ATO15" s="5"/>
      <c r="ATP15" s="5"/>
      <c r="ATQ15" s="5"/>
      <c r="ATR15" s="5"/>
      <c r="ATS15" s="5"/>
      <c r="ATT15" s="5"/>
      <c r="ATU15" s="5"/>
      <c r="ATV15" s="5"/>
      <c r="ATW15" s="5"/>
      <c r="ATX15" s="5"/>
      <c r="ATY15" s="5"/>
      <c r="ATZ15" s="5"/>
      <c r="AUA15" s="5"/>
      <c r="AUB15" s="5"/>
      <c r="AUC15" s="5"/>
      <c r="AUD15" s="5"/>
      <c r="AUE15" s="5"/>
      <c r="AUF15" s="5"/>
      <c r="AUG15" s="5"/>
      <c r="AUH15" s="5"/>
      <c r="AUI15" s="5"/>
      <c r="AUJ15" s="5"/>
      <c r="AUK15" s="5"/>
      <c r="AUL15" s="5"/>
      <c r="AUM15" s="5"/>
      <c r="AUN15" s="5"/>
      <c r="AUO15" s="5"/>
      <c r="AUP15" s="5"/>
      <c r="AUQ15" s="5"/>
      <c r="AUR15" s="5"/>
      <c r="AUS15" s="5"/>
      <c r="AUT15" s="5"/>
      <c r="AUU15" s="5"/>
      <c r="AUV15" s="5"/>
      <c r="AUW15" s="5"/>
      <c r="AUX15" s="5"/>
      <c r="AUY15" s="5"/>
      <c r="AUZ15" s="5"/>
      <c r="AVA15" s="5"/>
      <c r="AVB15" s="5"/>
      <c r="AVC15" s="5"/>
      <c r="AVD15" s="5"/>
      <c r="AVE15" s="5"/>
      <c r="AVF15" s="5"/>
      <c r="AVG15" s="5"/>
      <c r="AVH15" s="5"/>
      <c r="AVI15" s="5"/>
      <c r="AVJ15" s="5"/>
      <c r="AVK15" s="5"/>
      <c r="AVL15" s="5"/>
      <c r="AVM15" s="5"/>
      <c r="AVN15" s="5"/>
      <c r="AVO15" s="5"/>
      <c r="AVP15" s="5"/>
      <c r="AVQ15" s="5"/>
      <c r="AVR15" s="5"/>
      <c r="AVS15" s="5"/>
      <c r="AVT15" s="5"/>
      <c r="AVU15" s="5"/>
      <c r="AVV15" s="5"/>
      <c r="AVW15" s="5"/>
      <c r="AVX15" s="5"/>
      <c r="AVY15" s="5"/>
      <c r="AVZ15" s="5"/>
      <c r="AWA15" s="5"/>
      <c r="AWB15" s="5"/>
      <c r="AWC15" s="5"/>
      <c r="AWD15" s="5"/>
      <c r="AWE15" s="5"/>
      <c r="AWF15" s="5"/>
      <c r="AWG15" s="5"/>
      <c r="AWH15" s="5"/>
      <c r="AWI15" s="5"/>
      <c r="AWJ15" s="5"/>
      <c r="AWK15" s="5"/>
      <c r="AWL15" s="5"/>
      <c r="AWM15" s="5"/>
      <c r="AWN15" s="5"/>
      <c r="AWO15" s="5"/>
      <c r="AWP15" s="5"/>
      <c r="AWQ15" s="5"/>
      <c r="AWR15" s="5"/>
      <c r="AWS15" s="5"/>
      <c r="AWT15" s="5"/>
      <c r="AWU15" s="5"/>
      <c r="AWV15" s="5"/>
      <c r="AWW15" s="5"/>
      <c r="AWX15" s="5"/>
      <c r="AWY15" s="5"/>
      <c r="AWZ15" s="5"/>
      <c r="AXA15" s="5"/>
      <c r="AXB15" s="5"/>
      <c r="AXC15" s="5"/>
      <c r="AXD15" s="5"/>
      <c r="AXE15" s="5"/>
      <c r="AXF15" s="5"/>
      <c r="AXG15" s="5"/>
      <c r="AXH15" s="5"/>
      <c r="AXI15" s="5"/>
      <c r="AXJ15" s="5"/>
      <c r="AXK15" s="5"/>
      <c r="AXL15" s="5"/>
      <c r="AXM15" s="5"/>
      <c r="AXN15" s="5"/>
      <c r="AXO15" s="5"/>
      <c r="AXP15" s="5"/>
      <c r="AXQ15" s="5"/>
      <c r="AXR15" s="5"/>
      <c r="AXS15" s="5"/>
      <c r="AXT15" s="5"/>
      <c r="AXU15" s="5"/>
      <c r="AXV15" s="5"/>
      <c r="AXW15" s="5"/>
      <c r="AXX15" s="5"/>
      <c r="AXY15" s="5"/>
      <c r="AXZ15" s="5"/>
      <c r="AYA15" s="5"/>
      <c r="AYB15" s="5"/>
      <c r="AYC15" s="5"/>
      <c r="AYD15" s="5"/>
      <c r="AYE15" s="5"/>
      <c r="AYF15" s="5"/>
      <c r="AYG15" s="5"/>
      <c r="AYH15" s="5"/>
      <c r="AYI15" s="5"/>
      <c r="AYJ15" s="5"/>
      <c r="AYK15" s="5"/>
      <c r="AYL15" s="5"/>
      <c r="AYM15" s="5"/>
      <c r="AYN15" s="5"/>
      <c r="AYO15" s="5"/>
      <c r="AYP15" s="5"/>
      <c r="AYQ15" s="5"/>
      <c r="AYR15" s="5"/>
      <c r="AYS15" s="5"/>
      <c r="AYT15" s="5"/>
      <c r="AYU15" s="5"/>
      <c r="AYV15" s="5"/>
      <c r="AYW15" s="5"/>
      <c r="AYX15" s="5"/>
      <c r="AYY15" s="5"/>
      <c r="AYZ15" s="5"/>
      <c r="AZA15" s="5"/>
      <c r="AZB15" s="5"/>
      <c r="AZC15" s="5"/>
      <c r="AZD15" s="5"/>
      <c r="AZE15" s="5"/>
      <c r="AZF15" s="5"/>
      <c r="AZG15" s="5"/>
      <c r="AZH15" s="5"/>
      <c r="AZI15" s="5"/>
      <c r="AZJ15" s="5"/>
      <c r="AZK15" s="5"/>
      <c r="AZL15" s="5"/>
      <c r="AZM15" s="5"/>
      <c r="AZN15" s="5"/>
      <c r="AZO15" s="5"/>
      <c r="AZP15" s="5"/>
      <c r="AZQ15" s="5"/>
      <c r="AZR15" s="5"/>
      <c r="AZS15" s="5"/>
      <c r="AZT15" s="5"/>
      <c r="AZU15" s="5"/>
      <c r="AZV15" s="5"/>
      <c r="AZW15" s="5"/>
      <c r="AZX15" s="5"/>
      <c r="AZY15" s="5"/>
      <c r="AZZ15" s="5"/>
      <c r="BAA15" s="5"/>
      <c r="BAB15" s="5"/>
      <c r="BAC15" s="5"/>
      <c r="BAD15" s="5"/>
      <c r="BAE15" s="5"/>
      <c r="BAF15" s="5"/>
      <c r="BAG15" s="5"/>
      <c r="BAH15" s="5"/>
      <c r="BAI15" s="5"/>
      <c r="BAJ15" s="5"/>
      <c r="BAK15" s="5"/>
      <c r="BAL15" s="5"/>
      <c r="BAM15" s="5"/>
      <c r="BAN15" s="5"/>
      <c r="BAO15" s="5"/>
      <c r="BAP15" s="5"/>
      <c r="BAQ15" s="5"/>
      <c r="BAR15" s="5"/>
      <c r="BAS15" s="5"/>
      <c r="BAT15" s="5"/>
      <c r="BAU15" s="5"/>
      <c r="BAV15" s="5"/>
      <c r="BAW15" s="5"/>
      <c r="BAX15" s="5"/>
      <c r="BAY15" s="5"/>
      <c r="BAZ15" s="5"/>
      <c r="BBA15" s="5"/>
      <c r="BBB15" s="5"/>
      <c r="BBC15" s="5"/>
      <c r="BBD15" s="5"/>
      <c r="BBE15" s="5"/>
      <c r="BBF15" s="5"/>
      <c r="BBG15" s="5"/>
      <c r="BBH15" s="5"/>
      <c r="BBI15" s="5"/>
      <c r="BBJ15" s="5"/>
      <c r="BBK15" s="5"/>
      <c r="BBL15" s="5"/>
      <c r="BBM15" s="5"/>
      <c r="BBN15" s="5"/>
      <c r="BBO15" s="5"/>
      <c r="BBP15" s="5"/>
      <c r="BBQ15" s="5"/>
      <c r="BBR15" s="5"/>
      <c r="BBS15" s="5"/>
      <c r="BBT15" s="5"/>
      <c r="BBU15" s="5"/>
      <c r="BBV15" s="5"/>
      <c r="BBW15" s="5"/>
      <c r="BBX15" s="5"/>
      <c r="BBY15" s="5"/>
      <c r="BBZ15" s="5"/>
      <c r="BCA15" s="5"/>
      <c r="BCB15" s="5"/>
      <c r="BCC15" s="5"/>
      <c r="BCD15" s="5"/>
      <c r="BCE15" s="5"/>
      <c r="BCF15" s="5"/>
      <c r="BCG15" s="5"/>
      <c r="BCH15" s="5"/>
      <c r="BCI15" s="5"/>
      <c r="BCJ15" s="5"/>
      <c r="BCK15" s="5"/>
      <c r="BCL15" s="5"/>
      <c r="BCM15" s="5"/>
      <c r="BCN15" s="5"/>
      <c r="BCO15" s="5"/>
      <c r="BCP15" s="5"/>
      <c r="BCQ15" s="5"/>
      <c r="BCR15" s="5"/>
      <c r="BCS15" s="5"/>
      <c r="BCT15" s="5"/>
      <c r="BCU15" s="5"/>
      <c r="BCV15" s="5"/>
      <c r="BCW15" s="5"/>
      <c r="BCX15" s="5"/>
      <c r="BCY15" s="5"/>
      <c r="BCZ15" s="5"/>
      <c r="BDA15" s="5"/>
      <c r="BDB15" s="5"/>
      <c r="BDC15" s="5"/>
      <c r="BDD15" s="5"/>
      <c r="BDE15" s="5"/>
      <c r="BDF15" s="5"/>
      <c r="BDG15" s="5"/>
      <c r="BDH15" s="5"/>
      <c r="BDI15" s="5"/>
      <c r="BDJ15" s="5"/>
      <c r="BDK15" s="5"/>
      <c r="BDL15" s="5"/>
      <c r="BDM15" s="5"/>
      <c r="BDN15" s="5"/>
      <c r="BDO15" s="5"/>
      <c r="BDP15" s="5"/>
      <c r="BDQ15" s="5"/>
      <c r="BDR15" s="5"/>
      <c r="BDS15" s="5"/>
      <c r="BDT15" s="5"/>
      <c r="BDU15" s="5"/>
      <c r="BDV15" s="5"/>
      <c r="BDW15" s="5"/>
      <c r="BDX15" s="5"/>
      <c r="BDY15" s="5"/>
      <c r="BDZ15" s="5"/>
      <c r="BEA15" s="5"/>
      <c r="BEB15" s="5"/>
      <c r="BEC15" s="5"/>
      <c r="BED15" s="5"/>
      <c r="BEE15" s="5"/>
      <c r="BEF15" s="5"/>
      <c r="BEG15" s="5"/>
      <c r="BEH15" s="5"/>
      <c r="BEI15" s="5"/>
      <c r="BEJ15" s="5"/>
      <c r="BEK15" s="5"/>
      <c r="BEL15" s="5"/>
      <c r="BEM15" s="5"/>
      <c r="BEN15" s="5"/>
      <c r="BEO15" s="5"/>
      <c r="BEP15" s="5"/>
      <c r="BEQ15" s="5"/>
      <c r="BER15" s="5"/>
      <c r="BES15" s="5"/>
      <c r="BET15" s="5"/>
      <c r="BEU15" s="5"/>
      <c r="BEV15" s="5"/>
      <c r="BEW15" s="5"/>
      <c r="BEX15" s="5"/>
      <c r="BEY15" s="5"/>
      <c r="BEZ15" s="5"/>
      <c r="BFA15" s="5"/>
      <c r="BFB15" s="5"/>
      <c r="BFC15" s="5"/>
      <c r="BFD15" s="5"/>
      <c r="BFE15" s="5"/>
      <c r="BFF15" s="5"/>
      <c r="BFG15" s="5"/>
      <c r="BFH15" s="5"/>
      <c r="BFI15" s="5"/>
      <c r="BFJ15" s="5"/>
      <c r="BFK15" s="5"/>
      <c r="BFL15" s="5"/>
      <c r="BFM15" s="5"/>
      <c r="BFN15" s="5"/>
      <c r="BFO15" s="5"/>
      <c r="BFP15" s="5"/>
      <c r="BFQ15" s="5"/>
      <c r="BFR15" s="5"/>
      <c r="BFS15" s="5"/>
      <c r="BFT15" s="5"/>
      <c r="BFU15" s="5"/>
      <c r="BFV15" s="5"/>
      <c r="BFW15" s="5"/>
      <c r="BFX15" s="5"/>
      <c r="BFY15" s="5"/>
      <c r="BFZ15" s="5"/>
      <c r="BGA15" s="5"/>
      <c r="BGB15" s="5"/>
      <c r="BGC15" s="5"/>
      <c r="BGD15" s="5"/>
      <c r="BGE15" s="5"/>
      <c r="BGF15" s="5"/>
      <c r="BGG15" s="5"/>
      <c r="BGH15" s="5"/>
      <c r="BGI15" s="5"/>
      <c r="BGJ15" s="5"/>
      <c r="BGK15" s="5"/>
      <c r="BGL15" s="5"/>
      <c r="BGM15" s="5"/>
      <c r="BGN15" s="5"/>
      <c r="BGO15" s="5"/>
      <c r="BGP15" s="5"/>
      <c r="BGQ15" s="5"/>
      <c r="BGR15" s="5"/>
      <c r="BGS15" s="5"/>
      <c r="BGT15" s="5"/>
      <c r="BGU15" s="5"/>
      <c r="BGV15" s="5"/>
      <c r="BGW15" s="5"/>
      <c r="BGX15" s="5"/>
      <c r="BGY15" s="5"/>
      <c r="BGZ15" s="5"/>
      <c r="BHA15" s="5"/>
      <c r="BHB15" s="5"/>
      <c r="BHC15" s="5"/>
      <c r="BHD15" s="5"/>
      <c r="BHE15" s="5"/>
      <c r="BHF15" s="5"/>
      <c r="BHG15" s="5"/>
      <c r="BHH15" s="5"/>
      <c r="BHI15" s="5"/>
      <c r="BHJ15" s="5"/>
      <c r="BHK15" s="5"/>
      <c r="BHL15" s="5"/>
      <c r="BHM15" s="5"/>
      <c r="BHN15" s="5"/>
      <c r="BHO15" s="5"/>
      <c r="BHP15" s="5"/>
      <c r="BHQ15" s="5"/>
      <c r="BHR15" s="5"/>
      <c r="BHS15" s="5"/>
      <c r="BHT15" s="5"/>
      <c r="BHU15" s="5"/>
      <c r="BHV15" s="5"/>
      <c r="BHW15" s="5"/>
      <c r="BHX15" s="5"/>
      <c r="BHY15" s="5"/>
      <c r="BHZ15" s="5"/>
      <c r="BIA15" s="5"/>
      <c r="BIB15" s="5"/>
      <c r="BIC15" s="5"/>
      <c r="BID15" s="5"/>
      <c r="BIE15" s="5"/>
      <c r="BIF15" s="5"/>
      <c r="BIG15" s="5"/>
      <c r="BIH15" s="5"/>
      <c r="BII15" s="5"/>
      <c r="BIJ15" s="5"/>
      <c r="BIK15" s="5"/>
      <c r="BIL15" s="5"/>
      <c r="BIM15" s="5"/>
      <c r="BIN15" s="5"/>
      <c r="BIO15" s="5"/>
      <c r="BIP15" s="5"/>
      <c r="BIQ15" s="5"/>
      <c r="BIR15" s="5"/>
      <c r="BIS15" s="5"/>
      <c r="BIT15" s="5"/>
      <c r="BIU15" s="5"/>
      <c r="BIV15" s="5"/>
      <c r="BIW15" s="5"/>
      <c r="BIX15" s="5"/>
      <c r="BIY15" s="5"/>
      <c r="BIZ15" s="5"/>
      <c r="BJA15" s="5"/>
      <c r="BJB15" s="5"/>
      <c r="BJC15" s="5"/>
      <c r="BJD15" s="5"/>
      <c r="BJE15" s="5"/>
      <c r="BJF15" s="5"/>
      <c r="BJG15" s="5"/>
      <c r="BJH15" s="5"/>
      <c r="BJI15" s="5"/>
      <c r="BJJ15" s="5"/>
      <c r="BJK15" s="5"/>
      <c r="BJL15" s="5"/>
      <c r="BJM15" s="5"/>
      <c r="BJN15" s="5"/>
      <c r="BJO15" s="5"/>
      <c r="BJP15" s="5"/>
      <c r="BJQ15" s="5"/>
      <c r="BJR15" s="5"/>
      <c r="BJS15" s="5"/>
      <c r="BJT15" s="5"/>
      <c r="BJU15" s="5"/>
      <c r="BJV15" s="5"/>
      <c r="BJW15" s="5"/>
      <c r="BJX15" s="5"/>
      <c r="BJY15" s="5"/>
      <c r="BJZ15" s="5"/>
      <c r="BKA15" s="5"/>
      <c r="BKB15" s="5"/>
      <c r="BKC15" s="5"/>
      <c r="BKD15" s="5"/>
      <c r="BKE15" s="5"/>
      <c r="BKF15" s="5"/>
      <c r="BKG15" s="5"/>
      <c r="BKH15" s="5"/>
      <c r="BKI15" s="5"/>
      <c r="BKJ15" s="5"/>
      <c r="BKK15" s="5"/>
      <c r="BKL15" s="5"/>
      <c r="BKM15" s="5"/>
      <c r="BKN15" s="5"/>
      <c r="BKO15" s="5"/>
      <c r="BKP15" s="5"/>
      <c r="BKQ15" s="5"/>
      <c r="BKR15" s="5"/>
      <c r="BKS15" s="5"/>
      <c r="BKT15" s="5"/>
      <c r="BKU15" s="5"/>
      <c r="BKV15" s="5"/>
      <c r="BKW15" s="5"/>
      <c r="BKX15" s="5"/>
      <c r="BKY15" s="5"/>
      <c r="BKZ15" s="5"/>
      <c r="BLA15" s="5"/>
      <c r="BLB15" s="5"/>
      <c r="BLC15" s="5"/>
      <c r="BLD15" s="5"/>
      <c r="BLE15" s="5"/>
      <c r="BLF15" s="5"/>
      <c r="BLG15" s="5"/>
      <c r="BLH15" s="5"/>
      <c r="BLI15" s="5"/>
      <c r="BLJ15" s="5"/>
      <c r="BLK15" s="5"/>
      <c r="BLL15" s="5"/>
      <c r="BLM15" s="5"/>
      <c r="BLN15" s="5"/>
      <c r="BLO15" s="5"/>
      <c r="BLP15" s="5"/>
      <c r="BLQ15" s="5"/>
      <c r="BLR15" s="5"/>
      <c r="BLS15" s="5"/>
      <c r="BLT15" s="5"/>
      <c r="BLU15" s="5"/>
      <c r="BLV15" s="5"/>
      <c r="BLW15" s="5"/>
      <c r="BLX15" s="5"/>
      <c r="BLY15" s="5"/>
      <c r="BLZ15" s="5"/>
      <c r="BMA15" s="5"/>
      <c r="BMB15" s="5"/>
      <c r="BMC15" s="5"/>
      <c r="BMD15" s="5"/>
      <c r="BME15" s="5"/>
      <c r="BMF15" s="5"/>
      <c r="BMG15" s="5"/>
      <c r="BMH15" s="5"/>
      <c r="BMI15" s="5"/>
      <c r="BMJ15" s="5"/>
      <c r="BMK15" s="5"/>
      <c r="BML15" s="5"/>
      <c r="BMM15" s="5"/>
      <c r="BMN15" s="5"/>
      <c r="BMO15" s="5"/>
      <c r="BMP15" s="5"/>
      <c r="BMQ15" s="5"/>
      <c r="BMR15" s="5"/>
      <c r="BMS15" s="5"/>
      <c r="BMT15" s="5"/>
      <c r="BMU15" s="5"/>
      <c r="BMV15" s="5"/>
      <c r="BMW15" s="5"/>
      <c r="BMX15" s="5"/>
      <c r="BMY15" s="5"/>
      <c r="BMZ15" s="5"/>
      <c r="BNA15" s="5"/>
      <c r="BNB15" s="5"/>
      <c r="BNC15" s="5"/>
      <c r="BND15" s="5"/>
      <c r="BNE15" s="5"/>
      <c r="BNF15" s="5"/>
      <c r="BNG15" s="5"/>
      <c r="BNH15" s="5"/>
      <c r="BNI15" s="5"/>
      <c r="BNJ15" s="5"/>
      <c r="BNK15" s="5"/>
      <c r="BNL15" s="5"/>
      <c r="BNM15" s="5"/>
      <c r="BNN15" s="5"/>
      <c r="BNO15" s="5"/>
      <c r="BNP15" s="5"/>
      <c r="BNQ15" s="5"/>
      <c r="BNR15" s="5"/>
      <c r="BNS15" s="5"/>
      <c r="BNT15" s="5"/>
      <c r="BNU15" s="5"/>
      <c r="BNV15" s="5"/>
      <c r="BNW15" s="5"/>
      <c r="BNX15" s="5"/>
      <c r="BNY15" s="5"/>
      <c r="BNZ15" s="5"/>
      <c r="BOA15" s="5"/>
      <c r="BOB15" s="5"/>
      <c r="BOC15" s="5"/>
      <c r="BOD15" s="5"/>
      <c r="BOE15" s="5"/>
      <c r="BOF15" s="5"/>
      <c r="BOG15" s="5"/>
      <c r="BOH15" s="5"/>
      <c r="BOI15" s="5"/>
      <c r="BOJ15" s="5"/>
      <c r="BOK15" s="5"/>
      <c r="BOL15" s="5"/>
      <c r="BOM15" s="5"/>
      <c r="BON15" s="5"/>
      <c r="BOO15" s="5"/>
      <c r="BOP15" s="5"/>
      <c r="BOQ15" s="5"/>
      <c r="BOR15" s="5"/>
      <c r="BOS15" s="5"/>
      <c r="BOT15" s="5"/>
      <c r="BOU15" s="5"/>
      <c r="BOV15" s="5"/>
      <c r="BOW15" s="5"/>
      <c r="BOX15" s="5"/>
      <c r="BOY15" s="5"/>
      <c r="BOZ15" s="5"/>
      <c r="BPA15" s="5"/>
      <c r="BPB15" s="5"/>
      <c r="BPC15" s="5"/>
      <c r="BPD15" s="5"/>
      <c r="BPE15" s="5"/>
      <c r="BPF15" s="5"/>
      <c r="BPG15" s="5"/>
      <c r="BPH15" s="5"/>
      <c r="BPI15" s="5"/>
      <c r="BPJ15" s="5"/>
      <c r="BPK15" s="5"/>
      <c r="BPL15" s="5"/>
      <c r="BPM15" s="5"/>
      <c r="BPN15" s="5"/>
      <c r="BPO15" s="5"/>
      <c r="BPP15" s="5"/>
      <c r="BPQ15" s="5"/>
      <c r="BPR15" s="5"/>
      <c r="BPS15" s="5"/>
      <c r="BPT15" s="5"/>
      <c r="BPU15" s="5"/>
      <c r="BPV15" s="5"/>
      <c r="BPW15" s="5"/>
      <c r="BPX15" s="5"/>
      <c r="BPY15" s="5"/>
      <c r="BPZ15" s="5"/>
      <c r="BQA15" s="5"/>
      <c r="BQB15" s="5"/>
      <c r="BQC15" s="5"/>
      <c r="BQD15" s="5"/>
      <c r="BQE15" s="5"/>
      <c r="BQF15" s="5"/>
      <c r="BQG15" s="5"/>
      <c r="BQH15" s="5"/>
      <c r="BQI15" s="5"/>
      <c r="BQJ15" s="5"/>
      <c r="BQK15" s="5"/>
      <c r="BQL15" s="5"/>
      <c r="BQM15" s="5"/>
      <c r="BQN15" s="5"/>
      <c r="BQO15" s="5"/>
      <c r="BQP15" s="5"/>
      <c r="BQQ15" s="5"/>
      <c r="BQR15" s="5"/>
      <c r="BQS15" s="5"/>
      <c r="BQT15" s="5"/>
      <c r="BQU15" s="5"/>
      <c r="BQV15" s="5"/>
      <c r="BQW15" s="5"/>
      <c r="BQX15" s="5"/>
      <c r="BQY15" s="5"/>
      <c r="BQZ15" s="5"/>
      <c r="BRA15" s="5"/>
      <c r="BRB15" s="5"/>
      <c r="BRC15" s="5"/>
      <c r="BRD15" s="5"/>
      <c r="BRE15" s="5"/>
      <c r="BRF15" s="5"/>
      <c r="BRG15" s="5"/>
      <c r="BRH15" s="5"/>
      <c r="BRI15" s="5"/>
      <c r="BRJ15" s="5"/>
      <c r="BRK15" s="5"/>
      <c r="BRL15" s="5"/>
      <c r="BRM15" s="5"/>
      <c r="BRN15" s="5"/>
      <c r="BRO15" s="5"/>
      <c r="BRP15" s="5"/>
      <c r="BRQ15" s="5"/>
      <c r="BRR15" s="5"/>
      <c r="BRS15" s="5"/>
      <c r="BRT15" s="5"/>
      <c r="BRU15" s="5"/>
      <c r="BRV15" s="5"/>
      <c r="BRW15" s="5"/>
      <c r="BRX15" s="5"/>
      <c r="BRY15" s="5"/>
      <c r="BRZ15" s="5"/>
      <c r="BSA15" s="5"/>
      <c r="BSB15" s="5"/>
      <c r="BSC15" s="5"/>
      <c r="BSD15" s="5"/>
      <c r="BSE15" s="5"/>
      <c r="BSF15" s="5"/>
      <c r="BSG15" s="5"/>
      <c r="BSH15" s="5"/>
      <c r="BSI15" s="5"/>
      <c r="BSJ15" s="5"/>
      <c r="BSK15" s="5"/>
      <c r="BSL15" s="5"/>
      <c r="BSM15" s="5"/>
      <c r="BSN15" s="5"/>
      <c r="BSO15" s="5"/>
      <c r="BSP15" s="5"/>
      <c r="BSQ15" s="5"/>
      <c r="BSR15" s="5"/>
      <c r="BSS15" s="5"/>
      <c r="BST15" s="5"/>
      <c r="BSU15" s="5"/>
      <c r="BSV15" s="5"/>
      <c r="BSW15" s="5"/>
      <c r="BSX15" s="5"/>
      <c r="BSY15" s="5"/>
      <c r="BSZ15" s="5"/>
      <c r="BTA15" s="5"/>
      <c r="BTB15" s="5"/>
      <c r="BTC15" s="5"/>
      <c r="BTD15" s="5"/>
      <c r="BTE15" s="5"/>
      <c r="BTF15" s="5"/>
      <c r="BTG15" s="5"/>
      <c r="BTH15" s="5"/>
      <c r="BTI15" s="5"/>
      <c r="BTJ15" s="5"/>
      <c r="BTK15" s="5"/>
      <c r="BTL15" s="5"/>
      <c r="BTM15" s="5"/>
      <c r="BTN15" s="5"/>
      <c r="BTO15" s="5"/>
      <c r="BTP15" s="5"/>
      <c r="BTQ15" s="5"/>
      <c r="BTR15" s="5"/>
      <c r="BTS15" s="5"/>
      <c r="BTT15" s="5"/>
      <c r="BTU15" s="5"/>
      <c r="BTV15" s="5"/>
      <c r="BTW15" s="5"/>
      <c r="BTX15" s="5"/>
      <c r="BTY15" s="5"/>
      <c r="BTZ15" s="5"/>
      <c r="BUA15" s="5"/>
      <c r="BUB15" s="5"/>
      <c r="BUC15" s="5"/>
      <c r="BUD15" s="5"/>
      <c r="BUE15" s="5"/>
      <c r="BUF15" s="5"/>
      <c r="BUG15" s="5"/>
      <c r="BUH15" s="5"/>
      <c r="BUI15" s="5"/>
      <c r="BUJ15" s="5"/>
      <c r="BUK15" s="5"/>
      <c r="BUL15" s="5"/>
      <c r="BUM15" s="5"/>
      <c r="BUN15" s="5"/>
      <c r="BUO15" s="5"/>
      <c r="BUP15" s="5"/>
      <c r="BUQ15" s="5"/>
      <c r="BUR15" s="5"/>
      <c r="BUS15" s="5"/>
      <c r="BUT15" s="5"/>
      <c r="BUU15" s="5"/>
      <c r="BUV15" s="5"/>
      <c r="BUW15" s="5"/>
      <c r="BUX15" s="5"/>
      <c r="BUY15" s="5"/>
      <c r="BUZ15" s="5"/>
      <c r="BVA15" s="5"/>
      <c r="BVB15" s="5"/>
      <c r="BVC15" s="5"/>
      <c r="BVD15" s="5"/>
      <c r="BVE15" s="5"/>
      <c r="BVF15" s="5"/>
      <c r="BVG15" s="5"/>
      <c r="BVH15" s="5"/>
      <c r="BVI15" s="5"/>
      <c r="BVJ15" s="5"/>
      <c r="BVK15" s="5"/>
      <c r="BVL15" s="5"/>
      <c r="BVM15" s="5"/>
      <c r="BVN15" s="5"/>
      <c r="BVO15" s="5"/>
      <c r="BVP15" s="5"/>
      <c r="BVQ15" s="5"/>
      <c r="BVR15" s="5"/>
      <c r="BVS15" s="5"/>
      <c r="BVT15" s="5"/>
      <c r="BVU15" s="5"/>
      <c r="BVV15" s="5"/>
      <c r="BVW15" s="5"/>
      <c r="BVX15" s="5"/>
      <c r="BVY15" s="5"/>
      <c r="BVZ15" s="5"/>
      <c r="BWA15" s="5"/>
      <c r="BWB15" s="5"/>
      <c r="BWC15" s="5"/>
      <c r="BWD15" s="5"/>
      <c r="BWE15" s="5"/>
      <c r="BWF15" s="5"/>
      <c r="BWG15" s="5"/>
      <c r="BWH15" s="5"/>
      <c r="BWI15" s="5"/>
      <c r="BWJ15" s="5"/>
      <c r="BWK15" s="5"/>
      <c r="BWL15" s="5"/>
      <c r="BWM15" s="5"/>
      <c r="BWN15" s="5"/>
      <c r="BWO15" s="5"/>
      <c r="BWP15" s="5"/>
      <c r="BWQ15" s="5"/>
      <c r="BWR15" s="5"/>
      <c r="BWS15" s="5"/>
      <c r="BWT15" s="5"/>
      <c r="BWU15" s="5"/>
      <c r="BWV15" s="5"/>
      <c r="BWW15" s="5"/>
      <c r="BWX15" s="5"/>
      <c r="BWY15" s="5"/>
      <c r="BWZ15" s="5"/>
      <c r="BXA15" s="5"/>
      <c r="BXB15" s="5"/>
      <c r="BXC15" s="5"/>
      <c r="BXD15" s="5"/>
      <c r="BXE15" s="5"/>
      <c r="BXF15" s="5"/>
      <c r="BXG15" s="5"/>
      <c r="BXH15" s="5"/>
      <c r="BXI15" s="5"/>
      <c r="BXJ15" s="5"/>
      <c r="BXK15" s="5"/>
      <c r="BXL15" s="5"/>
      <c r="BXM15" s="5"/>
      <c r="BXN15" s="5"/>
      <c r="BXO15" s="5"/>
      <c r="BXP15" s="5"/>
      <c r="BXQ15" s="5"/>
      <c r="BXR15" s="5"/>
      <c r="BXS15" s="5"/>
      <c r="BXT15" s="5"/>
      <c r="BXU15" s="5"/>
      <c r="BXV15" s="5"/>
      <c r="BXW15" s="5"/>
      <c r="BXX15" s="5"/>
      <c r="BXY15" s="5"/>
      <c r="BXZ15" s="5"/>
      <c r="BYA15" s="5"/>
      <c r="BYB15" s="5"/>
      <c r="BYC15" s="5"/>
      <c r="BYD15" s="5"/>
      <c r="BYE15" s="5"/>
      <c r="BYF15" s="5"/>
      <c r="BYG15" s="5"/>
      <c r="BYH15" s="5"/>
      <c r="BYI15" s="5"/>
      <c r="BYJ15" s="5"/>
      <c r="BYK15" s="5"/>
      <c r="BYL15" s="5"/>
      <c r="BYM15" s="5"/>
      <c r="BYN15" s="5"/>
      <c r="BYO15" s="5"/>
      <c r="BYP15" s="5"/>
      <c r="BYQ15" s="5"/>
      <c r="BYR15" s="5"/>
      <c r="BYS15" s="5"/>
      <c r="BYT15" s="5"/>
      <c r="BYU15" s="5"/>
      <c r="BYV15" s="5"/>
      <c r="BYW15" s="5"/>
      <c r="BYX15" s="5"/>
      <c r="BYY15" s="5"/>
      <c r="BYZ15" s="5"/>
      <c r="BZA15" s="5"/>
      <c r="BZB15" s="5"/>
      <c r="BZC15" s="5"/>
      <c r="BZD15" s="5"/>
      <c r="BZE15" s="5"/>
      <c r="BZF15" s="5"/>
      <c r="BZG15" s="5"/>
      <c r="BZH15" s="5"/>
      <c r="BZI15" s="5"/>
      <c r="BZJ15" s="5"/>
      <c r="BZK15" s="5"/>
      <c r="BZL15" s="5"/>
      <c r="BZM15" s="5"/>
      <c r="BZN15" s="5"/>
      <c r="BZO15" s="5"/>
      <c r="BZP15" s="5"/>
      <c r="BZQ15" s="5"/>
      <c r="BZR15" s="5"/>
      <c r="BZS15" s="5"/>
      <c r="BZT15" s="5"/>
      <c r="BZU15" s="5"/>
      <c r="BZV15" s="5"/>
      <c r="BZW15" s="5"/>
      <c r="BZX15" s="5"/>
      <c r="BZY15" s="5"/>
      <c r="BZZ15" s="5"/>
      <c r="CAA15" s="5"/>
      <c r="CAB15" s="5"/>
      <c r="CAC15" s="5"/>
      <c r="CAD15" s="5"/>
      <c r="CAE15" s="5"/>
      <c r="CAF15" s="5"/>
      <c r="CAG15" s="5"/>
      <c r="CAH15" s="5"/>
      <c r="CAI15" s="5"/>
      <c r="CAJ15" s="5"/>
      <c r="CAK15" s="5"/>
      <c r="CAL15" s="5"/>
      <c r="CAM15" s="5"/>
      <c r="CAN15" s="5"/>
      <c r="CAO15" s="5"/>
      <c r="CAP15" s="5"/>
      <c r="CAQ15" s="5"/>
      <c r="CAR15" s="5"/>
      <c r="CAS15" s="5"/>
      <c r="CAT15" s="5"/>
      <c r="CAU15" s="5"/>
      <c r="CAV15" s="5"/>
      <c r="CAW15" s="5"/>
      <c r="CAX15" s="5"/>
      <c r="CAY15" s="5"/>
      <c r="CAZ15" s="5"/>
      <c r="CBA15" s="5"/>
      <c r="CBB15" s="5"/>
      <c r="CBC15" s="5"/>
      <c r="CBD15" s="5"/>
      <c r="CBE15" s="5"/>
      <c r="CBF15" s="5"/>
      <c r="CBG15" s="5"/>
      <c r="CBH15" s="5"/>
      <c r="CBI15" s="5"/>
      <c r="CBJ15" s="5"/>
      <c r="CBK15" s="5"/>
      <c r="CBL15" s="5"/>
      <c r="CBM15" s="5"/>
      <c r="CBN15" s="5"/>
      <c r="CBO15" s="5"/>
      <c r="CBP15" s="5"/>
      <c r="CBQ15" s="5"/>
      <c r="CBR15" s="5"/>
      <c r="CBS15" s="5"/>
      <c r="CBT15" s="5"/>
      <c r="CBU15" s="5"/>
      <c r="CBV15" s="5"/>
      <c r="CBW15" s="5"/>
      <c r="CBX15" s="5"/>
      <c r="CBY15" s="5"/>
      <c r="CBZ15" s="5"/>
      <c r="CCA15" s="5"/>
      <c r="CCB15" s="5"/>
      <c r="CCC15" s="5"/>
      <c r="CCD15" s="5"/>
      <c r="CCE15" s="5"/>
      <c r="CCF15" s="5"/>
      <c r="CCG15" s="5"/>
      <c r="CCH15" s="5"/>
      <c r="CCI15" s="5"/>
      <c r="CCJ15" s="5"/>
      <c r="CCK15" s="5"/>
      <c r="CCL15" s="5"/>
      <c r="CCM15" s="5"/>
      <c r="CCN15" s="5"/>
      <c r="CCO15" s="5"/>
      <c r="CCP15" s="5"/>
      <c r="CCQ15" s="5"/>
      <c r="CCR15" s="5"/>
      <c r="CCS15" s="5"/>
      <c r="CCT15" s="5"/>
      <c r="CCU15" s="5"/>
      <c r="CCV15" s="5"/>
      <c r="CCW15" s="5"/>
      <c r="CCX15" s="5"/>
      <c r="CCY15" s="5"/>
      <c r="CCZ15" s="5"/>
      <c r="CDA15" s="5"/>
      <c r="CDB15" s="5"/>
      <c r="CDC15" s="5"/>
      <c r="CDD15" s="5"/>
      <c r="CDE15" s="5"/>
      <c r="CDF15" s="5"/>
      <c r="CDG15" s="5"/>
      <c r="CDH15" s="5"/>
      <c r="CDI15" s="5"/>
      <c r="CDJ15" s="5"/>
      <c r="CDK15" s="5"/>
      <c r="CDL15" s="5"/>
      <c r="CDM15" s="5"/>
      <c r="CDN15" s="5"/>
      <c r="CDO15" s="5"/>
      <c r="CDP15" s="5"/>
      <c r="CDQ15" s="5"/>
      <c r="CDR15" s="5"/>
      <c r="CDS15" s="5"/>
      <c r="CDT15" s="5"/>
      <c r="CDU15" s="5"/>
      <c r="CDV15" s="5"/>
      <c r="CDW15" s="5"/>
      <c r="CDX15" s="5"/>
      <c r="CDY15" s="5"/>
      <c r="CDZ15" s="5"/>
      <c r="CEA15" s="5"/>
      <c r="CEB15" s="5"/>
      <c r="CEC15" s="5"/>
      <c r="CED15" s="5"/>
      <c r="CEE15" s="5"/>
      <c r="CEF15" s="5"/>
      <c r="CEG15" s="5"/>
      <c r="CEH15" s="5"/>
      <c r="CEI15" s="5"/>
      <c r="CEJ15" s="5"/>
      <c r="CEK15" s="5"/>
      <c r="CEL15" s="5"/>
      <c r="CEM15" s="5"/>
      <c r="CEN15" s="5"/>
      <c r="CEO15" s="5"/>
      <c r="CEP15" s="5"/>
      <c r="CEQ15" s="5"/>
      <c r="CER15" s="5"/>
      <c r="CES15" s="5"/>
      <c r="CET15" s="5"/>
      <c r="CEU15" s="5"/>
      <c r="CEV15" s="5"/>
      <c r="CEW15" s="5"/>
      <c r="CEX15" s="5"/>
      <c r="CEY15" s="5"/>
      <c r="CEZ15" s="5"/>
      <c r="CFA15" s="5"/>
      <c r="CFB15" s="5"/>
      <c r="CFC15" s="5"/>
      <c r="CFD15" s="5"/>
      <c r="CFE15" s="5"/>
      <c r="CFF15" s="5"/>
      <c r="CFG15" s="5"/>
      <c r="CFH15" s="5"/>
      <c r="CFI15" s="5"/>
      <c r="CFJ15" s="5"/>
      <c r="CFK15" s="5"/>
      <c r="CFL15" s="5"/>
      <c r="CFM15" s="5"/>
      <c r="CFN15" s="5"/>
      <c r="CFO15" s="5"/>
      <c r="CFP15" s="5"/>
      <c r="CFQ15" s="5"/>
      <c r="CFR15" s="5"/>
      <c r="CFS15" s="5"/>
      <c r="CFT15" s="5"/>
      <c r="CFU15" s="5"/>
      <c r="CFV15" s="5"/>
      <c r="CFW15" s="5"/>
      <c r="CFX15" s="5"/>
      <c r="CFY15" s="5"/>
      <c r="CFZ15" s="5"/>
      <c r="CGA15" s="5"/>
      <c r="CGB15" s="5"/>
      <c r="CGC15" s="5"/>
      <c r="CGD15" s="5"/>
      <c r="CGE15" s="5"/>
      <c r="CGF15" s="5"/>
      <c r="CGG15" s="5"/>
      <c r="CGH15" s="5"/>
      <c r="CGI15" s="5"/>
      <c r="CGJ15" s="5"/>
      <c r="CGK15" s="5"/>
      <c r="CGL15" s="5"/>
      <c r="CGM15" s="5"/>
      <c r="CGN15" s="5"/>
      <c r="CGO15" s="5"/>
      <c r="CGP15" s="5"/>
      <c r="CGQ15" s="5"/>
      <c r="CGR15" s="5"/>
      <c r="CGS15" s="5"/>
      <c r="CGT15" s="5"/>
      <c r="CGU15" s="5"/>
      <c r="CGV15" s="5"/>
      <c r="CGW15" s="5"/>
      <c r="CGX15" s="5"/>
      <c r="CGY15" s="5"/>
      <c r="CGZ15" s="5"/>
      <c r="CHA15" s="5"/>
      <c r="CHB15" s="5"/>
      <c r="CHC15" s="5"/>
      <c r="CHD15" s="5"/>
      <c r="CHE15" s="5"/>
      <c r="CHF15" s="5"/>
      <c r="CHG15" s="5"/>
      <c r="CHH15" s="5"/>
      <c r="CHI15" s="5"/>
      <c r="CHJ15" s="5"/>
      <c r="CHK15" s="5"/>
      <c r="CHL15" s="5"/>
      <c r="CHM15" s="5"/>
      <c r="CHN15" s="5"/>
      <c r="CHO15" s="5"/>
      <c r="CHP15" s="5"/>
      <c r="CHQ15" s="5"/>
      <c r="CHR15" s="5"/>
      <c r="CHS15" s="5"/>
      <c r="CHT15" s="5"/>
      <c r="CHU15" s="5"/>
      <c r="CHV15" s="5"/>
      <c r="CHW15" s="5"/>
      <c r="CHX15" s="5"/>
      <c r="CHY15" s="5"/>
      <c r="CHZ15" s="5"/>
      <c r="CIA15" s="5"/>
      <c r="CIB15" s="5"/>
      <c r="CIC15" s="5"/>
      <c r="CID15" s="5"/>
      <c r="CIE15" s="5"/>
      <c r="CIF15" s="5"/>
      <c r="CIG15" s="5"/>
      <c r="CIH15" s="5"/>
      <c r="CII15" s="5"/>
      <c r="CIJ15" s="5"/>
      <c r="CIK15" s="5"/>
      <c r="CIL15" s="5"/>
      <c r="CIM15" s="5"/>
      <c r="CIN15" s="5"/>
      <c r="CIO15" s="5"/>
      <c r="CIP15" s="5"/>
      <c r="CIQ15" s="5"/>
      <c r="CIR15" s="5"/>
      <c r="CIS15" s="5"/>
      <c r="CIT15" s="5"/>
      <c r="CIU15" s="5"/>
      <c r="CIV15" s="5"/>
      <c r="CIW15" s="5"/>
      <c r="CIX15" s="5"/>
      <c r="CIY15" s="5"/>
      <c r="CIZ15" s="5"/>
      <c r="CJA15" s="5"/>
      <c r="CJB15" s="5"/>
      <c r="CJC15" s="5"/>
      <c r="CJD15" s="5"/>
      <c r="CJE15" s="5"/>
      <c r="CJF15" s="5"/>
      <c r="CJG15" s="5"/>
      <c r="CJH15" s="5"/>
      <c r="CJI15" s="5"/>
      <c r="CJJ15" s="5"/>
      <c r="CJK15" s="5"/>
      <c r="CJL15" s="5"/>
      <c r="CJM15" s="5"/>
      <c r="CJN15" s="5"/>
      <c r="CJO15" s="5"/>
      <c r="CJP15" s="5"/>
      <c r="CJQ15" s="5"/>
      <c r="CJR15" s="5"/>
      <c r="CJS15" s="5"/>
      <c r="CJT15" s="5"/>
      <c r="CJU15" s="5"/>
      <c r="CJV15" s="5"/>
      <c r="CJW15" s="5"/>
      <c r="CJX15" s="5"/>
      <c r="CJY15" s="5"/>
      <c r="CJZ15" s="5"/>
      <c r="CKA15" s="5"/>
      <c r="CKB15" s="5"/>
      <c r="CKC15" s="5"/>
      <c r="CKD15" s="5"/>
      <c r="CKE15" s="5"/>
      <c r="CKF15" s="5"/>
      <c r="CKG15" s="5"/>
      <c r="CKH15" s="5"/>
      <c r="CKI15" s="5"/>
      <c r="CKJ15" s="5"/>
      <c r="CKK15" s="5"/>
      <c r="CKL15" s="5"/>
      <c r="CKM15" s="5"/>
      <c r="CKN15" s="5"/>
      <c r="CKO15" s="5"/>
      <c r="CKP15" s="5"/>
      <c r="CKQ15" s="5"/>
      <c r="CKR15" s="5"/>
      <c r="CKS15" s="5"/>
      <c r="CKT15" s="5"/>
      <c r="CKU15" s="5"/>
      <c r="CKV15" s="5"/>
      <c r="CKW15" s="5"/>
      <c r="CKX15" s="5"/>
      <c r="CKY15" s="5"/>
      <c r="CKZ15" s="5"/>
      <c r="CLA15" s="5"/>
      <c r="CLB15" s="5"/>
      <c r="CLC15" s="5"/>
      <c r="CLD15" s="5"/>
      <c r="CLE15" s="5"/>
      <c r="CLF15" s="5"/>
      <c r="CLG15" s="5"/>
      <c r="CLH15" s="5"/>
      <c r="CLI15" s="5"/>
      <c r="CLJ15" s="5"/>
      <c r="CLK15" s="5"/>
      <c r="CLL15" s="5"/>
      <c r="CLM15" s="5"/>
      <c r="CLN15" s="5"/>
      <c r="CLO15" s="5"/>
      <c r="CLP15" s="5"/>
      <c r="CLQ15" s="5"/>
      <c r="CLR15" s="5"/>
      <c r="CLS15" s="5"/>
      <c r="CLT15" s="5"/>
      <c r="CLU15" s="5"/>
      <c r="CLV15" s="5"/>
      <c r="CLW15" s="5"/>
      <c r="CLX15" s="5"/>
      <c r="CLY15" s="5"/>
      <c r="CLZ15" s="5"/>
      <c r="CMA15" s="5"/>
      <c r="CMB15" s="5"/>
      <c r="CMC15" s="5"/>
      <c r="CMD15" s="5"/>
      <c r="CME15" s="5"/>
      <c r="CMF15" s="5"/>
      <c r="CMG15" s="5"/>
      <c r="CMH15" s="5"/>
      <c r="CMI15" s="5"/>
      <c r="CMJ15" s="5"/>
      <c r="CMK15" s="5"/>
      <c r="CML15" s="5"/>
      <c r="CMM15" s="5"/>
      <c r="CMN15" s="5"/>
      <c r="CMO15" s="5"/>
      <c r="CMP15" s="5"/>
      <c r="CMQ15" s="5"/>
      <c r="CMR15" s="5"/>
      <c r="CMS15" s="5"/>
      <c r="CMT15" s="5"/>
      <c r="CMU15" s="5"/>
      <c r="CMV15" s="5"/>
      <c r="CMW15" s="5"/>
      <c r="CMX15" s="5"/>
      <c r="CMY15" s="5"/>
      <c r="CMZ15" s="5"/>
      <c r="CNA15" s="5"/>
      <c r="CNB15" s="5"/>
      <c r="CNC15" s="5"/>
      <c r="CND15" s="5"/>
      <c r="CNE15" s="5"/>
      <c r="CNF15" s="5"/>
      <c r="CNG15" s="5"/>
      <c r="CNH15" s="5"/>
      <c r="CNI15" s="5"/>
      <c r="CNJ15" s="5"/>
      <c r="CNK15" s="5"/>
      <c r="CNL15" s="5"/>
      <c r="CNM15" s="5"/>
      <c r="CNN15" s="5"/>
      <c r="CNO15" s="5"/>
      <c r="CNP15" s="5"/>
      <c r="CNQ15" s="5"/>
      <c r="CNR15" s="5"/>
      <c r="CNS15" s="5"/>
      <c r="CNT15" s="5"/>
      <c r="CNU15" s="5"/>
      <c r="CNV15" s="5"/>
      <c r="CNW15" s="5"/>
      <c r="CNX15" s="5"/>
      <c r="CNY15" s="5"/>
      <c r="CNZ15" s="5"/>
      <c r="COA15" s="5"/>
      <c r="COB15" s="5"/>
      <c r="COC15" s="5"/>
      <c r="COD15" s="5"/>
      <c r="COE15" s="5"/>
      <c r="COF15" s="5"/>
      <c r="COG15" s="5"/>
      <c r="COH15" s="5"/>
      <c r="COI15" s="5"/>
      <c r="COJ15" s="5"/>
      <c r="COK15" s="5"/>
      <c r="COL15" s="5"/>
      <c r="COM15" s="5"/>
      <c r="CON15" s="5"/>
      <c r="COO15" s="5"/>
      <c r="COP15" s="5"/>
      <c r="COQ15" s="5"/>
      <c r="COR15" s="5"/>
      <c r="COS15" s="5"/>
      <c r="COT15" s="5"/>
      <c r="COU15" s="5"/>
      <c r="COV15" s="5"/>
      <c r="COW15" s="5"/>
      <c r="COX15" s="5"/>
      <c r="COY15" s="5"/>
      <c r="COZ15" s="5"/>
      <c r="CPA15" s="5"/>
      <c r="CPB15" s="5"/>
      <c r="CPC15" s="5"/>
      <c r="CPD15" s="5"/>
      <c r="CPE15" s="5"/>
      <c r="CPF15" s="5"/>
      <c r="CPG15" s="5"/>
      <c r="CPH15" s="5"/>
      <c r="CPI15" s="5"/>
      <c r="CPJ15" s="5"/>
      <c r="CPK15" s="5"/>
      <c r="CPL15" s="5"/>
      <c r="CPM15" s="5"/>
      <c r="CPN15" s="5"/>
      <c r="CPO15" s="5"/>
      <c r="CPP15" s="5"/>
      <c r="CPQ15" s="5"/>
      <c r="CPR15" s="5"/>
      <c r="CPS15" s="5"/>
      <c r="CPT15" s="5"/>
      <c r="CPU15" s="5"/>
      <c r="CPV15" s="5"/>
      <c r="CPW15" s="5"/>
      <c r="CPX15" s="5"/>
      <c r="CPY15" s="5"/>
      <c r="CPZ15" s="5"/>
      <c r="CQA15" s="5"/>
      <c r="CQB15" s="5"/>
      <c r="CQC15" s="5"/>
      <c r="CQD15" s="5"/>
      <c r="CQE15" s="5"/>
      <c r="CQF15" s="5"/>
      <c r="CQG15" s="5"/>
      <c r="CQH15" s="5"/>
      <c r="CQI15" s="5"/>
      <c r="CQJ15" s="5"/>
      <c r="CQK15" s="5"/>
      <c r="CQL15" s="5"/>
      <c r="CQM15" s="5"/>
      <c r="CQN15" s="5"/>
      <c r="CQO15" s="5"/>
      <c r="CQP15" s="5"/>
      <c r="CQQ15" s="5"/>
      <c r="CQR15" s="5"/>
      <c r="CQS15" s="5"/>
      <c r="CQT15" s="5"/>
      <c r="CQU15" s="5"/>
      <c r="CQV15" s="5"/>
      <c r="CQW15" s="5"/>
      <c r="CQX15" s="5"/>
      <c r="CQY15" s="5"/>
      <c r="CQZ15" s="5"/>
      <c r="CRA15" s="5"/>
      <c r="CRB15" s="5"/>
      <c r="CRC15" s="5"/>
      <c r="CRD15" s="5"/>
      <c r="CRE15" s="5"/>
      <c r="CRF15" s="5"/>
      <c r="CRG15" s="5"/>
      <c r="CRH15" s="5"/>
      <c r="CRI15" s="5"/>
      <c r="CRJ15" s="5"/>
      <c r="CRK15" s="5"/>
      <c r="CRL15" s="5"/>
      <c r="CRM15" s="5"/>
      <c r="CRN15" s="5"/>
      <c r="CRO15" s="5"/>
      <c r="CRP15" s="5"/>
      <c r="CRQ15" s="5"/>
      <c r="CRR15" s="5"/>
      <c r="CRS15" s="5"/>
      <c r="CRT15" s="5"/>
      <c r="CRU15" s="5"/>
      <c r="CRV15" s="5"/>
      <c r="CRW15" s="5"/>
      <c r="CRX15" s="5"/>
      <c r="CRY15" s="5"/>
      <c r="CRZ15" s="5"/>
      <c r="CSA15" s="5"/>
      <c r="CSB15" s="5"/>
      <c r="CSC15" s="5"/>
      <c r="CSD15" s="5"/>
      <c r="CSE15" s="5"/>
      <c r="CSF15" s="5"/>
      <c r="CSG15" s="5"/>
      <c r="CSH15" s="5"/>
      <c r="CSI15" s="5"/>
      <c r="CSJ15" s="5"/>
      <c r="CSK15" s="5"/>
      <c r="CSL15" s="5"/>
      <c r="CSM15" s="5"/>
      <c r="CSN15" s="5"/>
      <c r="CSO15" s="5"/>
      <c r="CSP15" s="5"/>
      <c r="CSQ15" s="5"/>
      <c r="CSR15" s="5"/>
      <c r="CSS15" s="5"/>
      <c r="CST15" s="5"/>
      <c r="CSU15" s="5"/>
      <c r="CSV15" s="5"/>
      <c r="CSW15" s="5"/>
      <c r="CSX15" s="5"/>
      <c r="CSY15" s="5"/>
      <c r="CSZ15" s="5"/>
      <c r="CTA15" s="5"/>
      <c r="CTB15" s="5"/>
      <c r="CTC15" s="5"/>
      <c r="CTD15" s="5"/>
      <c r="CTE15" s="5"/>
      <c r="CTF15" s="5"/>
      <c r="CTG15" s="5"/>
      <c r="CTH15" s="5"/>
      <c r="CTI15" s="5"/>
      <c r="CTJ15" s="5"/>
      <c r="CTK15" s="5"/>
      <c r="CTL15" s="5"/>
      <c r="CTM15" s="5"/>
      <c r="CTN15" s="5"/>
      <c r="CTO15" s="5"/>
      <c r="CTP15" s="5"/>
      <c r="CTQ15" s="5"/>
      <c r="CTR15" s="5"/>
      <c r="CTS15" s="5"/>
      <c r="CTT15" s="5"/>
      <c r="CTU15" s="5"/>
      <c r="CTV15" s="5"/>
      <c r="CTW15" s="5"/>
      <c r="CTX15" s="5"/>
      <c r="CTY15" s="5"/>
      <c r="CTZ15" s="5"/>
      <c r="CUA15" s="5"/>
      <c r="CUB15" s="5"/>
      <c r="CUC15" s="5"/>
      <c r="CUD15" s="5"/>
      <c r="CUE15" s="5"/>
      <c r="CUF15" s="5"/>
      <c r="CUG15" s="5"/>
      <c r="CUH15" s="5"/>
      <c r="CUI15" s="5"/>
      <c r="CUJ15" s="5"/>
      <c r="CUK15" s="5"/>
      <c r="CUL15" s="5"/>
      <c r="CUM15" s="5"/>
      <c r="CUN15" s="5"/>
      <c r="CUO15" s="5"/>
      <c r="CUP15" s="5"/>
      <c r="CUQ15" s="5"/>
      <c r="CUR15" s="5"/>
      <c r="CUS15" s="5"/>
      <c r="CUT15" s="5"/>
      <c r="CUU15" s="5"/>
      <c r="CUV15" s="5"/>
      <c r="CUW15" s="5"/>
      <c r="CUX15" s="5"/>
      <c r="CUY15" s="5"/>
      <c r="CUZ15" s="5"/>
      <c r="CVA15" s="5"/>
      <c r="CVB15" s="5"/>
      <c r="CVC15" s="5"/>
      <c r="CVD15" s="5"/>
      <c r="CVE15" s="5"/>
      <c r="CVF15" s="5"/>
      <c r="CVG15" s="5"/>
      <c r="CVH15" s="5"/>
      <c r="CVI15" s="5"/>
      <c r="CVJ15" s="5"/>
      <c r="CVK15" s="5"/>
      <c r="CVL15" s="5"/>
      <c r="CVM15" s="5"/>
      <c r="CVN15" s="5"/>
      <c r="CVO15" s="5"/>
      <c r="CVP15" s="5"/>
      <c r="CVQ15" s="5"/>
      <c r="CVR15" s="5"/>
      <c r="CVS15" s="5"/>
      <c r="CVT15" s="5"/>
      <c r="CVU15" s="5"/>
      <c r="CVV15" s="5"/>
      <c r="CVW15" s="5"/>
      <c r="CVX15" s="5"/>
      <c r="CVY15" s="5"/>
      <c r="CVZ15" s="5"/>
      <c r="CWA15" s="5"/>
      <c r="CWB15" s="5"/>
      <c r="CWC15" s="5"/>
      <c r="CWD15" s="5"/>
      <c r="CWE15" s="5"/>
      <c r="CWF15" s="5"/>
      <c r="CWG15" s="5"/>
      <c r="CWH15" s="5"/>
      <c r="CWI15" s="5"/>
      <c r="CWJ15" s="5"/>
      <c r="CWK15" s="5"/>
      <c r="CWL15" s="5"/>
      <c r="CWM15" s="5"/>
      <c r="CWN15" s="5"/>
      <c r="CWO15" s="5"/>
      <c r="CWP15" s="5"/>
      <c r="CWQ15" s="5"/>
      <c r="CWR15" s="5"/>
      <c r="CWS15" s="5"/>
      <c r="CWT15" s="5"/>
      <c r="CWU15" s="5"/>
      <c r="CWV15" s="5"/>
      <c r="CWW15" s="5"/>
      <c r="CWX15" s="5"/>
      <c r="CWY15" s="5"/>
      <c r="CWZ15" s="5"/>
      <c r="CXA15" s="5"/>
      <c r="CXB15" s="5"/>
      <c r="CXC15" s="5"/>
      <c r="CXD15" s="5"/>
      <c r="CXE15" s="5"/>
      <c r="CXF15" s="5"/>
      <c r="CXG15" s="5"/>
      <c r="CXH15" s="5"/>
      <c r="CXI15" s="5"/>
      <c r="CXJ15" s="5"/>
      <c r="CXK15" s="5"/>
      <c r="CXL15" s="5"/>
      <c r="CXM15" s="5"/>
      <c r="CXN15" s="5"/>
      <c r="CXO15" s="5"/>
      <c r="CXP15" s="5"/>
      <c r="CXQ15" s="5"/>
      <c r="CXR15" s="5"/>
      <c r="CXS15" s="5"/>
      <c r="CXT15" s="5"/>
      <c r="CXU15" s="5"/>
      <c r="CXV15" s="5"/>
      <c r="CXW15" s="5"/>
      <c r="CXX15" s="5"/>
      <c r="CXY15" s="5"/>
      <c r="CXZ15" s="5"/>
      <c r="CYA15" s="5"/>
      <c r="CYB15" s="5"/>
      <c r="CYC15" s="5"/>
      <c r="CYD15" s="5"/>
      <c r="CYE15" s="5"/>
      <c r="CYF15" s="5"/>
      <c r="CYG15" s="5"/>
      <c r="CYH15" s="5"/>
      <c r="CYI15" s="5"/>
      <c r="CYJ15" s="5"/>
      <c r="CYK15" s="5"/>
      <c r="CYL15" s="5"/>
      <c r="CYM15" s="5"/>
      <c r="CYN15" s="5"/>
      <c r="CYO15" s="5"/>
      <c r="CYP15" s="5"/>
      <c r="CYQ15" s="5"/>
      <c r="CYR15" s="5"/>
      <c r="CYS15" s="5"/>
      <c r="CYT15" s="5"/>
      <c r="CYU15" s="5"/>
      <c r="CYV15" s="5"/>
      <c r="CYW15" s="5"/>
      <c r="CYX15" s="5"/>
      <c r="CYY15" s="5"/>
      <c r="CYZ15" s="5"/>
      <c r="CZA15" s="5"/>
      <c r="CZB15" s="5"/>
      <c r="CZC15" s="5"/>
      <c r="CZD15" s="5"/>
      <c r="CZE15" s="5"/>
      <c r="CZF15" s="5"/>
      <c r="CZG15" s="5"/>
      <c r="CZH15" s="5"/>
      <c r="CZI15" s="5"/>
      <c r="CZJ15" s="5"/>
      <c r="CZK15" s="5"/>
      <c r="CZL15" s="5"/>
      <c r="CZM15" s="5"/>
      <c r="CZN15" s="5"/>
      <c r="CZO15" s="5"/>
      <c r="CZP15" s="5"/>
      <c r="CZQ15" s="5"/>
      <c r="CZR15" s="5"/>
      <c r="CZS15" s="5"/>
      <c r="CZT15" s="5"/>
      <c r="CZU15" s="5"/>
      <c r="CZV15" s="5"/>
      <c r="CZW15" s="5"/>
      <c r="CZX15" s="5"/>
      <c r="CZY15" s="5"/>
      <c r="CZZ15" s="5"/>
      <c r="DAA15" s="5"/>
      <c r="DAB15" s="5"/>
      <c r="DAC15" s="5"/>
      <c r="DAD15" s="5"/>
      <c r="DAE15" s="5"/>
      <c r="DAF15" s="5"/>
      <c r="DAG15" s="5"/>
      <c r="DAH15" s="5"/>
      <c r="DAI15" s="5"/>
      <c r="DAJ15" s="5"/>
      <c r="DAK15" s="5"/>
      <c r="DAL15" s="5"/>
      <c r="DAM15" s="5"/>
      <c r="DAN15" s="5"/>
      <c r="DAO15" s="5"/>
      <c r="DAP15" s="5"/>
      <c r="DAQ15" s="5"/>
      <c r="DAR15" s="5"/>
      <c r="DAS15" s="5"/>
      <c r="DAT15" s="5"/>
      <c r="DAU15" s="5"/>
      <c r="DAV15" s="5"/>
      <c r="DAW15" s="5"/>
      <c r="DAX15" s="5"/>
      <c r="DAY15" s="5"/>
      <c r="DAZ15" s="5"/>
      <c r="DBA15" s="5"/>
      <c r="DBB15" s="5"/>
      <c r="DBC15" s="5"/>
      <c r="DBD15" s="5"/>
      <c r="DBE15" s="5"/>
      <c r="DBF15" s="5"/>
      <c r="DBG15" s="5"/>
    </row>
    <row r="16" spans="1:2763" ht="16.5" customHeight="1" x14ac:dyDescent="0.25">
      <c r="A16" s="14">
        <v>37</v>
      </c>
      <c r="B16" s="27">
        <v>570</v>
      </c>
      <c r="C16" s="151" t="s">
        <v>62</v>
      </c>
      <c r="D16" s="9"/>
      <c r="E16" s="9"/>
      <c r="F16" s="16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67"/>
      <c r="V16" s="9"/>
      <c r="W16" s="9"/>
      <c r="X16" s="9"/>
      <c r="Y16" s="9"/>
      <c r="Z16" s="9"/>
      <c r="AA16" s="9"/>
      <c r="AB16" s="11"/>
      <c r="AC16" s="11"/>
      <c r="AD16" s="11"/>
      <c r="AE16" s="163"/>
      <c r="AF16" s="162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</row>
    <row r="17" spans="1:2763" s="3" customFormat="1" ht="16.5" customHeight="1" x14ac:dyDescent="0.25">
      <c r="A17" s="14">
        <v>38</v>
      </c>
      <c r="B17" s="27">
        <v>0.45</v>
      </c>
      <c r="C17" s="152" t="s">
        <v>21</v>
      </c>
      <c r="D17" s="9"/>
      <c r="E17" s="9"/>
      <c r="F17" s="166"/>
      <c r="G17" s="9"/>
      <c r="H17" s="9"/>
      <c r="I17" s="9"/>
      <c r="J17" s="9"/>
      <c r="K17" s="9">
        <v>7</v>
      </c>
      <c r="L17" s="9">
        <v>5</v>
      </c>
      <c r="M17" s="9"/>
      <c r="N17" s="9"/>
      <c r="O17" s="9"/>
      <c r="P17" s="9"/>
      <c r="Q17" s="6"/>
      <c r="R17" s="9">
        <v>5</v>
      </c>
      <c r="S17" s="9">
        <v>5</v>
      </c>
      <c r="T17" s="9">
        <v>5</v>
      </c>
      <c r="U17" s="167">
        <v>15</v>
      </c>
      <c r="V17" s="9">
        <v>16</v>
      </c>
      <c r="W17" s="9">
        <v>10</v>
      </c>
      <c r="X17" s="9">
        <v>9</v>
      </c>
      <c r="Y17" s="9"/>
      <c r="Z17" s="9">
        <v>19</v>
      </c>
      <c r="AA17" s="9"/>
      <c r="AB17" s="11"/>
      <c r="AC17" s="11"/>
      <c r="AD17" s="11"/>
      <c r="AE17" s="163"/>
      <c r="AF17" s="162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  <c r="ADB17" s="5"/>
      <c r="ADC17" s="5"/>
      <c r="ADD17" s="5"/>
      <c r="ADE17" s="5"/>
      <c r="ADF17" s="5"/>
      <c r="ADG17" s="5"/>
      <c r="ADH17" s="5"/>
      <c r="ADI17" s="5"/>
      <c r="ADJ17" s="5"/>
      <c r="ADK17" s="5"/>
      <c r="ADL17" s="5"/>
      <c r="ADM17" s="5"/>
      <c r="ADN17" s="5"/>
      <c r="ADO17" s="5"/>
      <c r="ADP17" s="5"/>
      <c r="ADQ17" s="5"/>
      <c r="ADR17" s="5"/>
      <c r="ADS17" s="5"/>
      <c r="ADT17" s="5"/>
      <c r="ADU17" s="5"/>
      <c r="ADV17" s="5"/>
      <c r="ADW17" s="5"/>
      <c r="ADX17" s="5"/>
      <c r="ADY17" s="5"/>
      <c r="ADZ17" s="5"/>
      <c r="AEA17" s="5"/>
      <c r="AEB17" s="5"/>
      <c r="AEC17" s="5"/>
      <c r="AED17" s="5"/>
      <c r="AEE17" s="5"/>
      <c r="AEF17" s="5"/>
      <c r="AEG17" s="5"/>
      <c r="AEH17" s="5"/>
      <c r="AEI17" s="5"/>
      <c r="AEJ17" s="5"/>
      <c r="AEK17" s="5"/>
      <c r="AEL17" s="5"/>
      <c r="AEM17" s="5"/>
      <c r="AEN17" s="5"/>
      <c r="AEO17" s="5"/>
      <c r="AEP17" s="5"/>
      <c r="AEQ17" s="5"/>
      <c r="AER17" s="5"/>
      <c r="AES17" s="5"/>
      <c r="AET17" s="5"/>
      <c r="AEU17" s="5"/>
      <c r="AEV17" s="5"/>
      <c r="AEW17" s="5"/>
      <c r="AEX17" s="5"/>
      <c r="AEY17" s="5"/>
      <c r="AEZ17" s="5"/>
      <c r="AFA17" s="5"/>
      <c r="AFB17" s="5"/>
      <c r="AFC17" s="5"/>
      <c r="AFD17" s="5"/>
      <c r="AFE17" s="5"/>
      <c r="AFF17" s="5"/>
      <c r="AFG17" s="5"/>
      <c r="AFH17" s="5"/>
      <c r="AFI17" s="5"/>
      <c r="AFJ17" s="5"/>
      <c r="AFK17" s="5"/>
      <c r="AFL17" s="5"/>
      <c r="AFM17" s="5"/>
      <c r="AFN17" s="5"/>
      <c r="AFO17" s="5"/>
      <c r="AFP17" s="5"/>
      <c r="AFQ17" s="5"/>
      <c r="AFR17" s="5"/>
      <c r="AFS17" s="5"/>
      <c r="AFT17" s="5"/>
      <c r="AFU17" s="5"/>
      <c r="AFV17" s="5"/>
      <c r="AFW17" s="5"/>
      <c r="AFX17" s="5"/>
      <c r="AFY17" s="5"/>
      <c r="AFZ17" s="5"/>
      <c r="AGA17" s="5"/>
      <c r="AGB17" s="5"/>
      <c r="AGC17" s="5"/>
      <c r="AGD17" s="5"/>
      <c r="AGE17" s="5"/>
      <c r="AGF17" s="5"/>
      <c r="AGG17" s="5"/>
      <c r="AGH17" s="5"/>
      <c r="AGI17" s="5"/>
      <c r="AGJ17" s="5"/>
      <c r="AGK17" s="5"/>
      <c r="AGL17" s="5"/>
      <c r="AGM17" s="5"/>
      <c r="AGN17" s="5"/>
      <c r="AGO17" s="5"/>
      <c r="AGP17" s="5"/>
      <c r="AGQ17" s="5"/>
      <c r="AGR17" s="5"/>
      <c r="AGS17" s="5"/>
      <c r="AGT17" s="5"/>
      <c r="AGU17" s="5"/>
      <c r="AGV17" s="5"/>
      <c r="AGW17" s="5"/>
      <c r="AGX17" s="5"/>
      <c r="AGY17" s="5"/>
      <c r="AGZ17" s="5"/>
      <c r="AHA17" s="5"/>
      <c r="AHB17" s="5"/>
      <c r="AHC17" s="5"/>
      <c r="AHD17" s="5"/>
      <c r="AHE17" s="5"/>
      <c r="AHF17" s="5"/>
      <c r="AHG17" s="5"/>
      <c r="AHH17" s="5"/>
      <c r="AHI17" s="5"/>
      <c r="AHJ17" s="5"/>
      <c r="AHK17" s="5"/>
      <c r="AHL17" s="5"/>
      <c r="AHM17" s="5"/>
      <c r="AHN17" s="5"/>
      <c r="AHO17" s="5"/>
      <c r="AHP17" s="5"/>
      <c r="AHQ17" s="5"/>
      <c r="AHR17" s="5"/>
      <c r="AHS17" s="5"/>
      <c r="AHT17" s="5"/>
      <c r="AHU17" s="5"/>
      <c r="AHV17" s="5"/>
      <c r="AHW17" s="5"/>
      <c r="AHX17" s="5"/>
      <c r="AHY17" s="5"/>
      <c r="AHZ17" s="5"/>
      <c r="AIA17" s="5"/>
      <c r="AIB17" s="5"/>
      <c r="AIC17" s="5"/>
      <c r="AID17" s="5"/>
      <c r="AIE17" s="5"/>
      <c r="AIF17" s="5"/>
      <c r="AIG17" s="5"/>
      <c r="AIH17" s="5"/>
      <c r="AII17" s="5"/>
      <c r="AIJ17" s="5"/>
      <c r="AIK17" s="5"/>
      <c r="AIL17" s="5"/>
      <c r="AIM17" s="5"/>
      <c r="AIN17" s="5"/>
      <c r="AIO17" s="5"/>
      <c r="AIP17" s="5"/>
      <c r="AIQ17" s="5"/>
      <c r="AIR17" s="5"/>
      <c r="AIS17" s="5"/>
      <c r="AIT17" s="5"/>
      <c r="AIU17" s="5"/>
      <c r="AIV17" s="5"/>
      <c r="AIW17" s="5"/>
      <c r="AIX17" s="5"/>
      <c r="AIY17" s="5"/>
      <c r="AIZ17" s="5"/>
      <c r="AJA17" s="5"/>
      <c r="AJB17" s="5"/>
      <c r="AJC17" s="5"/>
      <c r="AJD17" s="5"/>
      <c r="AJE17" s="5"/>
      <c r="AJF17" s="5"/>
      <c r="AJG17" s="5"/>
      <c r="AJH17" s="5"/>
      <c r="AJI17" s="5"/>
      <c r="AJJ17" s="5"/>
      <c r="AJK17" s="5"/>
      <c r="AJL17" s="5"/>
      <c r="AJM17" s="5"/>
      <c r="AJN17" s="5"/>
      <c r="AJO17" s="5"/>
      <c r="AJP17" s="5"/>
      <c r="AJQ17" s="5"/>
      <c r="AJR17" s="5"/>
      <c r="AJS17" s="5"/>
      <c r="AJT17" s="5"/>
      <c r="AJU17" s="5"/>
      <c r="AJV17" s="5"/>
      <c r="AJW17" s="5"/>
      <c r="AJX17" s="5"/>
      <c r="AJY17" s="5"/>
      <c r="AJZ17" s="5"/>
      <c r="AKA17" s="5"/>
      <c r="AKB17" s="5"/>
      <c r="AKC17" s="5"/>
      <c r="AKD17" s="5"/>
      <c r="AKE17" s="5"/>
      <c r="AKF17" s="5"/>
      <c r="AKG17" s="5"/>
      <c r="AKH17" s="5"/>
      <c r="AKI17" s="5"/>
      <c r="AKJ17" s="5"/>
      <c r="AKK17" s="5"/>
      <c r="AKL17" s="5"/>
      <c r="AKM17" s="5"/>
      <c r="AKN17" s="5"/>
      <c r="AKO17" s="5"/>
      <c r="AKP17" s="5"/>
      <c r="AKQ17" s="5"/>
      <c r="AKR17" s="5"/>
      <c r="AKS17" s="5"/>
      <c r="AKT17" s="5"/>
      <c r="AKU17" s="5"/>
      <c r="AKV17" s="5"/>
      <c r="AKW17" s="5"/>
      <c r="AKX17" s="5"/>
      <c r="AKY17" s="5"/>
      <c r="AKZ17" s="5"/>
      <c r="ALA17" s="5"/>
      <c r="ALB17" s="5"/>
      <c r="ALC17" s="5"/>
      <c r="ALD17" s="5"/>
      <c r="ALE17" s="5"/>
      <c r="ALF17" s="5"/>
      <c r="ALG17" s="5"/>
      <c r="ALH17" s="5"/>
      <c r="ALI17" s="5"/>
      <c r="ALJ17" s="5"/>
      <c r="ALK17" s="5"/>
      <c r="ALL17" s="5"/>
      <c r="ALM17" s="5"/>
      <c r="ALN17" s="5"/>
      <c r="ALO17" s="5"/>
      <c r="ALP17" s="5"/>
      <c r="ALQ17" s="5"/>
      <c r="ALR17" s="5"/>
      <c r="ALS17" s="5"/>
      <c r="ALT17" s="5"/>
      <c r="ALU17" s="5"/>
      <c r="ALV17" s="5"/>
      <c r="ALW17" s="5"/>
      <c r="ALX17" s="5"/>
      <c r="ALY17" s="5"/>
      <c r="ALZ17" s="5"/>
      <c r="AMA17" s="5"/>
      <c r="AMB17" s="5"/>
      <c r="AMC17" s="5"/>
      <c r="AMD17" s="5"/>
      <c r="AME17" s="5"/>
      <c r="AMF17" s="5"/>
      <c r="AMG17" s="5"/>
      <c r="AMH17" s="5"/>
      <c r="AMI17" s="5"/>
      <c r="AMJ17" s="5"/>
      <c r="AMK17" s="5"/>
      <c r="AML17" s="5"/>
      <c r="AMM17" s="5"/>
      <c r="AMN17" s="5"/>
      <c r="AMO17" s="5"/>
      <c r="AMP17" s="5"/>
      <c r="AMQ17" s="5"/>
      <c r="AMR17" s="5"/>
      <c r="AMS17" s="5"/>
      <c r="AMT17" s="5"/>
      <c r="AMU17" s="5"/>
      <c r="AMV17" s="5"/>
      <c r="AMW17" s="5"/>
      <c r="AMX17" s="5"/>
      <c r="AMY17" s="5"/>
      <c r="AMZ17" s="5"/>
      <c r="ANA17" s="5"/>
      <c r="ANB17" s="5"/>
      <c r="ANC17" s="5"/>
      <c r="AND17" s="5"/>
      <c r="ANE17" s="5"/>
      <c r="ANF17" s="5"/>
      <c r="ANG17" s="5"/>
      <c r="ANH17" s="5"/>
      <c r="ANI17" s="5"/>
      <c r="ANJ17" s="5"/>
      <c r="ANK17" s="5"/>
      <c r="ANL17" s="5"/>
      <c r="ANM17" s="5"/>
      <c r="ANN17" s="5"/>
      <c r="ANO17" s="5"/>
      <c r="ANP17" s="5"/>
      <c r="ANQ17" s="5"/>
      <c r="ANR17" s="5"/>
      <c r="ANS17" s="5"/>
      <c r="ANT17" s="5"/>
      <c r="ANU17" s="5"/>
      <c r="ANV17" s="5"/>
      <c r="ANW17" s="5"/>
      <c r="ANX17" s="5"/>
      <c r="ANY17" s="5"/>
      <c r="ANZ17" s="5"/>
      <c r="AOA17" s="5"/>
      <c r="AOB17" s="5"/>
      <c r="AOC17" s="5"/>
      <c r="AOD17" s="5"/>
      <c r="AOE17" s="5"/>
      <c r="AOF17" s="5"/>
      <c r="AOG17" s="5"/>
      <c r="AOH17" s="5"/>
      <c r="AOI17" s="5"/>
      <c r="AOJ17" s="5"/>
      <c r="AOK17" s="5"/>
      <c r="AOL17" s="5"/>
      <c r="AOM17" s="5"/>
      <c r="AON17" s="5"/>
      <c r="AOO17" s="5"/>
      <c r="AOP17" s="5"/>
      <c r="AOQ17" s="5"/>
      <c r="AOR17" s="5"/>
      <c r="AOS17" s="5"/>
      <c r="AOT17" s="5"/>
      <c r="AOU17" s="5"/>
      <c r="AOV17" s="5"/>
      <c r="AOW17" s="5"/>
      <c r="AOX17" s="5"/>
      <c r="AOY17" s="5"/>
      <c r="AOZ17" s="5"/>
      <c r="APA17" s="5"/>
      <c r="APB17" s="5"/>
      <c r="APC17" s="5"/>
      <c r="APD17" s="5"/>
      <c r="APE17" s="5"/>
      <c r="APF17" s="5"/>
      <c r="APG17" s="5"/>
      <c r="APH17" s="5"/>
      <c r="API17" s="5"/>
      <c r="APJ17" s="5"/>
      <c r="APK17" s="5"/>
      <c r="APL17" s="5"/>
      <c r="APM17" s="5"/>
      <c r="APN17" s="5"/>
      <c r="APO17" s="5"/>
      <c r="APP17" s="5"/>
      <c r="APQ17" s="5"/>
      <c r="APR17" s="5"/>
      <c r="APS17" s="5"/>
      <c r="APT17" s="5"/>
      <c r="APU17" s="5"/>
      <c r="APV17" s="5"/>
      <c r="APW17" s="5"/>
      <c r="APX17" s="5"/>
      <c r="APY17" s="5"/>
      <c r="APZ17" s="5"/>
      <c r="AQA17" s="5"/>
      <c r="AQB17" s="5"/>
      <c r="AQC17" s="5"/>
      <c r="AQD17" s="5"/>
      <c r="AQE17" s="5"/>
      <c r="AQF17" s="5"/>
      <c r="AQG17" s="5"/>
      <c r="AQH17" s="5"/>
      <c r="AQI17" s="5"/>
      <c r="AQJ17" s="5"/>
      <c r="AQK17" s="5"/>
      <c r="AQL17" s="5"/>
      <c r="AQM17" s="5"/>
      <c r="AQN17" s="5"/>
      <c r="AQO17" s="5"/>
      <c r="AQP17" s="5"/>
      <c r="AQQ17" s="5"/>
      <c r="AQR17" s="5"/>
      <c r="AQS17" s="5"/>
      <c r="AQT17" s="5"/>
      <c r="AQU17" s="5"/>
      <c r="AQV17" s="5"/>
      <c r="AQW17" s="5"/>
      <c r="AQX17" s="5"/>
      <c r="AQY17" s="5"/>
      <c r="AQZ17" s="5"/>
      <c r="ARA17" s="5"/>
      <c r="ARB17" s="5"/>
      <c r="ARC17" s="5"/>
      <c r="ARD17" s="5"/>
      <c r="ARE17" s="5"/>
      <c r="ARF17" s="5"/>
      <c r="ARG17" s="5"/>
      <c r="ARH17" s="5"/>
      <c r="ARI17" s="5"/>
      <c r="ARJ17" s="5"/>
      <c r="ARK17" s="5"/>
      <c r="ARL17" s="5"/>
      <c r="ARM17" s="5"/>
      <c r="ARN17" s="5"/>
      <c r="ARO17" s="5"/>
      <c r="ARP17" s="5"/>
      <c r="ARQ17" s="5"/>
      <c r="ARR17" s="5"/>
      <c r="ARS17" s="5"/>
      <c r="ART17" s="5"/>
      <c r="ARU17" s="5"/>
      <c r="ARV17" s="5"/>
      <c r="ARW17" s="5"/>
      <c r="ARX17" s="5"/>
      <c r="ARY17" s="5"/>
      <c r="ARZ17" s="5"/>
      <c r="ASA17" s="5"/>
      <c r="ASB17" s="5"/>
      <c r="ASC17" s="5"/>
      <c r="ASD17" s="5"/>
      <c r="ASE17" s="5"/>
      <c r="ASF17" s="5"/>
      <c r="ASG17" s="5"/>
      <c r="ASH17" s="5"/>
      <c r="ASI17" s="5"/>
      <c r="ASJ17" s="5"/>
      <c r="ASK17" s="5"/>
      <c r="ASL17" s="5"/>
      <c r="ASM17" s="5"/>
      <c r="ASN17" s="5"/>
      <c r="ASO17" s="5"/>
      <c r="ASP17" s="5"/>
      <c r="ASQ17" s="5"/>
      <c r="ASR17" s="5"/>
      <c r="ASS17" s="5"/>
      <c r="AST17" s="5"/>
      <c r="ASU17" s="5"/>
      <c r="ASV17" s="5"/>
      <c r="ASW17" s="5"/>
      <c r="ASX17" s="5"/>
      <c r="ASY17" s="5"/>
      <c r="ASZ17" s="5"/>
      <c r="ATA17" s="5"/>
      <c r="ATB17" s="5"/>
      <c r="ATC17" s="5"/>
      <c r="ATD17" s="5"/>
      <c r="ATE17" s="5"/>
      <c r="ATF17" s="5"/>
      <c r="ATG17" s="5"/>
      <c r="ATH17" s="5"/>
      <c r="ATI17" s="5"/>
      <c r="ATJ17" s="5"/>
      <c r="ATK17" s="5"/>
      <c r="ATL17" s="5"/>
      <c r="ATM17" s="5"/>
      <c r="ATN17" s="5"/>
      <c r="ATO17" s="5"/>
      <c r="ATP17" s="5"/>
      <c r="ATQ17" s="5"/>
      <c r="ATR17" s="5"/>
      <c r="ATS17" s="5"/>
      <c r="ATT17" s="5"/>
      <c r="ATU17" s="5"/>
      <c r="ATV17" s="5"/>
      <c r="ATW17" s="5"/>
      <c r="ATX17" s="5"/>
      <c r="ATY17" s="5"/>
      <c r="ATZ17" s="5"/>
      <c r="AUA17" s="5"/>
      <c r="AUB17" s="5"/>
      <c r="AUC17" s="5"/>
      <c r="AUD17" s="5"/>
      <c r="AUE17" s="5"/>
      <c r="AUF17" s="5"/>
      <c r="AUG17" s="5"/>
      <c r="AUH17" s="5"/>
      <c r="AUI17" s="5"/>
      <c r="AUJ17" s="5"/>
      <c r="AUK17" s="5"/>
      <c r="AUL17" s="5"/>
      <c r="AUM17" s="5"/>
      <c r="AUN17" s="5"/>
      <c r="AUO17" s="5"/>
      <c r="AUP17" s="5"/>
      <c r="AUQ17" s="5"/>
      <c r="AUR17" s="5"/>
      <c r="AUS17" s="5"/>
      <c r="AUT17" s="5"/>
      <c r="AUU17" s="5"/>
      <c r="AUV17" s="5"/>
      <c r="AUW17" s="5"/>
      <c r="AUX17" s="5"/>
      <c r="AUY17" s="5"/>
      <c r="AUZ17" s="5"/>
      <c r="AVA17" s="5"/>
      <c r="AVB17" s="5"/>
      <c r="AVC17" s="5"/>
      <c r="AVD17" s="5"/>
      <c r="AVE17" s="5"/>
      <c r="AVF17" s="5"/>
      <c r="AVG17" s="5"/>
      <c r="AVH17" s="5"/>
      <c r="AVI17" s="5"/>
      <c r="AVJ17" s="5"/>
      <c r="AVK17" s="5"/>
      <c r="AVL17" s="5"/>
      <c r="AVM17" s="5"/>
      <c r="AVN17" s="5"/>
      <c r="AVO17" s="5"/>
      <c r="AVP17" s="5"/>
      <c r="AVQ17" s="5"/>
      <c r="AVR17" s="5"/>
      <c r="AVS17" s="5"/>
      <c r="AVT17" s="5"/>
      <c r="AVU17" s="5"/>
      <c r="AVV17" s="5"/>
      <c r="AVW17" s="5"/>
      <c r="AVX17" s="5"/>
      <c r="AVY17" s="5"/>
      <c r="AVZ17" s="5"/>
      <c r="AWA17" s="5"/>
      <c r="AWB17" s="5"/>
      <c r="AWC17" s="5"/>
      <c r="AWD17" s="5"/>
      <c r="AWE17" s="5"/>
      <c r="AWF17" s="5"/>
      <c r="AWG17" s="5"/>
      <c r="AWH17" s="5"/>
      <c r="AWI17" s="5"/>
      <c r="AWJ17" s="5"/>
      <c r="AWK17" s="5"/>
      <c r="AWL17" s="5"/>
      <c r="AWM17" s="5"/>
      <c r="AWN17" s="5"/>
      <c r="AWO17" s="5"/>
      <c r="AWP17" s="5"/>
      <c r="AWQ17" s="5"/>
      <c r="AWR17" s="5"/>
      <c r="AWS17" s="5"/>
      <c r="AWT17" s="5"/>
      <c r="AWU17" s="5"/>
      <c r="AWV17" s="5"/>
      <c r="AWW17" s="5"/>
      <c r="AWX17" s="5"/>
      <c r="AWY17" s="5"/>
      <c r="AWZ17" s="5"/>
      <c r="AXA17" s="5"/>
      <c r="AXB17" s="5"/>
      <c r="AXC17" s="5"/>
      <c r="AXD17" s="5"/>
      <c r="AXE17" s="5"/>
      <c r="AXF17" s="5"/>
      <c r="AXG17" s="5"/>
      <c r="AXH17" s="5"/>
      <c r="AXI17" s="5"/>
      <c r="AXJ17" s="5"/>
      <c r="AXK17" s="5"/>
      <c r="AXL17" s="5"/>
      <c r="AXM17" s="5"/>
      <c r="AXN17" s="5"/>
      <c r="AXO17" s="5"/>
      <c r="AXP17" s="5"/>
      <c r="AXQ17" s="5"/>
      <c r="AXR17" s="5"/>
      <c r="AXS17" s="5"/>
      <c r="AXT17" s="5"/>
      <c r="AXU17" s="5"/>
      <c r="AXV17" s="5"/>
      <c r="AXW17" s="5"/>
      <c r="AXX17" s="5"/>
      <c r="AXY17" s="5"/>
      <c r="AXZ17" s="5"/>
      <c r="AYA17" s="5"/>
      <c r="AYB17" s="5"/>
      <c r="AYC17" s="5"/>
      <c r="AYD17" s="5"/>
      <c r="AYE17" s="5"/>
      <c r="AYF17" s="5"/>
      <c r="AYG17" s="5"/>
      <c r="AYH17" s="5"/>
      <c r="AYI17" s="5"/>
      <c r="AYJ17" s="5"/>
      <c r="AYK17" s="5"/>
      <c r="AYL17" s="5"/>
      <c r="AYM17" s="5"/>
      <c r="AYN17" s="5"/>
      <c r="AYO17" s="5"/>
      <c r="AYP17" s="5"/>
      <c r="AYQ17" s="5"/>
      <c r="AYR17" s="5"/>
      <c r="AYS17" s="5"/>
      <c r="AYT17" s="5"/>
      <c r="AYU17" s="5"/>
      <c r="AYV17" s="5"/>
      <c r="AYW17" s="5"/>
      <c r="AYX17" s="5"/>
      <c r="AYY17" s="5"/>
      <c r="AYZ17" s="5"/>
      <c r="AZA17" s="5"/>
      <c r="AZB17" s="5"/>
      <c r="AZC17" s="5"/>
      <c r="AZD17" s="5"/>
      <c r="AZE17" s="5"/>
      <c r="AZF17" s="5"/>
      <c r="AZG17" s="5"/>
      <c r="AZH17" s="5"/>
      <c r="AZI17" s="5"/>
      <c r="AZJ17" s="5"/>
      <c r="AZK17" s="5"/>
      <c r="AZL17" s="5"/>
      <c r="AZM17" s="5"/>
      <c r="AZN17" s="5"/>
      <c r="AZO17" s="5"/>
      <c r="AZP17" s="5"/>
      <c r="AZQ17" s="5"/>
      <c r="AZR17" s="5"/>
      <c r="AZS17" s="5"/>
      <c r="AZT17" s="5"/>
      <c r="AZU17" s="5"/>
      <c r="AZV17" s="5"/>
      <c r="AZW17" s="5"/>
      <c r="AZX17" s="5"/>
      <c r="AZY17" s="5"/>
      <c r="AZZ17" s="5"/>
      <c r="BAA17" s="5"/>
      <c r="BAB17" s="5"/>
      <c r="BAC17" s="5"/>
      <c r="BAD17" s="5"/>
      <c r="BAE17" s="5"/>
      <c r="BAF17" s="5"/>
      <c r="BAG17" s="5"/>
      <c r="BAH17" s="5"/>
      <c r="BAI17" s="5"/>
      <c r="BAJ17" s="5"/>
      <c r="BAK17" s="5"/>
      <c r="BAL17" s="5"/>
      <c r="BAM17" s="5"/>
      <c r="BAN17" s="5"/>
      <c r="BAO17" s="5"/>
      <c r="BAP17" s="5"/>
      <c r="BAQ17" s="5"/>
      <c r="BAR17" s="5"/>
      <c r="BAS17" s="5"/>
      <c r="BAT17" s="5"/>
      <c r="BAU17" s="5"/>
      <c r="BAV17" s="5"/>
      <c r="BAW17" s="5"/>
      <c r="BAX17" s="5"/>
      <c r="BAY17" s="5"/>
      <c r="BAZ17" s="5"/>
      <c r="BBA17" s="5"/>
      <c r="BBB17" s="5"/>
      <c r="BBC17" s="5"/>
      <c r="BBD17" s="5"/>
      <c r="BBE17" s="5"/>
      <c r="BBF17" s="5"/>
      <c r="BBG17" s="5"/>
      <c r="BBH17" s="5"/>
      <c r="BBI17" s="5"/>
      <c r="BBJ17" s="5"/>
      <c r="BBK17" s="5"/>
      <c r="BBL17" s="5"/>
      <c r="BBM17" s="5"/>
      <c r="BBN17" s="5"/>
      <c r="BBO17" s="5"/>
      <c r="BBP17" s="5"/>
      <c r="BBQ17" s="5"/>
      <c r="BBR17" s="5"/>
      <c r="BBS17" s="5"/>
      <c r="BBT17" s="5"/>
      <c r="BBU17" s="5"/>
      <c r="BBV17" s="5"/>
      <c r="BBW17" s="5"/>
      <c r="BBX17" s="5"/>
      <c r="BBY17" s="5"/>
      <c r="BBZ17" s="5"/>
      <c r="BCA17" s="5"/>
      <c r="BCB17" s="5"/>
      <c r="BCC17" s="5"/>
      <c r="BCD17" s="5"/>
      <c r="BCE17" s="5"/>
      <c r="BCF17" s="5"/>
      <c r="BCG17" s="5"/>
      <c r="BCH17" s="5"/>
      <c r="BCI17" s="5"/>
      <c r="BCJ17" s="5"/>
      <c r="BCK17" s="5"/>
      <c r="BCL17" s="5"/>
      <c r="BCM17" s="5"/>
      <c r="BCN17" s="5"/>
      <c r="BCO17" s="5"/>
      <c r="BCP17" s="5"/>
      <c r="BCQ17" s="5"/>
      <c r="BCR17" s="5"/>
      <c r="BCS17" s="5"/>
      <c r="BCT17" s="5"/>
      <c r="BCU17" s="5"/>
      <c r="BCV17" s="5"/>
      <c r="BCW17" s="5"/>
      <c r="BCX17" s="5"/>
      <c r="BCY17" s="5"/>
      <c r="BCZ17" s="5"/>
      <c r="BDA17" s="5"/>
      <c r="BDB17" s="5"/>
      <c r="BDC17" s="5"/>
      <c r="BDD17" s="5"/>
      <c r="BDE17" s="5"/>
      <c r="BDF17" s="5"/>
      <c r="BDG17" s="5"/>
      <c r="BDH17" s="5"/>
      <c r="BDI17" s="5"/>
      <c r="BDJ17" s="5"/>
      <c r="BDK17" s="5"/>
      <c r="BDL17" s="5"/>
      <c r="BDM17" s="5"/>
      <c r="BDN17" s="5"/>
      <c r="BDO17" s="5"/>
      <c r="BDP17" s="5"/>
      <c r="BDQ17" s="5"/>
      <c r="BDR17" s="5"/>
      <c r="BDS17" s="5"/>
      <c r="BDT17" s="5"/>
      <c r="BDU17" s="5"/>
      <c r="BDV17" s="5"/>
      <c r="BDW17" s="5"/>
      <c r="BDX17" s="5"/>
      <c r="BDY17" s="5"/>
      <c r="BDZ17" s="5"/>
      <c r="BEA17" s="5"/>
      <c r="BEB17" s="5"/>
      <c r="BEC17" s="5"/>
      <c r="BED17" s="5"/>
      <c r="BEE17" s="5"/>
      <c r="BEF17" s="5"/>
      <c r="BEG17" s="5"/>
      <c r="BEH17" s="5"/>
      <c r="BEI17" s="5"/>
      <c r="BEJ17" s="5"/>
      <c r="BEK17" s="5"/>
      <c r="BEL17" s="5"/>
      <c r="BEM17" s="5"/>
      <c r="BEN17" s="5"/>
      <c r="BEO17" s="5"/>
      <c r="BEP17" s="5"/>
      <c r="BEQ17" s="5"/>
      <c r="BER17" s="5"/>
      <c r="BES17" s="5"/>
      <c r="BET17" s="5"/>
      <c r="BEU17" s="5"/>
      <c r="BEV17" s="5"/>
      <c r="BEW17" s="5"/>
      <c r="BEX17" s="5"/>
      <c r="BEY17" s="5"/>
      <c r="BEZ17" s="5"/>
      <c r="BFA17" s="5"/>
      <c r="BFB17" s="5"/>
      <c r="BFC17" s="5"/>
      <c r="BFD17" s="5"/>
      <c r="BFE17" s="5"/>
      <c r="BFF17" s="5"/>
      <c r="BFG17" s="5"/>
      <c r="BFH17" s="5"/>
      <c r="BFI17" s="5"/>
      <c r="BFJ17" s="5"/>
      <c r="BFK17" s="5"/>
      <c r="BFL17" s="5"/>
      <c r="BFM17" s="5"/>
      <c r="BFN17" s="5"/>
      <c r="BFO17" s="5"/>
      <c r="BFP17" s="5"/>
      <c r="BFQ17" s="5"/>
      <c r="BFR17" s="5"/>
      <c r="BFS17" s="5"/>
      <c r="BFT17" s="5"/>
      <c r="BFU17" s="5"/>
      <c r="BFV17" s="5"/>
      <c r="BFW17" s="5"/>
      <c r="BFX17" s="5"/>
      <c r="BFY17" s="5"/>
      <c r="BFZ17" s="5"/>
      <c r="BGA17" s="5"/>
      <c r="BGB17" s="5"/>
      <c r="BGC17" s="5"/>
      <c r="BGD17" s="5"/>
      <c r="BGE17" s="5"/>
      <c r="BGF17" s="5"/>
      <c r="BGG17" s="5"/>
      <c r="BGH17" s="5"/>
      <c r="BGI17" s="5"/>
      <c r="BGJ17" s="5"/>
      <c r="BGK17" s="5"/>
      <c r="BGL17" s="5"/>
      <c r="BGM17" s="5"/>
      <c r="BGN17" s="5"/>
      <c r="BGO17" s="5"/>
      <c r="BGP17" s="5"/>
      <c r="BGQ17" s="5"/>
      <c r="BGR17" s="5"/>
      <c r="BGS17" s="5"/>
      <c r="BGT17" s="5"/>
      <c r="BGU17" s="5"/>
      <c r="BGV17" s="5"/>
      <c r="BGW17" s="5"/>
      <c r="BGX17" s="5"/>
      <c r="BGY17" s="5"/>
      <c r="BGZ17" s="5"/>
      <c r="BHA17" s="5"/>
      <c r="BHB17" s="5"/>
      <c r="BHC17" s="5"/>
      <c r="BHD17" s="5"/>
      <c r="BHE17" s="5"/>
      <c r="BHF17" s="5"/>
      <c r="BHG17" s="5"/>
      <c r="BHH17" s="5"/>
      <c r="BHI17" s="5"/>
      <c r="BHJ17" s="5"/>
      <c r="BHK17" s="5"/>
      <c r="BHL17" s="5"/>
      <c r="BHM17" s="5"/>
      <c r="BHN17" s="5"/>
      <c r="BHO17" s="5"/>
      <c r="BHP17" s="5"/>
      <c r="BHQ17" s="5"/>
      <c r="BHR17" s="5"/>
      <c r="BHS17" s="5"/>
      <c r="BHT17" s="5"/>
      <c r="BHU17" s="5"/>
      <c r="BHV17" s="5"/>
      <c r="BHW17" s="5"/>
      <c r="BHX17" s="5"/>
      <c r="BHY17" s="5"/>
      <c r="BHZ17" s="5"/>
      <c r="BIA17" s="5"/>
      <c r="BIB17" s="5"/>
      <c r="BIC17" s="5"/>
      <c r="BID17" s="5"/>
      <c r="BIE17" s="5"/>
      <c r="BIF17" s="5"/>
      <c r="BIG17" s="5"/>
      <c r="BIH17" s="5"/>
      <c r="BII17" s="5"/>
      <c r="BIJ17" s="5"/>
      <c r="BIK17" s="5"/>
      <c r="BIL17" s="5"/>
      <c r="BIM17" s="5"/>
      <c r="BIN17" s="5"/>
      <c r="BIO17" s="5"/>
      <c r="BIP17" s="5"/>
      <c r="BIQ17" s="5"/>
      <c r="BIR17" s="5"/>
      <c r="BIS17" s="5"/>
      <c r="BIT17" s="5"/>
      <c r="BIU17" s="5"/>
      <c r="BIV17" s="5"/>
      <c r="BIW17" s="5"/>
      <c r="BIX17" s="5"/>
      <c r="BIY17" s="5"/>
      <c r="BIZ17" s="5"/>
      <c r="BJA17" s="5"/>
      <c r="BJB17" s="5"/>
      <c r="BJC17" s="5"/>
      <c r="BJD17" s="5"/>
      <c r="BJE17" s="5"/>
      <c r="BJF17" s="5"/>
      <c r="BJG17" s="5"/>
      <c r="BJH17" s="5"/>
      <c r="BJI17" s="5"/>
      <c r="BJJ17" s="5"/>
      <c r="BJK17" s="5"/>
      <c r="BJL17" s="5"/>
      <c r="BJM17" s="5"/>
      <c r="BJN17" s="5"/>
      <c r="BJO17" s="5"/>
      <c r="BJP17" s="5"/>
      <c r="BJQ17" s="5"/>
      <c r="BJR17" s="5"/>
      <c r="BJS17" s="5"/>
      <c r="BJT17" s="5"/>
      <c r="BJU17" s="5"/>
      <c r="BJV17" s="5"/>
      <c r="BJW17" s="5"/>
      <c r="BJX17" s="5"/>
      <c r="BJY17" s="5"/>
      <c r="BJZ17" s="5"/>
      <c r="BKA17" s="5"/>
      <c r="BKB17" s="5"/>
      <c r="BKC17" s="5"/>
      <c r="BKD17" s="5"/>
      <c r="BKE17" s="5"/>
      <c r="BKF17" s="5"/>
      <c r="BKG17" s="5"/>
      <c r="BKH17" s="5"/>
      <c r="BKI17" s="5"/>
      <c r="BKJ17" s="5"/>
      <c r="BKK17" s="5"/>
      <c r="BKL17" s="5"/>
      <c r="BKM17" s="5"/>
      <c r="BKN17" s="5"/>
      <c r="BKO17" s="5"/>
      <c r="BKP17" s="5"/>
      <c r="BKQ17" s="5"/>
      <c r="BKR17" s="5"/>
      <c r="BKS17" s="5"/>
      <c r="BKT17" s="5"/>
      <c r="BKU17" s="5"/>
      <c r="BKV17" s="5"/>
      <c r="BKW17" s="5"/>
      <c r="BKX17" s="5"/>
      <c r="BKY17" s="5"/>
      <c r="BKZ17" s="5"/>
      <c r="BLA17" s="5"/>
      <c r="BLB17" s="5"/>
      <c r="BLC17" s="5"/>
      <c r="BLD17" s="5"/>
      <c r="BLE17" s="5"/>
      <c r="BLF17" s="5"/>
      <c r="BLG17" s="5"/>
      <c r="BLH17" s="5"/>
      <c r="BLI17" s="5"/>
      <c r="BLJ17" s="5"/>
      <c r="BLK17" s="5"/>
      <c r="BLL17" s="5"/>
      <c r="BLM17" s="5"/>
      <c r="BLN17" s="5"/>
      <c r="BLO17" s="5"/>
      <c r="BLP17" s="5"/>
      <c r="BLQ17" s="5"/>
      <c r="BLR17" s="5"/>
      <c r="BLS17" s="5"/>
      <c r="BLT17" s="5"/>
      <c r="BLU17" s="5"/>
      <c r="BLV17" s="5"/>
      <c r="BLW17" s="5"/>
      <c r="BLX17" s="5"/>
      <c r="BLY17" s="5"/>
      <c r="BLZ17" s="5"/>
      <c r="BMA17" s="5"/>
      <c r="BMB17" s="5"/>
      <c r="BMC17" s="5"/>
      <c r="BMD17" s="5"/>
      <c r="BME17" s="5"/>
      <c r="BMF17" s="5"/>
      <c r="BMG17" s="5"/>
      <c r="BMH17" s="5"/>
      <c r="BMI17" s="5"/>
      <c r="BMJ17" s="5"/>
      <c r="BMK17" s="5"/>
      <c r="BML17" s="5"/>
      <c r="BMM17" s="5"/>
      <c r="BMN17" s="5"/>
      <c r="BMO17" s="5"/>
      <c r="BMP17" s="5"/>
      <c r="BMQ17" s="5"/>
      <c r="BMR17" s="5"/>
      <c r="BMS17" s="5"/>
      <c r="BMT17" s="5"/>
      <c r="BMU17" s="5"/>
      <c r="BMV17" s="5"/>
      <c r="BMW17" s="5"/>
      <c r="BMX17" s="5"/>
      <c r="BMY17" s="5"/>
      <c r="BMZ17" s="5"/>
      <c r="BNA17" s="5"/>
      <c r="BNB17" s="5"/>
      <c r="BNC17" s="5"/>
      <c r="BND17" s="5"/>
      <c r="BNE17" s="5"/>
      <c r="BNF17" s="5"/>
      <c r="BNG17" s="5"/>
      <c r="BNH17" s="5"/>
      <c r="BNI17" s="5"/>
      <c r="BNJ17" s="5"/>
      <c r="BNK17" s="5"/>
      <c r="BNL17" s="5"/>
      <c r="BNM17" s="5"/>
      <c r="BNN17" s="5"/>
      <c r="BNO17" s="5"/>
      <c r="BNP17" s="5"/>
      <c r="BNQ17" s="5"/>
      <c r="BNR17" s="5"/>
      <c r="BNS17" s="5"/>
      <c r="BNT17" s="5"/>
      <c r="BNU17" s="5"/>
      <c r="BNV17" s="5"/>
      <c r="BNW17" s="5"/>
      <c r="BNX17" s="5"/>
      <c r="BNY17" s="5"/>
      <c r="BNZ17" s="5"/>
      <c r="BOA17" s="5"/>
      <c r="BOB17" s="5"/>
      <c r="BOC17" s="5"/>
      <c r="BOD17" s="5"/>
      <c r="BOE17" s="5"/>
      <c r="BOF17" s="5"/>
      <c r="BOG17" s="5"/>
      <c r="BOH17" s="5"/>
      <c r="BOI17" s="5"/>
      <c r="BOJ17" s="5"/>
      <c r="BOK17" s="5"/>
      <c r="BOL17" s="5"/>
      <c r="BOM17" s="5"/>
      <c r="BON17" s="5"/>
      <c r="BOO17" s="5"/>
      <c r="BOP17" s="5"/>
      <c r="BOQ17" s="5"/>
      <c r="BOR17" s="5"/>
      <c r="BOS17" s="5"/>
      <c r="BOT17" s="5"/>
      <c r="BOU17" s="5"/>
      <c r="BOV17" s="5"/>
      <c r="BOW17" s="5"/>
      <c r="BOX17" s="5"/>
      <c r="BOY17" s="5"/>
      <c r="BOZ17" s="5"/>
      <c r="BPA17" s="5"/>
      <c r="BPB17" s="5"/>
      <c r="BPC17" s="5"/>
      <c r="BPD17" s="5"/>
      <c r="BPE17" s="5"/>
      <c r="BPF17" s="5"/>
      <c r="BPG17" s="5"/>
      <c r="BPH17" s="5"/>
      <c r="BPI17" s="5"/>
      <c r="BPJ17" s="5"/>
      <c r="BPK17" s="5"/>
      <c r="BPL17" s="5"/>
      <c r="BPM17" s="5"/>
      <c r="BPN17" s="5"/>
      <c r="BPO17" s="5"/>
      <c r="BPP17" s="5"/>
      <c r="BPQ17" s="5"/>
      <c r="BPR17" s="5"/>
      <c r="BPS17" s="5"/>
      <c r="BPT17" s="5"/>
      <c r="BPU17" s="5"/>
      <c r="BPV17" s="5"/>
      <c r="BPW17" s="5"/>
      <c r="BPX17" s="5"/>
      <c r="BPY17" s="5"/>
      <c r="BPZ17" s="5"/>
      <c r="BQA17" s="5"/>
      <c r="BQB17" s="5"/>
      <c r="BQC17" s="5"/>
      <c r="BQD17" s="5"/>
      <c r="BQE17" s="5"/>
      <c r="BQF17" s="5"/>
      <c r="BQG17" s="5"/>
      <c r="BQH17" s="5"/>
      <c r="BQI17" s="5"/>
      <c r="BQJ17" s="5"/>
      <c r="BQK17" s="5"/>
      <c r="BQL17" s="5"/>
      <c r="BQM17" s="5"/>
      <c r="BQN17" s="5"/>
      <c r="BQO17" s="5"/>
      <c r="BQP17" s="5"/>
      <c r="BQQ17" s="5"/>
      <c r="BQR17" s="5"/>
      <c r="BQS17" s="5"/>
      <c r="BQT17" s="5"/>
      <c r="BQU17" s="5"/>
      <c r="BQV17" s="5"/>
      <c r="BQW17" s="5"/>
      <c r="BQX17" s="5"/>
      <c r="BQY17" s="5"/>
      <c r="BQZ17" s="5"/>
      <c r="BRA17" s="5"/>
      <c r="BRB17" s="5"/>
      <c r="BRC17" s="5"/>
      <c r="BRD17" s="5"/>
      <c r="BRE17" s="5"/>
      <c r="BRF17" s="5"/>
      <c r="BRG17" s="5"/>
      <c r="BRH17" s="5"/>
      <c r="BRI17" s="5"/>
      <c r="BRJ17" s="5"/>
      <c r="BRK17" s="5"/>
      <c r="BRL17" s="5"/>
      <c r="BRM17" s="5"/>
      <c r="BRN17" s="5"/>
      <c r="BRO17" s="5"/>
      <c r="BRP17" s="5"/>
      <c r="BRQ17" s="5"/>
      <c r="BRR17" s="5"/>
      <c r="BRS17" s="5"/>
      <c r="BRT17" s="5"/>
      <c r="BRU17" s="5"/>
      <c r="BRV17" s="5"/>
      <c r="BRW17" s="5"/>
      <c r="BRX17" s="5"/>
      <c r="BRY17" s="5"/>
      <c r="BRZ17" s="5"/>
      <c r="BSA17" s="5"/>
      <c r="BSB17" s="5"/>
      <c r="BSC17" s="5"/>
      <c r="BSD17" s="5"/>
      <c r="BSE17" s="5"/>
      <c r="BSF17" s="5"/>
      <c r="BSG17" s="5"/>
      <c r="BSH17" s="5"/>
      <c r="BSI17" s="5"/>
      <c r="BSJ17" s="5"/>
      <c r="BSK17" s="5"/>
      <c r="BSL17" s="5"/>
      <c r="BSM17" s="5"/>
      <c r="BSN17" s="5"/>
      <c r="BSO17" s="5"/>
      <c r="BSP17" s="5"/>
      <c r="BSQ17" s="5"/>
      <c r="BSR17" s="5"/>
      <c r="BSS17" s="5"/>
      <c r="BST17" s="5"/>
      <c r="BSU17" s="5"/>
      <c r="BSV17" s="5"/>
      <c r="BSW17" s="5"/>
      <c r="BSX17" s="5"/>
      <c r="BSY17" s="5"/>
      <c r="BSZ17" s="5"/>
      <c r="BTA17" s="5"/>
      <c r="BTB17" s="5"/>
      <c r="BTC17" s="5"/>
      <c r="BTD17" s="5"/>
      <c r="BTE17" s="5"/>
      <c r="BTF17" s="5"/>
      <c r="BTG17" s="5"/>
      <c r="BTH17" s="5"/>
      <c r="BTI17" s="5"/>
      <c r="BTJ17" s="5"/>
      <c r="BTK17" s="5"/>
      <c r="BTL17" s="5"/>
      <c r="BTM17" s="5"/>
      <c r="BTN17" s="5"/>
      <c r="BTO17" s="5"/>
      <c r="BTP17" s="5"/>
      <c r="BTQ17" s="5"/>
      <c r="BTR17" s="5"/>
      <c r="BTS17" s="5"/>
      <c r="BTT17" s="5"/>
      <c r="BTU17" s="5"/>
      <c r="BTV17" s="5"/>
      <c r="BTW17" s="5"/>
      <c r="BTX17" s="5"/>
      <c r="BTY17" s="5"/>
      <c r="BTZ17" s="5"/>
      <c r="BUA17" s="5"/>
      <c r="BUB17" s="5"/>
      <c r="BUC17" s="5"/>
      <c r="BUD17" s="5"/>
      <c r="BUE17" s="5"/>
      <c r="BUF17" s="5"/>
      <c r="BUG17" s="5"/>
      <c r="BUH17" s="5"/>
      <c r="BUI17" s="5"/>
      <c r="BUJ17" s="5"/>
      <c r="BUK17" s="5"/>
      <c r="BUL17" s="5"/>
      <c r="BUM17" s="5"/>
      <c r="BUN17" s="5"/>
      <c r="BUO17" s="5"/>
      <c r="BUP17" s="5"/>
      <c r="BUQ17" s="5"/>
      <c r="BUR17" s="5"/>
      <c r="BUS17" s="5"/>
      <c r="BUT17" s="5"/>
      <c r="BUU17" s="5"/>
      <c r="BUV17" s="5"/>
      <c r="BUW17" s="5"/>
      <c r="BUX17" s="5"/>
      <c r="BUY17" s="5"/>
      <c r="BUZ17" s="5"/>
      <c r="BVA17" s="5"/>
      <c r="BVB17" s="5"/>
      <c r="BVC17" s="5"/>
      <c r="BVD17" s="5"/>
      <c r="BVE17" s="5"/>
      <c r="BVF17" s="5"/>
      <c r="BVG17" s="5"/>
      <c r="BVH17" s="5"/>
      <c r="BVI17" s="5"/>
      <c r="BVJ17" s="5"/>
      <c r="BVK17" s="5"/>
      <c r="BVL17" s="5"/>
      <c r="BVM17" s="5"/>
      <c r="BVN17" s="5"/>
      <c r="BVO17" s="5"/>
      <c r="BVP17" s="5"/>
      <c r="BVQ17" s="5"/>
      <c r="BVR17" s="5"/>
      <c r="BVS17" s="5"/>
      <c r="BVT17" s="5"/>
      <c r="BVU17" s="5"/>
      <c r="BVV17" s="5"/>
      <c r="BVW17" s="5"/>
      <c r="BVX17" s="5"/>
      <c r="BVY17" s="5"/>
      <c r="BVZ17" s="5"/>
      <c r="BWA17" s="5"/>
      <c r="BWB17" s="5"/>
      <c r="BWC17" s="5"/>
      <c r="BWD17" s="5"/>
      <c r="BWE17" s="5"/>
      <c r="BWF17" s="5"/>
      <c r="BWG17" s="5"/>
      <c r="BWH17" s="5"/>
      <c r="BWI17" s="5"/>
      <c r="BWJ17" s="5"/>
      <c r="BWK17" s="5"/>
      <c r="BWL17" s="5"/>
      <c r="BWM17" s="5"/>
      <c r="BWN17" s="5"/>
      <c r="BWO17" s="5"/>
      <c r="BWP17" s="5"/>
      <c r="BWQ17" s="5"/>
      <c r="BWR17" s="5"/>
      <c r="BWS17" s="5"/>
      <c r="BWT17" s="5"/>
      <c r="BWU17" s="5"/>
      <c r="BWV17" s="5"/>
      <c r="BWW17" s="5"/>
      <c r="BWX17" s="5"/>
      <c r="BWY17" s="5"/>
      <c r="BWZ17" s="5"/>
      <c r="BXA17" s="5"/>
      <c r="BXB17" s="5"/>
      <c r="BXC17" s="5"/>
      <c r="BXD17" s="5"/>
      <c r="BXE17" s="5"/>
      <c r="BXF17" s="5"/>
      <c r="BXG17" s="5"/>
      <c r="BXH17" s="5"/>
      <c r="BXI17" s="5"/>
      <c r="BXJ17" s="5"/>
      <c r="BXK17" s="5"/>
      <c r="BXL17" s="5"/>
      <c r="BXM17" s="5"/>
      <c r="BXN17" s="5"/>
      <c r="BXO17" s="5"/>
      <c r="BXP17" s="5"/>
      <c r="BXQ17" s="5"/>
      <c r="BXR17" s="5"/>
      <c r="BXS17" s="5"/>
      <c r="BXT17" s="5"/>
      <c r="BXU17" s="5"/>
      <c r="BXV17" s="5"/>
      <c r="BXW17" s="5"/>
      <c r="BXX17" s="5"/>
      <c r="BXY17" s="5"/>
      <c r="BXZ17" s="5"/>
      <c r="BYA17" s="5"/>
      <c r="BYB17" s="5"/>
      <c r="BYC17" s="5"/>
      <c r="BYD17" s="5"/>
      <c r="BYE17" s="5"/>
      <c r="BYF17" s="5"/>
      <c r="BYG17" s="5"/>
      <c r="BYH17" s="5"/>
      <c r="BYI17" s="5"/>
      <c r="BYJ17" s="5"/>
      <c r="BYK17" s="5"/>
      <c r="BYL17" s="5"/>
      <c r="BYM17" s="5"/>
      <c r="BYN17" s="5"/>
      <c r="BYO17" s="5"/>
      <c r="BYP17" s="5"/>
      <c r="BYQ17" s="5"/>
      <c r="BYR17" s="5"/>
      <c r="BYS17" s="5"/>
      <c r="BYT17" s="5"/>
      <c r="BYU17" s="5"/>
      <c r="BYV17" s="5"/>
      <c r="BYW17" s="5"/>
      <c r="BYX17" s="5"/>
      <c r="BYY17" s="5"/>
      <c r="BYZ17" s="5"/>
      <c r="BZA17" s="5"/>
      <c r="BZB17" s="5"/>
      <c r="BZC17" s="5"/>
      <c r="BZD17" s="5"/>
      <c r="BZE17" s="5"/>
      <c r="BZF17" s="5"/>
      <c r="BZG17" s="5"/>
      <c r="BZH17" s="5"/>
      <c r="BZI17" s="5"/>
      <c r="BZJ17" s="5"/>
      <c r="BZK17" s="5"/>
      <c r="BZL17" s="5"/>
      <c r="BZM17" s="5"/>
      <c r="BZN17" s="5"/>
      <c r="BZO17" s="5"/>
      <c r="BZP17" s="5"/>
      <c r="BZQ17" s="5"/>
      <c r="BZR17" s="5"/>
      <c r="BZS17" s="5"/>
      <c r="BZT17" s="5"/>
      <c r="BZU17" s="5"/>
      <c r="BZV17" s="5"/>
      <c r="BZW17" s="5"/>
      <c r="BZX17" s="5"/>
      <c r="BZY17" s="5"/>
      <c r="BZZ17" s="5"/>
      <c r="CAA17" s="5"/>
      <c r="CAB17" s="5"/>
      <c r="CAC17" s="5"/>
      <c r="CAD17" s="5"/>
      <c r="CAE17" s="5"/>
      <c r="CAF17" s="5"/>
      <c r="CAG17" s="5"/>
      <c r="CAH17" s="5"/>
      <c r="CAI17" s="5"/>
      <c r="CAJ17" s="5"/>
      <c r="CAK17" s="5"/>
      <c r="CAL17" s="5"/>
      <c r="CAM17" s="5"/>
      <c r="CAN17" s="5"/>
      <c r="CAO17" s="5"/>
      <c r="CAP17" s="5"/>
      <c r="CAQ17" s="5"/>
      <c r="CAR17" s="5"/>
      <c r="CAS17" s="5"/>
      <c r="CAT17" s="5"/>
      <c r="CAU17" s="5"/>
      <c r="CAV17" s="5"/>
      <c r="CAW17" s="5"/>
      <c r="CAX17" s="5"/>
      <c r="CAY17" s="5"/>
      <c r="CAZ17" s="5"/>
      <c r="CBA17" s="5"/>
      <c r="CBB17" s="5"/>
      <c r="CBC17" s="5"/>
      <c r="CBD17" s="5"/>
      <c r="CBE17" s="5"/>
      <c r="CBF17" s="5"/>
      <c r="CBG17" s="5"/>
      <c r="CBH17" s="5"/>
      <c r="CBI17" s="5"/>
      <c r="CBJ17" s="5"/>
      <c r="CBK17" s="5"/>
      <c r="CBL17" s="5"/>
      <c r="CBM17" s="5"/>
      <c r="CBN17" s="5"/>
      <c r="CBO17" s="5"/>
      <c r="CBP17" s="5"/>
      <c r="CBQ17" s="5"/>
      <c r="CBR17" s="5"/>
      <c r="CBS17" s="5"/>
      <c r="CBT17" s="5"/>
      <c r="CBU17" s="5"/>
      <c r="CBV17" s="5"/>
      <c r="CBW17" s="5"/>
      <c r="CBX17" s="5"/>
      <c r="CBY17" s="5"/>
      <c r="CBZ17" s="5"/>
      <c r="CCA17" s="5"/>
      <c r="CCB17" s="5"/>
      <c r="CCC17" s="5"/>
      <c r="CCD17" s="5"/>
      <c r="CCE17" s="5"/>
      <c r="CCF17" s="5"/>
      <c r="CCG17" s="5"/>
      <c r="CCH17" s="5"/>
      <c r="CCI17" s="5"/>
      <c r="CCJ17" s="5"/>
      <c r="CCK17" s="5"/>
      <c r="CCL17" s="5"/>
      <c r="CCM17" s="5"/>
      <c r="CCN17" s="5"/>
      <c r="CCO17" s="5"/>
      <c r="CCP17" s="5"/>
      <c r="CCQ17" s="5"/>
      <c r="CCR17" s="5"/>
      <c r="CCS17" s="5"/>
      <c r="CCT17" s="5"/>
      <c r="CCU17" s="5"/>
      <c r="CCV17" s="5"/>
      <c r="CCW17" s="5"/>
      <c r="CCX17" s="5"/>
      <c r="CCY17" s="5"/>
      <c r="CCZ17" s="5"/>
      <c r="CDA17" s="5"/>
      <c r="CDB17" s="5"/>
      <c r="CDC17" s="5"/>
      <c r="CDD17" s="5"/>
      <c r="CDE17" s="5"/>
      <c r="CDF17" s="5"/>
      <c r="CDG17" s="5"/>
      <c r="CDH17" s="5"/>
      <c r="CDI17" s="5"/>
      <c r="CDJ17" s="5"/>
      <c r="CDK17" s="5"/>
      <c r="CDL17" s="5"/>
      <c r="CDM17" s="5"/>
      <c r="CDN17" s="5"/>
      <c r="CDO17" s="5"/>
      <c r="CDP17" s="5"/>
      <c r="CDQ17" s="5"/>
      <c r="CDR17" s="5"/>
      <c r="CDS17" s="5"/>
      <c r="CDT17" s="5"/>
      <c r="CDU17" s="5"/>
      <c r="CDV17" s="5"/>
      <c r="CDW17" s="5"/>
      <c r="CDX17" s="5"/>
      <c r="CDY17" s="5"/>
      <c r="CDZ17" s="5"/>
      <c r="CEA17" s="5"/>
      <c r="CEB17" s="5"/>
      <c r="CEC17" s="5"/>
      <c r="CED17" s="5"/>
      <c r="CEE17" s="5"/>
      <c r="CEF17" s="5"/>
      <c r="CEG17" s="5"/>
      <c r="CEH17" s="5"/>
      <c r="CEI17" s="5"/>
      <c r="CEJ17" s="5"/>
      <c r="CEK17" s="5"/>
      <c r="CEL17" s="5"/>
      <c r="CEM17" s="5"/>
      <c r="CEN17" s="5"/>
      <c r="CEO17" s="5"/>
      <c r="CEP17" s="5"/>
      <c r="CEQ17" s="5"/>
      <c r="CER17" s="5"/>
      <c r="CES17" s="5"/>
      <c r="CET17" s="5"/>
      <c r="CEU17" s="5"/>
      <c r="CEV17" s="5"/>
      <c r="CEW17" s="5"/>
      <c r="CEX17" s="5"/>
      <c r="CEY17" s="5"/>
      <c r="CEZ17" s="5"/>
      <c r="CFA17" s="5"/>
      <c r="CFB17" s="5"/>
      <c r="CFC17" s="5"/>
      <c r="CFD17" s="5"/>
      <c r="CFE17" s="5"/>
      <c r="CFF17" s="5"/>
      <c r="CFG17" s="5"/>
      <c r="CFH17" s="5"/>
      <c r="CFI17" s="5"/>
      <c r="CFJ17" s="5"/>
      <c r="CFK17" s="5"/>
      <c r="CFL17" s="5"/>
      <c r="CFM17" s="5"/>
      <c r="CFN17" s="5"/>
      <c r="CFO17" s="5"/>
      <c r="CFP17" s="5"/>
      <c r="CFQ17" s="5"/>
      <c r="CFR17" s="5"/>
      <c r="CFS17" s="5"/>
      <c r="CFT17" s="5"/>
      <c r="CFU17" s="5"/>
      <c r="CFV17" s="5"/>
      <c r="CFW17" s="5"/>
      <c r="CFX17" s="5"/>
      <c r="CFY17" s="5"/>
      <c r="CFZ17" s="5"/>
      <c r="CGA17" s="5"/>
      <c r="CGB17" s="5"/>
      <c r="CGC17" s="5"/>
      <c r="CGD17" s="5"/>
      <c r="CGE17" s="5"/>
      <c r="CGF17" s="5"/>
      <c r="CGG17" s="5"/>
      <c r="CGH17" s="5"/>
      <c r="CGI17" s="5"/>
      <c r="CGJ17" s="5"/>
      <c r="CGK17" s="5"/>
      <c r="CGL17" s="5"/>
      <c r="CGM17" s="5"/>
      <c r="CGN17" s="5"/>
      <c r="CGO17" s="5"/>
      <c r="CGP17" s="5"/>
      <c r="CGQ17" s="5"/>
      <c r="CGR17" s="5"/>
      <c r="CGS17" s="5"/>
      <c r="CGT17" s="5"/>
      <c r="CGU17" s="5"/>
      <c r="CGV17" s="5"/>
      <c r="CGW17" s="5"/>
      <c r="CGX17" s="5"/>
      <c r="CGY17" s="5"/>
      <c r="CGZ17" s="5"/>
      <c r="CHA17" s="5"/>
      <c r="CHB17" s="5"/>
      <c r="CHC17" s="5"/>
      <c r="CHD17" s="5"/>
      <c r="CHE17" s="5"/>
      <c r="CHF17" s="5"/>
      <c r="CHG17" s="5"/>
      <c r="CHH17" s="5"/>
      <c r="CHI17" s="5"/>
      <c r="CHJ17" s="5"/>
      <c r="CHK17" s="5"/>
      <c r="CHL17" s="5"/>
      <c r="CHM17" s="5"/>
      <c r="CHN17" s="5"/>
      <c r="CHO17" s="5"/>
      <c r="CHP17" s="5"/>
      <c r="CHQ17" s="5"/>
      <c r="CHR17" s="5"/>
      <c r="CHS17" s="5"/>
      <c r="CHT17" s="5"/>
      <c r="CHU17" s="5"/>
      <c r="CHV17" s="5"/>
      <c r="CHW17" s="5"/>
      <c r="CHX17" s="5"/>
      <c r="CHY17" s="5"/>
      <c r="CHZ17" s="5"/>
      <c r="CIA17" s="5"/>
      <c r="CIB17" s="5"/>
      <c r="CIC17" s="5"/>
      <c r="CID17" s="5"/>
      <c r="CIE17" s="5"/>
      <c r="CIF17" s="5"/>
      <c r="CIG17" s="5"/>
      <c r="CIH17" s="5"/>
      <c r="CII17" s="5"/>
      <c r="CIJ17" s="5"/>
      <c r="CIK17" s="5"/>
      <c r="CIL17" s="5"/>
      <c r="CIM17" s="5"/>
      <c r="CIN17" s="5"/>
      <c r="CIO17" s="5"/>
      <c r="CIP17" s="5"/>
      <c r="CIQ17" s="5"/>
      <c r="CIR17" s="5"/>
      <c r="CIS17" s="5"/>
      <c r="CIT17" s="5"/>
      <c r="CIU17" s="5"/>
      <c r="CIV17" s="5"/>
      <c r="CIW17" s="5"/>
      <c r="CIX17" s="5"/>
      <c r="CIY17" s="5"/>
      <c r="CIZ17" s="5"/>
      <c r="CJA17" s="5"/>
      <c r="CJB17" s="5"/>
      <c r="CJC17" s="5"/>
      <c r="CJD17" s="5"/>
      <c r="CJE17" s="5"/>
      <c r="CJF17" s="5"/>
      <c r="CJG17" s="5"/>
      <c r="CJH17" s="5"/>
      <c r="CJI17" s="5"/>
      <c r="CJJ17" s="5"/>
      <c r="CJK17" s="5"/>
      <c r="CJL17" s="5"/>
      <c r="CJM17" s="5"/>
      <c r="CJN17" s="5"/>
      <c r="CJO17" s="5"/>
      <c r="CJP17" s="5"/>
      <c r="CJQ17" s="5"/>
      <c r="CJR17" s="5"/>
      <c r="CJS17" s="5"/>
      <c r="CJT17" s="5"/>
      <c r="CJU17" s="5"/>
      <c r="CJV17" s="5"/>
      <c r="CJW17" s="5"/>
      <c r="CJX17" s="5"/>
      <c r="CJY17" s="5"/>
      <c r="CJZ17" s="5"/>
      <c r="CKA17" s="5"/>
      <c r="CKB17" s="5"/>
      <c r="CKC17" s="5"/>
      <c r="CKD17" s="5"/>
      <c r="CKE17" s="5"/>
      <c r="CKF17" s="5"/>
      <c r="CKG17" s="5"/>
      <c r="CKH17" s="5"/>
      <c r="CKI17" s="5"/>
      <c r="CKJ17" s="5"/>
      <c r="CKK17" s="5"/>
      <c r="CKL17" s="5"/>
      <c r="CKM17" s="5"/>
      <c r="CKN17" s="5"/>
      <c r="CKO17" s="5"/>
      <c r="CKP17" s="5"/>
      <c r="CKQ17" s="5"/>
      <c r="CKR17" s="5"/>
      <c r="CKS17" s="5"/>
      <c r="CKT17" s="5"/>
      <c r="CKU17" s="5"/>
      <c r="CKV17" s="5"/>
      <c r="CKW17" s="5"/>
      <c r="CKX17" s="5"/>
      <c r="CKY17" s="5"/>
      <c r="CKZ17" s="5"/>
      <c r="CLA17" s="5"/>
      <c r="CLB17" s="5"/>
      <c r="CLC17" s="5"/>
      <c r="CLD17" s="5"/>
      <c r="CLE17" s="5"/>
      <c r="CLF17" s="5"/>
      <c r="CLG17" s="5"/>
      <c r="CLH17" s="5"/>
      <c r="CLI17" s="5"/>
      <c r="CLJ17" s="5"/>
      <c r="CLK17" s="5"/>
      <c r="CLL17" s="5"/>
      <c r="CLM17" s="5"/>
      <c r="CLN17" s="5"/>
      <c r="CLO17" s="5"/>
      <c r="CLP17" s="5"/>
      <c r="CLQ17" s="5"/>
      <c r="CLR17" s="5"/>
      <c r="CLS17" s="5"/>
      <c r="CLT17" s="5"/>
      <c r="CLU17" s="5"/>
      <c r="CLV17" s="5"/>
      <c r="CLW17" s="5"/>
      <c r="CLX17" s="5"/>
      <c r="CLY17" s="5"/>
      <c r="CLZ17" s="5"/>
      <c r="CMA17" s="5"/>
      <c r="CMB17" s="5"/>
      <c r="CMC17" s="5"/>
      <c r="CMD17" s="5"/>
      <c r="CME17" s="5"/>
      <c r="CMF17" s="5"/>
      <c r="CMG17" s="5"/>
      <c r="CMH17" s="5"/>
      <c r="CMI17" s="5"/>
      <c r="CMJ17" s="5"/>
      <c r="CMK17" s="5"/>
      <c r="CML17" s="5"/>
      <c r="CMM17" s="5"/>
      <c r="CMN17" s="5"/>
      <c r="CMO17" s="5"/>
      <c r="CMP17" s="5"/>
      <c r="CMQ17" s="5"/>
      <c r="CMR17" s="5"/>
      <c r="CMS17" s="5"/>
      <c r="CMT17" s="5"/>
      <c r="CMU17" s="5"/>
      <c r="CMV17" s="5"/>
      <c r="CMW17" s="5"/>
      <c r="CMX17" s="5"/>
      <c r="CMY17" s="5"/>
      <c r="CMZ17" s="5"/>
      <c r="CNA17" s="5"/>
      <c r="CNB17" s="5"/>
      <c r="CNC17" s="5"/>
      <c r="CND17" s="5"/>
      <c r="CNE17" s="5"/>
      <c r="CNF17" s="5"/>
      <c r="CNG17" s="5"/>
      <c r="CNH17" s="5"/>
      <c r="CNI17" s="5"/>
      <c r="CNJ17" s="5"/>
      <c r="CNK17" s="5"/>
      <c r="CNL17" s="5"/>
      <c r="CNM17" s="5"/>
      <c r="CNN17" s="5"/>
      <c r="CNO17" s="5"/>
      <c r="CNP17" s="5"/>
      <c r="CNQ17" s="5"/>
      <c r="CNR17" s="5"/>
      <c r="CNS17" s="5"/>
      <c r="CNT17" s="5"/>
      <c r="CNU17" s="5"/>
      <c r="CNV17" s="5"/>
      <c r="CNW17" s="5"/>
      <c r="CNX17" s="5"/>
      <c r="CNY17" s="5"/>
      <c r="CNZ17" s="5"/>
      <c r="COA17" s="5"/>
      <c r="COB17" s="5"/>
      <c r="COC17" s="5"/>
      <c r="COD17" s="5"/>
      <c r="COE17" s="5"/>
      <c r="COF17" s="5"/>
      <c r="COG17" s="5"/>
      <c r="COH17" s="5"/>
      <c r="COI17" s="5"/>
      <c r="COJ17" s="5"/>
      <c r="COK17" s="5"/>
      <c r="COL17" s="5"/>
      <c r="COM17" s="5"/>
      <c r="CON17" s="5"/>
      <c r="COO17" s="5"/>
      <c r="COP17" s="5"/>
      <c r="COQ17" s="5"/>
      <c r="COR17" s="5"/>
      <c r="COS17" s="5"/>
      <c r="COT17" s="5"/>
      <c r="COU17" s="5"/>
      <c r="COV17" s="5"/>
      <c r="COW17" s="5"/>
      <c r="COX17" s="5"/>
      <c r="COY17" s="5"/>
      <c r="COZ17" s="5"/>
      <c r="CPA17" s="5"/>
      <c r="CPB17" s="5"/>
      <c r="CPC17" s="5"/>
      <c r="CPD17" s="5"/>
      <c r="CPE17" s="5"/>
      <c r="CPF17" s="5"/>
      <c r="CPG17" s="5"/>
      <c r="CPH17" s="5"/>
      <c r="CPI17" s="5"/>
      <c r="CPJ17" s="5"/>
      <c r="CPK17" s="5"/>
      <c r="CPL17" s="5"/>
      <c r="CPM17" s="5"/>
      <c r="CPN17" s="5"/>
      <c r="CPO17" s="5"/>
      <c r="CPP17" s="5"/>
      <c r="CPQ17" s="5"/>
      <c r="CPR17" s="5"/>
      <c r="CPS17" s="5"/>
      <c r="CPT17" s="5"/>
      <c r="CPU17" s="5"/>
      <c r="CPV17" s="5"/>
      <c r="CPW17" s="5"/>
      <c r="CPX17" s="5"/>
      <c r="CPY17" s="5"/>
      <c r="CPZ17" s="5"/>
      <c r="CQA17" s="5"/>
      <c r="CQB17" s="5"/>
      <c r="CQC17" s="5"/>
      <c r="CQD17" s="5"/>
      <c r="CQE17" s="5"/>
      <c r="CQF17" s="5"/>
      <c r="CQG17" s="5"/>
      <c r="CQH17" s="5"/>
      <c r="CQI17" s="5"/>
      <c r="CQJ17" s="5"/>
      <c r="CQK17" s="5"/>
      <c r="CQL17" s="5"/>
      <c r="CQM17" s="5"/>
      <c r="CQN17" s="5"/>
      <c r="CQO17" s="5"/>
      <c r="CQP17" s="5"/>
      <c r="CQQ17" s="5"/>
      <c r="CQR17" s="5"/>
      <c r="CQS17" s="5"/>
      <c r="CQT17" s="5"/>
      <c r="CQU17" s="5"/>
      <c r="CQV17" s="5"/>
      <c r="CQW17" s="5"/>
      <c r="CQX17" s="5"/>
      <c r="CQY17" s="5"/>
      <c r="CQZ17" s="5"/>
      <c r="CRA17" s="5"/>
      <c r="CRB17" s="5"/>
      <c r="CRC17" s="5"/>
      <c r="CRD17" s="5"/>
      <c r="CRE17" s="5"/>
      <c r="CRF17" s="5"/>
      <c r="CRG17" s="5"/>
      <c r="CRH17" s="5"/>
      <c r="CRI17" s="5"/>
      <c r="CRJ17" s="5"/>
      <c r="CRK17" s="5"/>
      <c r="CRL17" s="5"/>
      <c r="CRM17" s="5"/>
      <c r="CRN17" s="5"/>
      <c r="CRO17" s="5"/>
      <c r="CRP17" s="5"/>
      <c r="CRQ17" s="5"/>
      <c r="CRR17" s="5"/>
      <c r="CRS17" s="5"/>
      <c r="CRT17" s="5"/>
      <c r="CRU17" s="5"/>
      <c r="CRV17" s="5"/>
      <c r="CRW17" s="5"/>
      <c r="CRX17" s="5"/>
      <c r="CRY17" s="5"/>
      <c r="CRZ17" s="5"/>
      <c r="CSA17" s="5"/>
      <c r="CSB17" s="5"/>
      <c r="CSC17" s="5"/>
      <c r="CSD17" s="5"/>
      <c r="CSE17" s="5"/>
      <c r="CSF17" s="5"/>
      <c r="CSG17" s="5"/>
      <c r="CSH17" s="5"/>
      <c r="CSI17" s="5"/>
      <c r="CSJ17" s="5"/>
      <c r="CSK17" s="5"/>
      <c r="CSL17" s="5"/>
      <c r="CSM17" s="5"/>
      <c r="CSN17" s="5"/>
      <c r="CSO17" s="5"/>
      <c r="CSP17" s="5"/>
      <c r="CSQ17" s="5"/>
      <c r="CSR17" s="5"/>
      <c r="CSS17" s="5"/>
      <c r="CST17" s="5"/>
      <c r="CSU17" s="5"/>
      <c r="CSV17" s="5"/>
      <c r="CSW17" s="5"/>
      <c r="CSX17" s="5"/>
      <c r="CSY17" s="5"/>
      <c r="CSZ17" s="5"/>
      <c r="CTA17" s="5"/>
      <c r="CTB17" s="5"/>
      <c r="CTC17" s="5"/>
      <c r="CTD17" s="5"/>
      <c r="CTE17" s="5"/>
      <c r="CTF17" s="5"/>
      <c r="CTG17" s="5"/>
      <c r="CTH17" s="5"/>
      <c r="CTI17" s="5"/>
      <c r="CTJ17" s="5"/>
      <c r="CTK17" s="5"/>
      <c r="CTL17" s="5"/>
      <c r="CTM17" s="5"/>
      <c r="CTN17" s="5"/>
      <c r="CTO17" s="5"/>
      <c r="CTP17" s="5"/>
      <c r="CTQ17" s="5"/>
      <c r="CTR17" s="5"/>
      <c r="CTS17" s="5"/>
      <c r="CTT17" s="5"/>
      <c r="CTU17" s="5"/>
      <c r="CTV17" s="5"/>
      <c r="CTW17" s="5"/>
      <c r="CTX17" s="5"/>
      <c r="CTY17" s="5"/>
      <c r="CTZ17" s="5"/>
      <c r="CUA17" s="5"/>
      <c r="CUB17" s="5"/>
      <c r="CUC17" s="5"/>
      <c r="CUD17" s="5"/>
      <c r="CUE17" s="5"/>
      <c r="CUF17" s="5"/>
      <c r="CUG17" s="5"/>
      <c r="CUH17" s="5"/>
      <c r="CUI17" s="5"/>
      <c r="CUJ17" s="5"/>
      <c r="CUK17" s="5"/>
      <c r="CUL17" s="5"/>
      <c r="CUM17" s="5"/>
      <c r="CUN17" s="5"/>
      <c r="CUO17" s="5"/>
      <c r="CUP17" s="5"/>
      <c r="CUQ17" s="5"/>
      <c r="CUR17" s="5"/>
      <c r="CUS17" s="5"/>
      <c r="CUT17" s="5"/>
      <c r="CUU17" s="5"/>
      <c r="CUV17" s="5"/>
      <c r="CUW17" s="5"/>
      <c r="CUX17" s="5"/>
      <c r="CUY17" s="5"/>
      <c r="CUZ17" s="5"/>
      <c r="CVA17" s="5"/>
      <c r="CVB17" s="5"/>
      <c r="CVC17" s="5"/>
      <c r="CVD17" s="5"/>
      <c r="CVE17" s="5"/>
      <c r="CVF17" s="5"/>
      <c r="CVG17" s="5"/>
      <c r="CVH17" s="5"/>
      <c r="CVI17" s="5"/>
      <c r="CVJ17" s="5"/>
      <c r="CVK17" s="5"/>
      <c r="CVL17" s="5"/>
      <c r="CVM17" s="5"/>
      <c r="CVN17" s="5"/>
      <c r="CVO17" s="5"/>
      <c r="CVP17" s="5"/>
      <c r="CVQ17" s="5"/>
      <c r="CVR17" s="5"/>
      <c r="CVS17" s="5"/>
      <c r="CVT17" s="5"/>
      <c r="CVU17" s="5"/>
      <c r="CVV17" s="5"/>
      <c r="CVW17" s="5"/>
      <c r="CVX17" s="5"/>
      <c r="CVY17" s="5"/>
      <c r="CVZ17" s="5"/>
      <c r="CWA17" s="5"/>
      <c r="CWB17" s="5"/>
      <c r="CWC17" s="5"/>
      <c r="CWD17" s="5"/>
      <c r="CWE17" s="5"/>
      <c r="CWF17" s="5"/>
      <c r="CWG17" s="5"/>
      <c r="CWH17" s="5"/>
      <c r="CWI17" s="5"/>
      <c r="CWJ17" s="5"/>
      <c r="CWK17" s="5"/>
      <c r="CWL17" s="5"/>
      <c r="CWM17" s="5"/>
      <c r="CWN17" s="5"/>
      <c r="CWO17" s="5"/>
      <c r="CWP17" s="5"/>
      <c r="CWQ17" s="5"/>
      <c r="CWR17" s="5"/>
      <c r="CWS17" s="5"/>
      <c r="CWT17" s="5"/>
      <c r="CWU17" s="5"/>
      <c r="CWV17" s="5"/>
      <c r="CWW17" s="5"/>
      <c r="CWX17" s="5"/>
      <c r="CWY17" s="5"/>
      <c r="CWZ17" s="5"/>
      <c r="CXA17" s="5"/>
      <c r="CXB17" s="5"/>
      <c r="CXC17" s="5"/>
      <c r="CXD17" s="5"/>
      <c r="CXE17" s="5"/>
      <c r="CXF17" s="5"/>
      <c r="CXG17" s="5"/>
      <c r="CXH17" s="5"/>
      <c r="CXI17" s="5"/>
      <c r="CXJ17" s="5"/>
      <c r="CXK17" s="5"/>
      <c r="CXL17" s="5"/>
      <c r="CXM17" s="5"/>
      <c r="CXN17" s="5"/>
      <c r="CXO17" s="5"/>
      <c r="CXP17" s="5"/>
      <c r="CXQ17" s="5"/>
      <c r="CXR17" s="5"/>
      <c r="CXS17" s="5"/>
      <c r="CXT17" s="5"/>
      <c r="CXU17" s="5"/>
      <c r="CXV17" s="5"/>
      <c r="CXW17" s="5"/>
      <c r="CXX17" s="5"/>
      <c r="CXY17" s="5"/>
      <c r="CXZ17" s="5"/>
      <c r="CYA17" s="5"/>
      <c r="CYB17" s="5"/>
      <c r="CYC17" s="5"/>
      <c r="CYD17" s="5"/>
      <c r="CYE17" s="5"/>
      <c r="CYF17" s="5"/>
      <c r="CYG17" s="5"/>
      <c r="CYH17" s="5"/>
      <c r="CYI17" s="5"/>
      <c r="CYJ17" s="5"/>
      <c r="CYK17" s="5"/>
      <c r="CYL17" s="5"/>
      <c r="CYM17" s="5"/>
      <c r="CYN17" s="5"/>
      <c r="CYO17" s="5"/>
      <c r="CYP17" s="5"/>
      <c r="CYQ17" s="5"/>
      <c r="CYR17" s="5"/>
      <c r="CYS17" s="5"/>
      <c r="CYT17" s="5"/>
      <c r="CYU17" s="5"/>
      <c r="CYV17" s="5"/>
      <c r="CYW17" s="5"/>
      <c r="CYX17" s="5"/>
      <c r="CYY17" s="5"/>
      <c r="CYZ17" s="5"/>
      <c r="CZA17" s="5"/>
      <c r="CZB17" s="5"/>
      <c r="CZC17" s="5"/>
      <c r="CZD17" s="5"/>
      <c r="CZE17" s="5"/>
      <c r="CZF17" s="5"/>
      <c r="CZG17" s="5"/>
      <c r="CZH17" s="5"/>
      <c r="CZI17" s="5"/>
      <c r="CZJ17" s="5"/>
      <c r="CZK17" s="5"/>
      <c r="CZL17" s="5"/>
      <c r="CZM17" s="5"/>
      <c r="CZN17" s="5"/>
      <c r="CZO17" s="5"/>
      <c r="CZP17" s="5"/>
      <c r="CZQ17" s="5"/>
      <c r="CZR17" s="5"/>
      <c r="CZS17" s="5"/>
      <c r="CZT17" s="5"/>
      <c r="CZU17" s="5"/>
      <c r="CZV17" s="5"/>
      <c r="CZW17" s="5"/>
      <c r="CZX17" s="5"/>
      <c r="CZY17" s="5"/>
      <c r="CZZ17" s="5"/>
      <c r="DAA17" s="5"/>
      <c r="DAB17" s="5"/>
      <c r="DAC17" s="5"/>
      <c r="DAD17" s="5"/>
      <c r="DAE17" s="5"/>
      <c r="DAF17" s="5"/>
      <c r="DAG17" s="5"/>
      <c r="DAH17" s="5"/>
      <c r="DAI17" s="5"/>
      <c r="DAJ17" s="5"/>
      <c r="DAK17" s="5"/>
      <c r="DAL17" s="5"/>
      <c r="DAM17" s="5"/>
      <c r="DAN17" s="5"/>
      <c r="DAO17" s="5"/>
      <c r="DAP17" s="5"/>
      <c r="DAQ17" s="5"/>
      <c r="DAR17" s="5"/>
      <c r="DAS17" s="5"/>
      <c r="DAT17" s="5"/>
      <c r="DAU17" s="5"/>
      <c r="DAV17" s="5"/>
      <c r="DAW17" s="5"/>
      <c r="DAX17" s="5"/>
      <c r="DAY17" s="5"/>
      <c r="DAZ17" s="5"/>
      <c r="DBA17" s="5"/>
      <c r="DBB17" s="5"/>
      <c r="DBC17" s="5"/>
      <c r="DBD17" s="5"/>
      <c r="DBE17" s="5"/>
      <c r="DBF17" s="5"/>
      <c r="DBG17" s="5"/>
    </row>
    <row r="18" spans="1:2763" ht="16.5" customHeight="1" x14ac:dyDescent="0.25">
      <c r="A18" s="14">
        <v>39</v>
      </c>
      <c r="B18" s="29">
        <v>200</v>
      </c>
      <c r="C18" s="151" t="s">
        <v>122</v>
      </c>
      <c r="D18" s="9"/>
      <c r="E18" s="9"/>
      <c r="F18" s="16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67"/>
      <c r="V18" s="9"/>
      <c r="W18" s="9"/>
      <c r="X18" s="9"/>
      <c r="Y18" s="9"/>
      <c r="Z18" s="9"/>
      <c r="AA18" s="9"/>
      <c r="AB18" s="11"/>
      <c r="AC18" s="11"/>
      <c r="AD18" s="11"/>
      <c r="AE18" s="163"/>
      <c r="AF18" s="162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  <c r="BVQ18" s="5"/>
      <c r="BVR18" s="5"/>
      <c r="BVS18" s="5"/>
      <c r="BVT18" s="5"/>
      <c r="BVU18" s="5"/>
      <c r="BVV18" s="5"/>
      <c r="BVW18" s="5"/>
      <c r="BVX18" s="5"/>
      <c r="BVY18" s="5"/>
      <c r="BVZ18" s="5"/>
      <c r="BWA18" s="5"/>
      <c r="BWB18" s="5"/>
      <c r="BWC18" s="5"/>
      <c r="BWD18" s="5"/>
      <c r="BWE18" s="5"/>
      <c r="BWF18" s="5"/>
      <c r="BWG18" s="5"/>
      <c r="BWH18" s="5"/>
      <c r="BWI18" s="5"/>
      <c r="BWJ18" s="5"/>
      <c r="BWK18" s="5"/>
      <c r="BWL18" s="5"/>
      <c r="BWM18" s="5"/>
      <c r="BWN18" s="5"/>
      <c r="BWO18" s="5"/>
      <c r="BWP18" s="5"/>
      <c r="BWQ18" s="5"/>
      <c r="BWR18" s="5"/>
      <c r="BWS18" s="5"/>
      <c r="BWT18" s="5"/>
      <c r="BWU18" s="5"/>
      <c r="BWV18" s="5"/>
      <c r="BWW18" s="5"/>
      <c r="BWX18" s="5"/>
      <c r="BWY18" s="5"/>
      <c r="BWZ18" s="5"/>
      <c r="BXA18" s="5"/>
      <c r="BXB18" s="5"/>
      <c r="BXC18" s="5"/>
      <c r="BXD18" s="5"/>
      <c r="BXE18" s="5"/>
      <c r="BXF18" s="5"/>
      <c r="BXG18" s="5"/>
      <c r="BXH18" s="5"/>
      <c r="BXI18" s="5"/>
      <c r="BXJ18" s="5"/>
      <c r="BXK18" s="5"/>
      <c r="BXL18" s="5"/>
      <c r="BXM18" s="5"/>
      <c r="BXN18" s="5"/>
      <c r="BXO18" s="5"/>
      <c r="BXP18" s="5"/>
      <c r="BXQ18" s="5"/>
      <c r="BXR18" s="5"/>
      <c r="BXS18" s="5"/>
      <c r="BXT18" s="5"/>
      <c r="BXU18" s="5"/>
      <c r="BXV18" s="5"/>
      <c r="BXW18" s="5"/>
      <c r="BXX18" s="5"/>
      <c r="BXY18" s="5"/>
      <c r="BXZ18" s="5"/>
      <c r="BYA18" s="5"/>
      <c r="BYB18" s="5"/>
      <c r="BYC18" s="5"/>
      <c r="BYD18" s="5"/>
      <c r="BYE18" s="5"/>
      <c r="BYF18" s="5"/>
      <c r="BYG18" s="5"/>
      <c r="BYH18" s="5"/>
      <c r="BYI18" s="5"/>
      <c r="BYJ18" s="5"/>
      <c r="BYK18" s="5"/>
      <c r="BYL18" s="5"/>
      <c r="BYM18" s="5"/>
      <c r="BYN18" s="5"/>
      <c r="BYO18" s="5"/>
      <c r="BYP18" s="5"/>
      <c r="BYQ18" s="5"/>
      <c r="BYR18" s="5"/>
      <c r="BYS18" s="5"/>
      <c r="BYT18" s="5"/>
      <c r="BYU18" s="5"/>
      <c r="BYV18" s="5"/>
      <c r="BYW18" s="5"/>
      <c r="BYX18" s="5"/>
      <c r="BYY18" s="5"/>
      <c r="BYZ18" s="5"/>
      <c r="BZA18" s="5"/>
      <c r="BZB18" s="5"/>
      <c r="BZC18" s="5"/>
      <c r="BZD18" s="5"/>
      <c r="BZE18" s="5"/>
      <c r="BZF18" s="5"/>
      <c r="BZG18" s="5"/>
      <c r="BZH18" s="5"/>
      <c r="BZI18" s="5"/>
      <c r="BZJ18" s="5"/>
      <c r="BZK18" s="5"/>
      <c r="BZL18" s="5"/>
      <c r="BZM18" s="5"/>
      <c r="BZN18" s="5"/>
      <c r="BZO18" s="5"/>
      <c r="BZP18" s="5"/>
      <c r="BZQ18" s="5"/>
      <c r="BZR18" s="5"/>
      <c r="BZS18" s="5"/>
      <c r="BZT18" s="5"/>
      <c r="BZU18" s="5"/>
      <c r="BZV18" s="5"/>
      <c r="BZW18" s="5"/>
      <c r="BZX18" s="5"/>
      <c r="BZY18" s="5"/>
      <c r="BZZ18" s="5"/>
      <c r="CAA18" s="5"/>
      <c r="CAB18" s="5"/>
      <c r="CAC18" s="5"/>
      <c r="CAD18" s="5"/>
      <c r="CAE18" s="5"/>
      <c r="CAF18" s="5"/>
      <c r="CAG18" s="5"/>
      <c r="CAH18" s="5"/>
      <c r="CAI18" s="5"/>
      <c r="CAJ18" s="5"/>
      <c r="CAK18" s="5"/>
      <c r="CAL18" s="5"/>
      <c r="CAM18" s="5"/>
      <c r="CAN18" s="5"/>
      <c r="CAO18" s="5"/>
      <c r="CAP18" s="5"/>
      <c r="CAQ18" s="5"/>
      <c r="CAR18" s="5"/>
      <c r="CAS18" s="5"/>
      <c r="CAT18" s="5"/>
      <c r="CAU18" s="5"/>
      <c r="CAV18" s="5"/>
      <c r="CAW18" s="5"/>
      <c r="CAX18" s="5"/>
      <c r="CAY18" s="5"/>
      <c r="CAZ18" s="5"/>
      <c r="CBA18" s="5"/>
      <c r="CBB18" s="5"/>
      <c r="CBC18" s="5"/>
      <c r="CBD18" s="5"/>
      <c r="CBE18" s="5"/>
      <c r="CBF18" s="5"/>
      <c r="CBG18" s="5"/>
      <c r="CBH18" s="5"/>
      <c r="CBI18" s="5"/>
      <c r="CBJ18" s="5"/>
      <c r="CBK18" s="5"/>
      <c r="CBL18" s="5"/>
      <c r="CBM18" s="5"/>
      <c r="CBN18" s="5"/>
      <c r="CBO18" s="5"/>
      <c r="CBP18" s="5"/>
      <c r="CBQ18" s="5"/>
      <c r="CBR18" s="5"/>
      <c r="CBS18" s="5"/>
      <c r="CBT18" s="5"/>
      <c r="CBU18" s="5"/>
      <c r="CBV18" s="5"/>
      <c r="CBW18" s="5"/>
      <c r="CBX18" s="5"/>
      <c r="CBY18" s="5"/>
      <c r="CBZ18" s="5"/>
      <c r="CCA18" s="5"/>
      <c r="CCB18" s="5"/>
      <c r="CCC18" s="5"/>
      <c r="CCD18" s="5"/>
      <c r="CCE18" s="5"/>
      <c r="CCF18" s="5"/>
      <c r="CCG18" s="5"/>
      <c r="CCH18" s="5"/>
      <c r="CCI18" s="5"/>
      <c r="CCJ18" s="5"/>
      <c r="CCK18" s="5"/>
      <c r="CCL18" s="5"/>
      <c r="CCM18" s="5"/>
      <c r="CCN18" s="5"/>
      <c r="CCO18" s="5"/>
      <c r="CCP18" s="5"/>
      <c r="CCQ18" s="5"/>
      <c r="CCR18" s="5"/>
      <c r="CCS18" s="5"/>
      <c r="CCT18" s="5"/>
      <c r="CCU18" s="5"/>
      <c r="CCV18" s="5"/>
      <c r="CCW18" s="5"/>
      <c r="CCX18" s="5"/>
      <c r="CCY18" s="5"/>
      <c r="CCZ18" s="5"/>
      <c r="CDA18" s="5"/>
      <c r="CDB18" s="5"/>
      <c r="CDC18" s="5"/>
      <c r="CDD18" s="5"/>
      <c r="CDE18" s="5"/>
      <c r="CDF18" s="5"/>
      <c r="CDG18" s="5"/>
      <c r="CDH18" s="5"/>
      <c r="CDI18" s="5"/>
      <c r="CDJ18" s="5"/>
      <c r="CDK18" s="5"/>
      <c r="CDL18" s="5"/>
      <c r="CDM18" s="5"/>
      <c r="CDN18" s="5"/>
      <c r="CDO18" s="5"/>
      <c r="CDP18" s="5"/>
      <c r="CDQ18" s="5"/>
      <c r="CDR18" s="5"/>
      <c r="CDS18" s="5"/>
      <c r="CDT18" s="5"/>
      <c r="CDU18" s="5"/>
      <c r="CDV18" s="5"/>
      <c r="CDW18" s="5"/>
      <c r="CDX18" s="5"/>
      <c r="CDY18" s="5"/>
      <c r="CDZ18" s="5"/>
      <c r="CEA18" s="5"/>
      <c r="CEB18" s="5"/>
      <c r="CEC18" s="5"/>
      <c r="CED18" s="5"/>
      <c r="CEE18" s="5"/>
      <c r="CEF18" s="5"/>
      <c r="CEG18" s="5"/>
      <c r="CEH18" s="5"/>
      <c r="CEI18" s="5"/>
      <c r="CEJ18" s="5"/>
      <c r="CEK18" s="5"/>
      <c r="CEL18" s="5"/>
      <c r="CEM18" s="5"/>
      <c r="CEN18" s="5"/>
      <c r="CEO18" s="5"/>
      <c r="CEP18" s="5"/>
      <c r="CEQ18" s="5"/>
      <c r="CER18" s="5"/>
      <c r="CES18" s="5"/>
      <c r="CET18" s="5"/>
      <c r="CEU18" s="5"/>
      <c r="CEV18" s="5"/>
      <c r="CEW18" s="5"/>
      <c r="CEX18" s="5"/>
      <c r="CEY18" s="5"/>
      <c r="CEZ18" s="5"/>
      <c r="CFA18" s="5"/>
      <c r="CFB18" s="5"/>
      <c r="CFC18" s="5"/>
      <c r="CFD18" s="5"/>
      <c r="CFE18" s="5"/>
      <c r="CFF18" s="5"/>
      <c r="CFG18" s="5"/>
      <c r="CFH18" s="5"/>
      <c r="CFI18" s="5"/>
      <c r="CFJ18" s="5"/>
      <c r="CFK18" s="5"/>
      <c r="CFL18" s="5"/>
      <c r="CFM18" s="5"/>
      <c r="CFN18" s="5"/>
      <c r="CFO18" s="5"/>
      <c r="CFP18" s="5"/>
      <c r="CFQ18" s="5"/>
      <c r="CFR18" s="5"/>
      <c r="CFS18" s="5"/>
      <c r="CFT18" s="5"/>
      <c r="CFU18" s="5"/>
      <c r="CFV18" s="5"/>
      <c r="CFW18" s="5"/>
      <c r="CFX18" s="5"/>
      <c r="CFY18" s="5"/>
      <c r="CFZ18" s="5"/>
      <c r="CGA18" s="5"/>
      <c r="CGB18" s="5"/>
      <c r="CGC18" s="5"/>
      <c r="CGD18" s="5"/>
      <c r="CGE18" s="5"/>
      <c r="CGF18" s="5"/>
      <c r="CGG18" s="5"/>
      <c r="CGH18" s="5"/>
      <c r="CGI18" s="5"/>
      <c r="CGJ18" s="5"/>
      <c r="CGK18" s="5"/>
      <c r="CGL18" s="5"/>
      <c r="CGM18" s="5"/>
      <c r="CGN18" s="5"/>
      <c r="CGO18" s="5"/>
      <c r="CGP18" s="5"/>
      <c r="CGQ18" s="5"/>
      <c r="CGR18" s="5"/>
      <c r="CGS18" s="5"/>
      <c r="CGT18" s="5"/>
      <c r="CGU18" s="5"/>
      <c r="CGV18" s="5"/>
      <c r="CGW18" s="5"/>
      <c r="CGX18" s="5"/>
      <c r="CGY18" s="5"/>
      <c r="CGZ18" s="5"/>
      <c r="CHA18" s="5"/>
      <c r="CHB18" s="5"/>
      <c r="CHC18" s="5"/>
      <c r="CHD18" s="5"/>
      <c r="CHE18" s="5"/>
      <c r="CHF18" s="5"/>
      <c r="CHG18" s="5"/>
      <c r="CHH18" s="5"/>
      <c r="CHI18" s="5"/>
      <c r="CHJ18" s="5"/>
      <c r="CHK18" s="5"/>
      <c r="CHL18" s="5"/>
      <c r="CHM18" s="5"/>
      <c r="CHN18" s="5"/>
      <c r="CHO18" s="5"/>
      <c r="CHP18" s="5"/>
      <c r="CHQ18" s="5"/>
      <c r="CHR18" s="5"/>
      <c r="CHS18" s="5"/>
      <c r="CHT18" s="5"/>
      <c r="CHU18" s="5"/>
      <c r="CHV18" s="5"/>
      <c r="CHW18" s="5"/>
      <c r="CHX18" s="5"/>
      <c r="CHY18" s="5"/>
      <c r="CHZ18" s="5"/>
      <c r="CIA18" s="5"/>
      <c r="CIB18" s="5"/>
      <c r="CIC18" s="5"/>
      <c r="CID18" s="5"/>
      <c r="CIE18" s="5"/>
      <c r="CIF18" s="5"/>
      <c r="CIG18" s="5"/>
      <c r="CIH18" s="5"/>
      <c r="CII18" s="5"/>
      <c r="CIJ18" s="5"/>
      <c r="CIK18" s="5"/>
      <c r="CIL18" s="5"/>
      <c r="CIM18" s="5"/>
      <c r="CIN18" s="5"/>
      <c r="CIO18" s="5"/>
      <c r="CIP18" s="5"/>
      <c r="CIQ18" s="5"/>
      <c r="CIR18" s="5"/>
      <c r="CIS18" s="5"/>
      <c r="CIT18" s="5"/>
      <c r="CIU18" s="5"/>
      <c r="CIV18" s="5"/>
      <c r="CIW18" s="5"/>
      <c r="CIX18" s="5"/>
      <c r="CIY18" s="5"/>
      <c r="CIZ18" s="5"/>
      <c r="CJA18" s="5"/>
      <c r="CJB18" s="5"/>
      <c r="CJC18" s="5"/>
      <c r="CJD18" s="5"/>
      <c r="CJE18" s="5"/>
      <c r="CJF18" s="5"/>
      <c r="CJG18" s="5"/>
      <c r="CJH18" s="5"/>
      <c r="CJI18" s="5"/>
      <c r="CJJ18" s="5"/>
      <c r="CJK18" s="5"/>
      <c r="CJL18" s="5"/>
      <c r="CJM18" s="5"/>
      <c r="CJN18" s="5"/>
      <c r="CJO18" s="5"/>
      <c r="CJP18" s="5"/>
      <c r="CJQ18" s="5"/>
      <c r="CJR18" s="5"/>
      <c r="CJS18" s="5"/>
      <c r="CJT18" s="5"/>
      <c r="CJU18" s="5"/>
      <c r="CJV18" s="5"/>
      <c r="CJW18" s="5"/>
      <c r="CJX18" s="5"/>
      <c r="CJY18" s="5"/>
      <c r="CJZ18" s="5"/>
      <c r="CKA18" s="5"/>
      <c r="CKB18" s="5"/>
      <c r="CKC18" s="5"/>
      <c r="CKD18" s="5"/>
      <c r="CKE18" s="5"/>
      <c r="CKF18" s="5"/>
      <c r="CKG18" s="5"/>
      <c r="CKH18" s="5"/>
      <c r="CKI18" s="5"/>
      <c r="CKJ18" s="5"/>
      <c r="CKK18" s="5"/>
      <c r="CKL18" s="5"/>
      <c r="CKM18" s="5"/>
      <c r="CKN18" s="5"/>
      <c r="CKO18" s="5"/>
      <c r="CKP18" s="5"/>
      <c r="CKQ18" s="5"/>
      <c r="CKR18" s="5"/>
      <c r="CKS18" s="5"/>
      <c r="CKT18" s="5"/>
      <c r="CKU18" s="5"/>
      <c r="CKV18" s="5"/>
      <c r="CKW18" s="5"/>
      <c r="CKX18" s="5"/>
      <c r="CKY18" s="5"/>
      <c r="CKZ18" s="5"/>
      <c r="CLA18" s="5"/>
      <c r="CLB18" s="5"/>
      <c r="CLC18" s="5"/>
      <c r="CLD18" s="5"/>
      <c r="CLE18" s="5"/>
      <c r="CLF18" s="5"/>
      <c r="CLG18" s="5"/>
      <c r="CLH18" s="5"/>
      <c r="CLI18" s="5"/>
      <c r="CLJ18" s="5"/>
      <c r="CLK18" s="5"/>
      <c r="CLL18" s="5"/>
      <c r="CLM18" s="5"/>
      <c r="CLN18" s="5"/>
      <c r="CLO18" s="5"/>
      <c r="CLP18" s="5"/>
      <c r="CLQ18" s="5"/>
      <c r="CLR18" s="5"/>
      <c r="CLS18" s="5"/>
      <c r="CLT18" s="5"/>
      <c r="CLU18" s="5"/>
      <c r="CLV18" s="5"/>
      <c r="CLW18" s="5"/>
      <c r="CLX18" s="5"/>
      <c r="CLY18" s="5"/>
      <c r="CLZ18" s="5"/>
      <c r="CMA18" s="5"/>
      <c r="CMB18" s="5"/>
      <c r="CMC18" s="5"/>
      <c r="CMD18" s="5"/>
      <c r="CME18" s="5"/>
      <c r="CMF18" s="5"/>
      <c r="CMG18" s="5"/>
      <c r="CMH18" s="5"/>
      <c r="CMI18" s="5"/>
      <c r="CMJ18" s="5"/>
      <c r="CMK18" s="5"/>
      <c r="CML18" s="5"/>
      <c r="CMM18" s="5"/>
      <c r="CMN18" s="5"/>
      <c r="CMO18" s="5"/>
      <c r="CMP18" s="5"/>
      <c r="CMQ18" s="5"/>
      <c r="CMR18" s="5"/>
      <c r="CMS18" s="5"/>
      <c r="CMT18" s="5"/>
      <c r="CMU18" s="5"/>
      <c r="CMV18" s="5"/>
      <c r="CMW18" s="5"/>
      <c r="CMX18" s="5"/>
      <c r="CMY18" s="5"/>
      <c r="CMZ18" s="5"/>
      <c r="CNA18" s="5"/>
      <c r="CNB18" s="5"/>
      <c r="CNC18" s="5"/>
      <c r="CND18" s="5"/>
      <c r="CNE18" s="5"/>
      <c r="CNF18" s="5"/>
      <c r="CNG18" s="5"/>
      <c r="CNH18" s="5"/>
      <c r="CNI18" s="5"/>
      <c r="CNJ18" s="5"/>
      <c r="CNK18" s="5"/>
      <c r="CNL18" s="5"/>
      <c r="CNM18" s="5"/>
      <c r="CNN18" s="5"/>
      <c r="CNO18" s="5"/>
      <c r="CNP18" s="5"/>
      <c r="CNQ18" s="5"/>
      <c r="CNR18" s="5"/>
      <c r="CNS18" s="5"/>
      <c r="CNT18" s="5"/>
      <c r="CNU18" s="5"/>
      <c r="CNV18" s="5"/>
      <c r="CNW18" s="5"/>
      <c r="CNX18" s="5"/>
      <c r="CNY18" s="5"/>
      <c r="CNZ18" s="5"/>
      <c r="COA18" s="5"/>
      <c r="COB18" s="5"/>
      <c r="COC18" s="5"/>
      <c r="COD18" s="5"/>
      <c r="COE18" s="5"/>
      <c r="COF18" s="5"/>
      <c r="COG18" s="5"/>
      <c r="COH18" s="5"/>
      <c r="COI18" s="5"/>
      <c r="COJ18" s="5"/>
      <c r="COK18" s="5"/>
      <c r="COL18" s="5"/>
      <c r="COM18" s="5"/>
      <c r="CON18" s="5"/>
      <c r="COO18" s="5"/>
      <c r="COP18" s="5"/>
      <c r="COQ18" s="5"/>
      <c r="COR18" s="5"/>
      <c r="COS18" s="5"/>
      <c r="COT18" s="5"/>
      <c r="COU18" s="5"/>
      <c r="COV18" s="5"/>
      <c r="COW18" s="5"/>
      <c r="COX18" s="5"/>
      <c r="COY18" s="5"/>
      <c r="COZ18" s="5"/>
      <c r="CPA18" s="5"/>
      <c r="CPB18" s="5"/>
      <c r="CPC18" s="5"/>
      <c r="CPD18" s="5"/>
      <c r="CPE18" s="5"/>
      <c r="CPF18" s="5"/>
      <c r="CPG18" s="5"/>
      <c r="CPH18" s="5"/>
      <c r="CPI18" s="5"/>
      <c r="CPJ18" s="5"/>
      <c r="CPK18" s="5"/>
      <c r="CPL18" s="5"/>
      <c r="CPM18" s="5"/>
      <c r="CPN18" s="5"/>
      <c r="CPO18" s="5"/>
      <c r="CPP18" s="5"/>
      <c r="CPQ18" s="5"/>
      <c r="CPR18" s="5"/>
      <c r="CPS18" s="5"/>
      <c r="CPT18" s="5"/>
      <c r="CPU18" s="5"/>
      <c r="CPV18" s="5"/>
      <c r="CPW18" s="5"/>
      <c r="CPX18" s="5"/>
      <c r="CPY18" s="5"/>
      <c r="CPZ18" s="5"/>
      <c r="CQA18" s="5"/>
      <c r="CQB18" s="5"/>
      <c r="CQC18" s="5"/>
      <c r="CQD18" s="5"/>
      <c r="CQE18" s="5"/>
      <c r="CQF18" s="5"/>
      <c r="CQG18" s="5"/>
      <c r="CQH18" s="5"/>
      <c r="CQI18" s="5"/>
      <c r="CQJ18" s="5"/>
      <c r="CQK18" s="5"/>
      <c r="CQL18" s="5"/>
      <c r="CQM18" s="5"/>
      <c r="CQN18" s="5"/>
      <c r="CQO18" s="5"/>
      <c r="CQP18" s="5"/>
      <c r="CQQ18" s="5"/>
      <c r="CQR18" s="5"/>
      <c r="CQS18" s="5"/>
      <c r="CQT18" s="5"/>
      <c r="CQU18" s="5"/>
      <c r="CQV18" s="5"/>
      <c r="CQW18" s="5"/>
      <c r="CQX18" s="5"/>
      <c r="CQY18" s="5"/>
      <c r="CQZ18" s="5"/>
      <c r="CRA18" s="5"/>
      <c r="CRB18" s="5"/>
      <c r="CRC18" s="5"/>
      <c r="CRD18" s="5"/>
      <c r="CRE18" s="5"/>
      <c r="CRF18" s="5"/>
      <c r="CRG18" s="5"/>
      <c r="CRH18" s="5"/>
      <c r="CRI18" s="5"/>
      <c r="CRJ18" s="5"/>
      <c r="CRK18" s="5"/>
      <c r="CRL18" s="5"/>
      <c r="CRM18" s="5"/>
      <c r="CRN18" s="5"/>
      <c r="CRO18" s="5"/>
      <c r="CRP18" s="5"/>
      <c r="CRQ18" s="5"/>
      <c r="CRR18" s="5"/>
      <c r="CRS18" s="5"/>
      <c r="CRT18" s="5"/>
      <c r="CRU18" s="5"/>
      <c r="CRV18" s="5"/>
      <c r="CRW18" s="5"/>
      <c r="CRX18" s="5"/>
      <c r="CRY18" s="5"/>
      <c r="CRZ18" s="5"/>
      <c r="CSA18" s="5"/>
      <c r="CSB18" s="5"/>
      <c r="CSC18" s="5"/>
      <c r="CSD18" s="5"/>
      <c r="CSE18" s="5"/>
      <c r="CSF18" s="5"/>
      <c r="CSG18" s="5"/>
      <c r="CSH18" s="5"/>
      <c r="CSI18" s="5"/>
      <c r="CSJ18" s="5"/>
      <c r="CSK18" s="5"/>
      <c r="CSL18" s="5"/>
      <c r="CSM18" s="5"/>
      <c r="CSN18" s="5"/>
      <c r="CSO18" s="5"/>
      <c r="CSP18" s="5"/>
      <c r="CSQ18" s="5"/>
      <c r="CSR18" s="5"/>
      <c r="CSS18" s="5"/>
      <c r="CST18" s="5"/>
      <c r="CSU18" s="5"/>
      <c r="CSV18" s="5"/>
      <c r="CSW18" s="5"/>
      <c r="CSX18" s="5"/>
      <c r="CSY18" s="5"/>
      <c r="CSZ18" s="5"/>
      <c r="CTA18" s="5"/>
      <c r="CTB18" s="5"/>
      <c r="CTC18" s="5"/>
      <c r="CTD18" s="5"/>
      <c r="CTE18" s="5"/>
      <c r="CTF18" s="5"/>
      <c r="CTG18" s="5"/>
      <c r="CTH18" s="5"/>
      <c r="CTI18" s="5"/>
      <c r="CTJ18" s="5"/>
      <c r="CTK18" s="5"/>
      <c r="CTL18" s="5"/>
      <c r="CTM18" s="5"/>
      <c r="CTN18" s="5"/>
      <c r="CTO18" s="5"/>
      <c r="CTP18" s="5"/>
      <c r="CTQ18" s="5"/>
      <c r="CTR18" s="5"/>
      <c r="CTS18" s="5"/>
      <c r="CTT18" s="5"/>
      <c r="CTU18" s="5"/>
      <c r="CTV18" s="5"/>
      <c r="CTW18" s="5"/>
      <c r="CTX18" s="5"/>
      <c r="CTY18" s="5"/>
      <c r="CTZ18" s="5"/>
      <c r="CUA18" s="5"/>
      <c r="CUB18" s="5"/>
      <c r="CUC18" s="5"/>
      <c r="CUD18" s="5"/>
      <c r="CUE18" s="5"/>
      <c r="CUF18" s="5"/>
      <c r="CUG18" s="5"/>
      <c r="CUH18" s="5"/>
      <c r="CUI18" s="5"/>
      <c r="CUJ18" s="5"/>
      <c r="CUK18" s="5"/>
      <c r="CUL18" s="5"/>
      <c r="CUM18" s="5"/>
      <c r="CUN18" s="5"/>
      <c r="CUO18" s="5"/>
      <c r="CUP18" s="5"/>
      <c r="CUQ18" s="5"/>
      <c r="CUR18" s="5"/>
      <c r="CUS18" s="5"/>
      <c r="CUT18" s="5"/>
      <c r="CUU18" s="5"/>
      <c r="CUV18" s="5"/>
      <c r="CUW18" s="5"/>
      <c r="CUX18" s="5"/>
      <c r="CUY18" s="5"/>
      <c r="CUZ18" s="5"/>
      <c r="CVA18" s="5"/>
      <c r="CVB18" s="5"/>
      <c r="CVC18" s="5"/>
      <c r="CVD18" s="5"/>
      <c r="CVE18" s="5"/>
      <c r="CVF18" s="5"/>
      <c r="CVG18" s="5"/>
      <c r="CVH18" s="5"/>
      <c r="CVI18" s="5"/>
      <c r="CVJ18" s="5"/>
      <c r="CVK18" s="5"/>
      <c r="CVL18" s="5"/>
      <c r="CVM18" s="5"/>
      <c r="CVN18" s="5"/>
      <c r="CVO18" s="5"/>
      <c r="CVP18" s="5"/>
      <c r="CVQ18" s="5"/>
      <c r="CVR18" s="5"/>
      <c r="CVS18" s="5"/>
      <c r="CVT18" s="5"/>
      <c r="CVU18" s="5"/>
      <c r="CVV18" s="5"/>
      <c r="CVW18" s="5"/>
      <c r="CVX18" s="5"/>
      <c r="CVY18" s="5"/>
      <c r="CVZ18" s="5"/>
      <c r="CWA18" s="5"/>
      <c r="CWB18" s="5"/>
      <c r="CWC18" s="5"/>
      <c r="CWD18" s="5"/>
      <c r="CWE18" s="5"/>
      <c r="CWF18" s="5"/>
      <c r="CWG18" s="5"/>
      <c r="CWH18" s="5"/>
      <c r="CWI18" s="5"/>
      <c r="CWJ18" s="5"/>
      <c r="CWK18" s="5"/>
      <c r="CWL18" s="5"/>
      <c r="CWM18" s="5"/>
      <c r="CWN18" s="5"/>
      <c r="CWO18" s="5"/>
      <c r="CWP18" s="5"/>
      <c r="CWQ18" s="5"/>
      <c r="CWR18" s="5"/>
      <c r="CWS18" s="5"/>
      <c r="CWT18" s="5"/>
      <c r="CWU18" s="5"/>
      <c r="CWV18" s="5"/>
      <c r="CWW18" s="5"/>
      <c r="CWX18" s="5"/>
      <c r="CWY18" s="5"/>
      <c r="CWZ18" s="5"/>
      <c r="CXA18" s="5"/>
      <c r="CXB18" s="5"/>
      <c r="CXC18" s="5"/>
      <c r="CXD18" s="5"/>
      <c r="CXE18" s="5"/>
      <c r="CXF18" s="5"/>
      <c r="CXG18" s="5"/>
      <c r="CXH18" s="5"/>
      <c r="CXI18" s="5"/>
      <c r="CXJ18" s="5"/>
      <c r="CXK18" s="5"/>
      <c r="CXL18" s="5"/>
      <c r="CXM18" s="5"/>
      <c r="CXN18" s="5"/>
      <c r="CXO18" s="5"/>
      <c r="CXP18" s="5"/>
      <c r="CXQ18" s="5"/>
      <c r="CXR18" s="5"/>
      <c r="CXS18" s="5"/>
      <c r="CXT18" s="5"/>
      <c r="CXU18" s="5"/>
      <c r="CXV18" s="5"/>
      <c r="CXW18" s="5"/>
      <c r="CXX18" s="5"/>
      <c r="CXY18" s="5"/>
      <c r="CXZ18" s="5"/>
      <c r="CYA18" s="5"/>
      <c r="CYB18" s="5"/>
      <c r="CYC18" s="5"/>
      <c r="CYD18" s="5"/>
      <c r="CYE18" s="5"/>
      <c r="CYF18" s="5"/>
      <c r="CYG18" s="5"/>
      <c r="CYH18" s="5"/>
      <c r="CYI18" s="5"/>
      <c r="CYJ18" s="5"/>
      <c r="CYK18" s="5"/>
      <c r="CYL18" s="5"/>
      <c r="CYM18" s="5"/>
      <c r="CYN18" s="5"/>
      <c r="CYO18" s="5"/>
      <c r="CYP18" s="5"/>
      <c r="CYQ18" s="5"/>
      <c r="CYR18" s="5"/>
      <c r="CYS18" s="5"/>
      <c r="CYT18" s="5"/>
      <c r="CYU18" s="5"/>
      <c r="CYV18" s="5"/>
      <c r="CYW18" s="5"/>
      <c r="CYX18" s="5"/>
      <c r="CYY18" s="5"/>
      <c r="CYZ18" s="5"/>
      <c r="CZA18" s="5"/>
      <c r="CZB18" s="5"/>
      <c r="CZC18" s="5"/>
      <c r="CZD18" s="5"/>
      <c r="CZE18" s="5"/>
      <c r="CZF18" s="5"/>
      <c r="CZG18" s="5"/>
      <c r="CZH18" s="5"/>
      <c r="CZI18" s="5"/>
      <c r="CZJ18" s="5"/>
      <c r="CZK18" s="5"/>
      <c r="CZL18" s="5"/>
      <c r="CZM18" s="5"/>
      <c r="CZN18" s="5"/>
      <c r="CZO18" s="5"/>
      <c r="CZP18" s="5"/>
      <c r="CZQ18" s="5"/>
      <c r="CZR18" s="5"/>
      <c r="CZS18" s="5"/>
      <c r="CZT18" s="5"/>
      <c r="CZU18" s="5"/>
      <c r="CZV18" s="5"/>
      <c r="CZW18" s="5"/>
      <c r="CZX18" s="5"/>
      <c r="CZY18" s="5"/>
      <c r="CZZ18" s="5"/>
      <c r="DAA18" s="5"/>
      <c r="DAB18" s="5"/>
      <c r="DAC18" s="5"/>
      <c r="DAD18" s="5"/>
      <c r="DAE18" s="5"/>
      <c r="DAF18" s="5"/>
      <c r="DAG18" s="5"/>
      <c r="DAH18" s="5"/>
      <c r="DAI18" s="5"/>
      <c r="DAJ18" s="5"/>
      <c r="DAK18" s="5"/>
      <c r="DAL18" s="5"/>
      <c r="DAM18" s="5"/>
      <c r="DAN18" s="5"/>
      <c r="DAO18" s="5"/>
      <c r="DAP18" s="5"/>
      <c r="DAQ18" s="5"/>
      <c r="DAR18" s="5"/>
      <c r="DAS18" s="5"/>
      <c r="DAT18" s="5"/>
      <c r="DAU18" s="5"/>
      <c r="DAV18" s="5"/>
      <c r="DAW18" s="5"/>
      <c r="DAX18" s="5"/>
      <c r="DAY18" s="5"/>
      <c r="DAZ18" s="5"/>
      <c r="DBA18" s="5"/>
      <c r="DBB18" s="5"/>
      <c r="DBC18" s="5"/>
      <c r="DBD18" s="5"/>
      <c r="DBE18" s="5"/>
      <c r="DBF18" s="5"/>
      <c r="DBG18" s="5"/>
    </row>
    <row r="19" spans="1:2763" s="8" customFormat="1" ht="16.5" customHeight="1" x14ac:dyDescent="0.25">
      <c r="A19" s="14">
        <v>40</v>
      </c>
      <c r="B19" s="160">
        <v>23</v>
      </c>
      <c r="C19" s="159" t="s">
        <v>123</v>
      </c>
      <c r="D19" s="9"/>
      <c r="E19" s="9"/>
      <c r="F19" s="16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67"/>
      <c r="V19" s="9"/>
      <c r="W19" s="9"/>
      <c r="X19" s="9"/>
      <c r="Y19" s="9"/>
      <c r="Z19" s="9"/>
      <c r="AA19" s="9"/>
      <c r="AB19" s="11"/>
      <c r="AC19" s="11"/>
      <c r="AD19" s="11"/>
      <c r="AE19" s="163"/>
      <c r="AF19" s="162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  <c r="BVQ19" s="5"/>
      <c r="BVR19" s="5"/>
      <c r="BVS19" s="5"/>
      <c r="BVT19" s="5"/>
      <c r="BVU19" s="5"/>
      <c r="BVV19" s="5"/>
      <c r="BVW19" s="5"/>
      <c r="BVX19" s="5"/>
      <c r="BVY19" s="5"/>
      <c r="BVZ19" s="5"/>
      <c r="BWA19" s="5"/>
      <c r="BWB19" s="5"/>
      <c r="BWC19" s="5"/>
      <c r="BWD19" s="5"/>
      <c r="BWE19" s="5"/>
      <c r="BWF19" s="5"/>
      <c r="BWG19" s="5"/>
      <c r="BWH19" s="5"/>
      <c r="BWI19" s="5"/>
      <c r="BWJ19" s="5"/>
      <c r="BWK19" s="5"/>
      <c r="BWL19" s="5"/>
      <c r="BWM19" s="5"/>
      <c r="BWN19" s="5"/>
      <c r="BWO19" s="5"/>
      <c r="BWP19" s="5"/>
      <c r="BWQ19" s="5"/>
      <c r="BWR19" s="5"/>
      <c r="BWS19" s="5"/>
      <c r="BWT19" s="5"/>
      <c r="BWU19" s="5"/>
      <c r="BWV19" s="5"/>
      <c r="BWW19" s="5"/>
      <c r="BWX19" s="5"/>
      <c r="BWY19" s="5"/>
      <c r="BWZ19" s="5"/>
      <c r="BXA19" s="5"/>
      <c r="BXB19" s="5"/>
      <c r="BXC19" s="5"/>
      <c r="BXD19" s="5"/>
      <c r="BXE19" s="5"/>
      <c r="BXF19" s="5"/>
      <c r="BXG19" s="5"/>
      <c r="BXH19" s="5"/>
      <c r="BXI19" s="5"/>
      <c r="BXJ19" s="5"/>
      <c r="BXK19" s="5"/>
      <c r="BXL19" s="5"/>
      <c r="BXM19" s="5"/>
      <c r="BXN19" s="5"/>
      <c r="BXO19" s="5"/>
      <c r="BXP19" s="5"/>
      <c r="BXQ19" s="5"/>
      <c r="BXR19" s="5"/>
      <c r="BXS19" s="5"/>
      <c r="BXT19" s="5"/>
      <c r="BXU19" s="5"/>
      <c r="BXV19" s="5"/>
      <c r="BXW19" s="5"/>
      <c r="BXX19" s="5"/>
      <c r="BXY19" s="5"/>
      <c r="BXZ19" s="5"/>
      <c r="BYA19" s="5"/>
      <c r="BYB19" s="5"/>
      <c r="BYC19" s="5"/>
      <c r="BYD19" s="5"/>
      <c r="BYE19" s="5"/>
      <c r="BYF19" s="5"/>
      <c r="BYG19" s="5"/>
      <c r="BYH19" s="5"/>
      <c r="BYI19" s="5"/>
      <c r="BYJ19" s="5"/>
      <c r="BYK19" s="5"/>
      <c r="BYL19" s="5"/>
      <c r="BYM19" s="5"/>
      <c r="BYN19" s="5"/>
      <c r="BYO19" s="5"/>
      <c r="BYP19" s="5"/>
      <c r="BYQ19" s="5"/>
      <c r="BYR19" s="5"/>
      <c r="BYS19" s="5"/>
      <c r="BYT19" s="5"/>
      <c r="BYU19" s="5"/>
      <c r="BYV19" s="5"/>
      <c r="BYW19" s="5"/>
      <c r="BYX19" s="5"/>
      <c r="BYY19" s="5"/>
      <c r="BYZ19" s="5"/>
      <c r="BZA19" s="5"/>
      <c r="BZB19" s="5"/>
      <c r="BZC19" s="5"/>
      <c r="BZD19" s="5"/>
      <c r="BZE19" s="5"/>
      <c r="BZF19" s="5"/>
      <c r="BZG19" s="5"/>
      <c r="BZH19" s="5"/>
      <c r="BZI19" s="5"/>
      <c r="BZJ19" s="5"/>
      <c r="BZK19" s="5"/>
      <c r="BZL19" s="5"/>
      <c r="BZM19" s="5"/>
      <c r="BZN19" s="5"/>
      <c r="BZO19" s="5"/>
      <c r="BZP19" s="5"/>
      <c r="BZQ19" s="5"/>
      <c r="BZR19" s="5"/>
      <c r="BZS19" s="5"/>
      <c r="BZT19" s="5"/>
      <c r="BZU19" s="5"/>
      <c r="BZV19" s="5"/>
      <c r="BZW19" s="5"/>
      <c r="BZX19" s="5"/>
      <c r="BZY19" s="5"/>
      <c r="BZZ19" s="5"/>
      <c r="CAA19" s="5"/>
      <c r="CAB19" s="5"/>
      <c r="CAC19" s="5"/>
      <c r="CAD19" s="5"/>
      <c r="CAE19" s="5"/>
      <c r="CAF19" s="5"/>
      <c r="CAG19" s="5"/>
      <c r="CAH19" s="5"/>
      <c r="CAI19" s="5"/>
      <c r="CAJ19" s="5"/>
      <c r="CAK19" s="5"/>
      <c r="CAL19" s="5"/>
      <c r="CAM19" s="5"/>
      <c r="CAN19" s="5"/>
      <c r="CAO19" s="5"/>
      <c r="CAP19" s="5"/>
      <c r="CAQ19" s="5"/>
      <c r="CAR19" s="5"/>
      <c r="CAS19" s="5"/>
      <c r="CAT19" s="5"/>
      <c r="CAU19" s="5"/>
      <c r="CAV19" s="5"/>
      <c r="CAW19" s="5"/>
      <c r="CAX19" s="5"/>
      <c r="CAY19" s="5"/>
      <c r="CAZ19" s="5"/>
      <c r="CBA19" s="5"/>
      <c r="CBB19" s="5"/>
      <c r="CBC19" s="5"/>
      <c r="CBD19" s="5"/>
      <c r="CBE19" s="5"/>
      <c r="CBF19" s="5"/>
      <c r="CBG19" s="5"/>
      <c r="CBH19" s="5"/>
      <c r="CBI19" s="5"/>
      <c r="CBJ19" s="5"/>
      <c r="CBK19" s="5"/>
      <c r="CBL19" s="5"/>
      <c r="CBM19" s="5"/>
      <c r="CBN19" s="5"/>
      <c r="CBO19" s="5"/>
      <c r="CBP19" s="5"/>
      <c r="CBQ19" s="5"/>
      <c r="CBR19" s="5"/>
      <c r="CBS19" s="5"/>
      <c r="CBT19" s="5"/>
      <c r="CBU19" s="5"/>
      <c r="CBV19" s="5"/>
      <c r="CBW19" s="5"/>
      <c r="CBX19" s="5"/>
      <c r="CBY19" s="5"/>
      <c r="CBZ19" s="5"/>
      <c r="CCA19" s="5"/>
      <c r="CCB19" s="5"/>
      <c r="CCC19" s="5"/>
      <c r="CCD19" s="5"/>
      <c r="CCE19" s="5"/>
      <c r="CCF19" s="5"/>
      <c r="CCG19" s="5"/>
      <c r="CCH19" s="5"/>
      <c r="CCI19" s="5"/>
      <c r="CCJ19" s="5"/>
      <c r="CCK19" s="5"/>
      <c r="CCL19" s="5"/>
      <c r="CCM19" s="5"/>
      <c r="CCN19" s="5"/>
      <c r="CCO19" s="5"/>
      <c r="CCP19" s="5"/>
      <c r="CCQ19" s="5"/>
      <c r="CCR19" s="5"/>
      <c r="CCS19" s="5"/>
      <c r="CCT19" s="5"/>
      <c r="CCU19" s="5"/>
      <c r="CCV19" s="5"/>
      <c r="CCW19" s="5"/>
      <c r="CCX19" s="5"/>
      <c r="CCY19" s="5"/>
      <c r="CCZ19" s="5"/>
      <c r="CDA19" s="5"/>
      <c r="CDB19" s="5"/>
      <c r="CDC19" s="5"/>
      <c r="CDD19" s="5"/>
      <c r="CDE19" s="5"/>
      <c r="CDF19" s="5"/>
      <c r="CDG19" s="5"/>
      <c r="CDH19" s="5"/>
      <c r="CDI19" s="5"/>
      <c r="CDJ19" s="5"/>
      <c r="CDK19" s="5"/>
      <c r="CDL19" s="5"/>
      <c r="CDM19" s="5"/>
      <c r="CDN19" s="5"/>
      <c r="CDO19" s="5"/>
      <c r="CDP19" s="5"/>
      <c r="CDQ19" s="5"/>
      <c r="CDR19" s="5"/>
      <c r="CDS19" s="5"/>
      <c r="CDT19" s="5"/>
      <c r="CDU19" s="5"/>
      <c r="CDV19" s="5"/>
      <c r="CDW19" s="5"/>
      <c r="CDX19" s="5"/>
      <c r="CDY19" s="5"/>
      <c r="CDZ19" s="5"/>
      <c r="CEA19" s="5"/>
      <c r="CEB19" s="5"/>
      <c r="CEC19" s="5"/>
      <c r="CED19" s="5"/>
      <c r="CEE19" s="5"/>
      <c r="CEF19" s="5"/>
      <c r="CEG19" s="5"/>
      <c r="CEH19" s="5"/>
      <c r="CEI19" s="5"/>
      <c r="CEJ19" s="5"/>
      <c r="CEK19" s="5"/>
      <c r="CEL19" s="5"/>
      <c r="CEM19" s="5"/>
      <c r="CEN19" s="5"/>
      <c r="CEO19" s="5"/>
      <c r="CEP19" s="5"/>
      <c r="CEQ19" s="5"/>
      <c r="CER19" s="5"/>
      <c r="CES19" s="5"/>
      <c r="CET19" s="5"/>
      <c r="CEU19" s="5"/>
      <c r="CEV19" s="5"/>
      <c r="CEW19" s="5"/>
      <c r="CEX19" s="5"/>
      <c r="CEY19" s="5"/>
      <c r="CEZ19" s="5"/>
      <c r="CFA19" s="5"/>
      <c r="CFB19" s="5"/>
      <c r="CFC19" s="5"/>
      <c r="CFD19" s="5"/>
      <c r="CFE19" s="5"/>
      <c r="CFF19" s="5"/>
      <c r="CFG19" s="5"/>
      <c r="CFH19" s="5"/>
      <c r="CFI19" s="5"/>
      <c r="CFJ19" s="5"/>
      <c r="CFK19" s="5"/>
      <c r="CFL19" s="5"/>
      <c r="CFM19" s="5"/>
      <c r="CFN19" s="5"/>
      <c r="CFO19" s="5"/>
      <c r="CFP19" s="5"/>
      <c r="CFQ19" s="5"/>
      <c r="CFR19" s="5"/>
      <c r="CFS19" s="5"/>
      <c r="CFT19" s="5"/>
      <c r="CFU19" s="5"/>
      <c r="CFV19" s="5"/>
      <c r="CFW19" s="5"/>
      <c r="CFX19" s="5"/>
      <c r="CFY19" s="5"/>
      <c r="CFZ19" s="5"/>
      <c r="CGA19" s="5"/>
      <c r="CGB19" s="5"/>
      <c r="CGC19" s="5"/>
      <c r="CGD19" s="5"/>
      <c r="CGE19" s="5"/>
      <c r="CGF19" s="5"/>
      <c r="CGG19" s="5"/>
      <c r="CGH19" s="5"/>
      <c r="CGI19" s="5"/>
      <c r="CGJ19" s="5"/>
      <c r="CGK19" s="5"/>
      <c r="CGL19" s="5"/>
      <c r="CGM19" s="5"/>
      <c r="CGN19" s="5"/>
      <c r="CGO19" s="5"/>
      <c r="CGP19" s="5"/>
      <c r="CGQ19" s="5"/>
      <c r="CGR19" s="5"/>
      <c r="CGS19" s="5"/>
      <c r="CGT19" s="5"/>
      <c r="CGU19" s="5"/>
      <c r="CGV19" s="5"/>
      <c r="CGW19" s="5"/>
      <c r="CGX19" s="5"/>
      <c r="CGY19" s="5"/>
      <c r="CGZ19" s="5"/>
      <c r="CHA19" s="5"/>
      <c r="CHB19" s="5"/>
      <c r="CHC19" s="5"/>
      <c r="CHD19" s="5"/>
      <c r="CHE19" s="5"/>
      <c r="CHF19" s="5"/>
      <c r="CHG19" s="5"/>
      <c r="CHH19" s="5"/>
      <c r="CHI19" s="5"/>
      <c r="CHJ19" s="5"/>
      <c r="CHK19" s="5"/>
      <c r="CHL19" s="5"/>
      <c r="CHM19" s="5"/>
      <c r="CHN19" s="5"/>
      <c r="CHO19" s="5"/>
      <c r="CHP19" s="5"/>
      <c r="CHQ19" s="5"/>
      <c r="CHR19" s="5"/>
      <c r="CHS19" s="5"/>
      <c r="CHT19" s="5"/>
      <c r="CHU19" s="5"/>
      <c r="CHV19" s="5"/>
      <c r="CHW19" s="5"/>
      <c r="CHX19" s="5"/>
      <c r="CHY19" s="5"/>
      <c r="CHZ19" s="5"/>
      <c r="CIA19" s="5"/>
      <c r="CIB19" s="5"/>
      <c r="CIC19" s="5"/>
      <c r="CID19" s="5"/>
      <c r="CIE19" s="5"/>
      <c r="CIF19" s="5"/>
      <c r="CIG19" s="5"/>
      <c r="CIH19" s="5"/>
      <c r="CII19" s="5"/>
      <c r="CIJ19" s="5"/>
      <c r="CIK19" s="5"/>
      <c r="CIL19" s="5"/>
      <c r="CIM19" s="5"/>
      <c r="CIN19" s="5"/>
      <c r="CIO19" s="5"/>
      <c r="CIP19" s="5"/>
      <c r="CIQ19" s="5"/>
      <c r="CIR19" s="5"/>
      <c r="CIS19" s="5"/>
      <c r="CIT19" s="5"/>
      <c r="CIU19" s="5"/>
      <c r="CIV19" s="5"/>
      <c r="CIW19" s="5"/>
      <c r="CIX19" s="5"/>
      <c r="CIY19" s="5"/>
      <c r="CIZ19" s="5"/>
      <c r="CJA19" s="5"/>
      <c r="CJB19" s="5"/>
      <c r="CJC19" s="5"/>
      <c r="CJD19" s="5"/>
      <c r="CJE19" s="5"/>
      <c r="CJF19" s="5"/>
      <c r="CJG19" s="5"/>
      <c r="CJH19" s="5"/>
      <c r="CJI19" s="5"/>
      <c r="CJJ19" s="5"/>
      <c r="CJK19" s="5"/>
      <c r="CJL19" s="5"/>
      <c r="CJM19" s="5"/>
      <c r="CJN19" s="5"/>
      <c r="CJO19" s="5"/>
      <c r="CJP19" s="5"/>
      <c r="CJQ19" s="5"/>
      <c r="CJR19" s="5"/>
      <c r="CJS19" s="5"/>
      <c r="CJT19" s="5"/>
      <c r="CJU19" s="5"/>
      <c r="CJV19" s="5"/>
      <c r="CJW19" s="5"/>
      <c r="CJX19" s="5"/>
      <c r="CJY19" s="5"/>
      <c r="CJZ19" s="5"/>
      <c r="CKA19" s="5"/>
      <c r="CKB19" s="5"/>
      <c r="CKC19" s="5"/>
      <c r="CKD19" s="5"/>
      <c r="CKE19" s="5"/>
      <c r="CKF19" s="5"/>
      <c r="CKG19" s="5"/>
      <c r="CKH19" s="5"/>
      <c r="CKI19" s="5"/>
      <c r="CKJ19" s="5"/>
      <c r="CKK19" s="5"/>
      <c r="CKL19" s="5"/>
      <c r="CKM19" s="5"/>
      <c r="CKN19" s="5"/>
      <c r="CKO19" s="5"/>
      <c r="CKP19" s="5"/>
      <c r="CKQ19" s="5"/>
      <c r="CKR19" s="5"/>
      <c r="CKS19" s="5"/>
      <c r="CKT19" s="5"/>
      <c r="CKU19" s="5"/>
      <c r="CKV19" s="5"/>
      <c r="CKW19" s="5"/>
      <c r="CKX19" s="5"/>
      <c r="CKY19" s="5"/>
      <c r="CKZ19" s="5"/>
      <c r="CLA19" s="5"/>
      <c r="CLB19" s="5"/>
      <c r="CLC19" s="5"/>
      <c r="CLD19" s="5"/>
      <c r="CLE19" s="5"/>
      <c r="CLF19" s="5"/>
      <c r="CLG19" s="5"/>
      <c r="CLH19" s="5"/>
      <c r="CLI19" s="5"/>
      <c r="CLJ19" s="5"/>
      <c r="CLK19" s="5"/>
      <c r="CLL19" s="5"/>
      <c r="CLM19" s="5"/>
      <c r="CLN19" s="5"/>
      <c r="CLO19" s="5"/>
      <c r="CLP19" s="5"/>
      <c r="CLQ19" s="5"/>
      <c r="CLR19" s="5"/>
      <c r="CLS19" s="5"/>
      <c r="CLT19" s="5"/>
      <c r="CLU19" s="5"/>
      <c r="CLV19" s="5"/>
      <c r="CLW19" s="5"/>
      <c r="CLX19" s="5"/>
      <c r="CLY19" s="5"/>
      <c r="CLZ19" s="5"/>
      <c r="CMA19" s="5"/>
      <c r="CMB19" s="5"/>
      <c r="CMC19" s="5"/>
      <c r="CMD19" s="5"/>
      <c r="CME19" s="5"/>
      <c r="CMF19" s="5"/>
      <c r="CMG19" s="5"/>
      <c r="CMH19" s="5"/>
      <c r="CMI19" s="5"/>
      <c r="CMJ19" s="5"/>
      <c r="CMK19" s="5"/>
      <c r="CML19" s="5"/>
      <c r="CMM19" s="5"/>
      <c r="CMN19" s="5"/>
      <c r="CMO19" s="5"/>
      <c r="CMP19" s="5"/>
      <c r="CMQ19" s="5"/>
      <c r="CMR19" s="5"/>
      <c r="CMS19" s="5"/>
      <c r="CMT19" s="5"/>
      <c r="CMU19" s="5"/>
      <c r="CMV19" s="5"/>
      <c r="CMW19" s="5"/>
      <c r="CMX19" s="5"/>
      <c r="CMY19" s="5"/>
      <c r="CMZ19" s="5"/>
      <c r="CNA19" s="5"/>
      <c r="CNB19" s="5"/>
      <c r="CNC19" s="5"/>
      <c r="CND19" s="5"/>
      <c r="CNE19" s="5"/>
      <c r="CNF19" s="5"/>
      <c r="CNG19" s="5"/>
      <c r="CNH19" s="5"/>
      <c r="CNI19" s="5"/>
      <c r="CNJ19" s="5"/>
      <c r="CNK19" s="5"/>
      <c r="CNL19" s="5"/>
      <c r="CNM19" s="5"/>
      <c r="CNN19" s="5"/>
      <c r="CNO19" s="5"/>
      <c r="CNP19" s="5"/>
      <c r="CNQ19" s="5"/>
      <c r="CNR19" s="5"/>
      <c r="CNS19" s="5"/>
      <c r="CNT19" s="5"/>
      <c r="CNU19" s="5"/>
      <c r="CNV19" s="5"/>
      <c r="CNW19" s="5"/>
      <c r="CNX19" s="5"/>
      <c r="CNY19" s="5"/>
      <c r="CNZ19" s="5"/>
      <c r="COA19" s="5"/>
      <c r="COB19" s="5"/>
      <c r="COC19" s="5"/>
      <c r="COD19" s="5"/>
      <c r="COE19" s="5"/>
      <c r="COF19" s="5"/>
      <c r="COG19" s="5"/>
      <c r="COH19" s="5"/>
      <c r="COI19" s="5"/>
      <c r="COJ19" s="5"/>
      <c r="COK19" s="5"/>
      <c r="COL19" s="5"/>
      <c r="COM19" s="5"/>
      <c r="CON19" s="5"/>
      <c r="COO19" s="5"/>
      <c r="COP19" s="5"/>
      <c r="COQ19" s="5"/>
      <c r="COR19" s="5"/>
      <c r="COS19" s="5"/>
      <c r="COT19" s="5"/>
      <c r="COU19" s="5"/>
      <c r="COV19" s="5"/>
      <c r="COW19" s="5"/>
      <c r="COX19" s="5"/>
      <c r="COY19" s="5"/>
      <c r="COZ19" s="5"/>
      <c r="CPA19" s="5"/>
      <c r="CPB19" s="5"/>
      <c r="CPC19" s="5"/>
      <c r="CPD19" s="5"/>
      <c r="CPE19" s="5"/>
      <c r="CPF19" s="5"/>
      <c r="CPG19" s="5"/>
      <c r="CPH19" s="5"/>
      <c r="CPI19" s="5"/>
      <c r="CPJ19" s="5"/>
      <c r="CPK19" s="5"/>
      <c r="CPL19" s="5"/>
      <c r="CPM19" s="5"/>
      <c r="CPN19" s="5"/>
      <c r="CPO19" s="5"/>
      <c r="CPP19" s="5"/>
      <c r="CPQ19" s="5"/>
      <c r="CPR19" s="5"/>
      <c r="CPS19" s="5"/>
      <c r="CPT19" s="5"/>
      <c r="CPU19" s="5"/>
      <c r="CPV19" s="5"/>
      <c r="CPW19" s="5"/>
      <c r="CPX19" s="5"/>
      <c r="CPY19" s="5"/>
      <c r="CPZ19" s="5"/>
      <c r="CQA19" s="5"/>
      <c r="CQB19" s="5"/>
      <c r="CQC19" s="5"/>
      <c r="CQD19" s="5"/>
      <c r="CQE19" s="5"/>
      <c r="CQF19" s="5"/>
      <c r="CQG19" s="5"/>
      <c r="CQH19" s="5"/>
      <c r="CQI19" s="5"/>
      <c r="CQJ19" s="5"/>
      <c r="CQK19" s="5"/>
      <c r="CQL19" s="5"/>
      <c r="CQM19" s="5"/>
      <c r="CQN19" s="5"/>
      <c r="CQO19" s="5"/>
      <c r="CQP19" s="5"/>
      <c r="CQQ19" s="5"/>
      <c r="CQR19" s="5"/>
      <c r="CQS19" s="5"/>
      <c r="CQT19" s="5"/>
      <c r="CQU19" s="5"/>
      <c r="CQV19" s="5"/>
      <c r="CQW19" s="5"/>
      <c r="CQX19" s="5"/>
      <c r="CQY19" s="5"/>
      <c r="CQZ19" s="5"/>
      <c r="CRA19" s="5"/>
      <c r="CRB19" s="5"/>
      <c r="CRC19" s="5"/>
      <c r="CRD19" s="5"/>
      <c r="CRE19" s="5"/>
      <c r="CRF19" s="5"/>
      <c r="CRG19" s="5"/>
      <c r="CRH19" s="5"/>
      <c r="CRI19" s="5"/>
      <c r="CRJ19" s="5"/>
      <c r="CRK19" s="5"/>
      <c r="CRL19" s="5"/>
      <c r="CRM19" s="5"/>
      <c r="CRN19" s="5"/>
      <c r="CRO19" s="5"/>
      <c r="CRP19" s="5"/>
      <c r="CRQ19" s="5"/>
      <c r="CRR19" s="5"/>
      <c r="CRS19" s="5"/>
      <c r="CRT19" s="5"/>
      <c r="CRU19" s="5"/>
      <c r="CRV19" s="5"/>
      <c r="CRW19" s="5"/>
      <c r="CRX19" s="5"/>
      <c r="CRY19" s="5"/>
      <c r="CRZ19" s="5"/>
      <c r="CSA19" s="5"/>
      <c r="CSB19" s="5"/>
      <c r="CSC19" s="5"/>
      <c r="CSD19" s="5"/>
      <c r="CSE19" s="5"/>
      <c r="CSF19" s="5"/>
      <c r="CSG19" s="5"/>
      <c r="CSH19" s="5"/>
      <c r="CSI19" s="5"/>
      <c r="CSJ19" s="5"/>
      <c r="CSK19" s="5"/>
      <c r="CSL19" s="5"/>
      <c r="CSM19" s="5"/>
      <c r="CSN19" s="5"/>
      <c r="CSO19" s="5"/>
      <c r="CSP19" s="5"/>
      <c r="CSQ19" s="5"/>
      <c r="CSR19" s="5"/>
      <c r="CSS19" s="5"/>
      <c r="CST19" s="5"/>
      <c r="CSU19" s="5"/>
      <c r="CSV19" s="5"/>
      <c r="CSW19" s="5"/>
      <c r="CSX19" s="5"/>
      <c r="CSY19" s="5"/>
      <c r="CSZ19" s="5"/>
      <c r="CTA19" s="5"/>
      <c r="CTB19" s="5"/>
      <c r="CTC19" s="5"/>
      <c r="CTD19" s="5"/>
      <c r="CTE19" s="5"/>
      <c r="CTF19" s="5"/>
      <c r="CTG19" s="5"/>
      <c r="CTH19" s="5"/>
      <c r="CTI19" s="5"/>
      <c r="CTJ19" s="5"/>
      <c r="CTK19" s="5"/>
      <c r="CTL19" s="5"/>
      <c r="CTM19" s="5"/>
      <c r="CTN19" s="5"/>
      <c r="CTO19" s="5"/>
      <c r="CTP19" s="5"/>
      <c r="CTQ19" s="5"/>
      <c r="CTR19" s="5"/>
      <c r="CTS19" s="5"/>
      <c r="CTT19" s="5"/>
      <c r="CTU19" s="5"/>
      <c r="CTV19" s="5"/>
      <c r="CTW19" s="5"/>
      <c r="CTX19" s="5"/>
      <c r="CTY19" s="5"/>
      <c r="CTZ19" s="5"/>
      <c r="CUA19" s="5"/>
      <c r="CUB19" s="5"/>
      <c r="CUC19" s="5"/>
      <c r="CUD19" s="5"/>
      <c r="CUE19" s="5"/>
      <c r="CUF19" s="5"/>
      <c r="CUG19" s="5"/>
      <c r="CUH19" s="5"/>
      <c r="CUI19" s="5"/>
      <c r="CUJ19" s="5"/>
      <c r="CUK19" s="5"/>
      <c r="CUL19" s="5"/>
      <c r="CUM19" s="5"/>
      <c r="CUN19" s="5"/>
      <c r="CUO19" s="5"/>
      <c r="CUP19" s="5"/>
      <c r="CUQ19" s="5"/>
      <c r="CUR19" s="5"/>
      <c r="CUS19" s="5"/>
      <c r="CUT19" s="5"/>
      <c r="CUU19" s="5"/>
      <c r="CUV19" s="5"/>
      <c r="CUW19" s="5"/>
      <c r="CUX19" s="5"/>
      <c r="CUY19" s="5"/>
      <c r="CUZ19" s="5"/>
      <c r="CVA19" s="5"/>
      <c r="CVB19" s="5"/>
      <c r="CVC19" s="5"/>
      <c r="CVD19" s="5"/>
      <c r="CVE19" s="5"/>
      <c r="CVF19" s="5"/>
      <c r="CVG19" s="5"/>
      <c r="CVH19" s="5"/>
      <c r="CVI19" s="5"/>
      <c r="CVJ19" s="5"/>
      <c r="CVK19" s="5"/>
      <c r="CVL19" s="5"/>
      <c r="CVM19" s="5"/>
      <c r="CVN19" s="5"/>
      <c r="CVO19" s="5"/>
      <c r="CVP19" s="5"/>
      <c r="CVQ19" s="5"/>
      <c r="CVR19" s="5"/>
      <c r="CVS19" s="5"/>
      <c r="CVT19" s="5"/>
      <c r="CVU19" s="5"/>
      <c r="CVV19" s="5"/>
      <c r="CVW19" s="5"/>
      <c r="CVX19" s="5"/>
      <c r="CVY19" s="5"/>
      <c r="CVZ19" s="5"/>
      <c r="CWA19" s="5"/>
      <c r="CWB19" s="5"/>
      <c r="CWC19" s="5"/>
      <c r="CWD19" s="5"/>
      <c r="CWE19" s="5"/>
      <c r="CWF19" s="5"/>
      <c r="CWG19" s="5"/>
      <c r="CWH19" s="5"/>
      <c r="CWI19" s="5"/>
      <c r="CWJ19" s="5"/>
      <c r="CWK19" s="5"/>
      <c r="CWL19" s="5"/>
      <c r="CWM19" s="5"/>
      <c r="CWN19" s="5"/>
      <c r="CWO19" s="5"/>
      <c r="CWP19" s="5"/>
      <c r="CWQ19" s="5"/>
      <c r="CWR19" s="5"/>
      <c r="CWS19" s="5"/>
      <c r="CWT19" s="5"/>
      <c r="CWU19" s="5"/>
      <c r="CWV19" s="5"/>
      <c r="CWW19" s="5"/>
      <c r="CWX19" s="5"/>
      <c r="CWY19" s="5"/>
      <c r="CWZ19" s="5"/>
      <c r="CXA19" s="5"/>
      <c r="CXB19" s="5"/>
      <c r="CXC19" s="5"/>
      <c r="CXD19" s="5"/>
      <c r="CXE19" s="5"/>
      <c r="CXF19" s="5"/>
      <c r="CXG19" s="5"/>
      <c r="CXH19" s="5"/>
      <c r="CXI19" s="5"/>
      <c r="CXJ19" s="5"/>
      <c r="CXK19" s="5"/>
      <c r="CXL19" s="5"/>
      <c r="CXM19" s="5"/>
      <c r="CXN19" s="5"/>
      <c r="CXO19" s="5"/>
      <c r="CXP19" s="5"/>
      <c r="CXQ19" s="5"/>
      <c r="CXR19" s="5"/>
      <c r="CXS19" s="5"/>
      <c r="CXT19" s="5"/>
      <c r="CXU19" s="5"/>
      <c r="CXV19" s="5"/>
      <c r="CXW19" s="5"/>
      <c r="CXX19" s="5"/>
      <c r="CXY19" s="5"/>
      <c r="CXZ19" s="5"/>
      <c r="CYA19" s="5"/>
      <c r="CYB19" s="5"/>
      <c r="CYC19" s="5"/>
      <c r="CYD19" s="5"/>
      <c r="CYE19" s="5"/>
      <c r="CYF19" s="5"/>
      <c r="CYG19" s="5"/>
      <c r="CYH19" s="5"/>
      <c r="CYI19" s="5"/>
      <c r="CYJ19" s="5"/>
      <c r="CYK19" s="5"/>
      <c r="CYL19" s="5"/>
      <c r="CYM19" s="5"/>
      <c r="CYN19" s="5"/>
      <c r="CYO19" s="5"/>
      <c r="CYP19" s="5"/>
      <c r="CYQ19" s="5"/>
      <c r="CYR19" s="5"/>
      <c r="CYS19" s="5"/>
      <c r="CYT19" s="5"/>
      <c r="CYU19" s="5"/>
      <c r="CYV19" s="5"/>
      <c r="CYW19" s="5"/>
      <c r="CYX19" s="5"/>
      <c r="CYY19" s="5"/>
      <c r="CYZ19" s="5"/>
      <c r="CZA19" s="5"/>
      <c r="CZB19" s="5"/>
      <c r="CZC19" s="5"/>
      <c r="CZD19" s="5"/>
      <c r="CZE19" s="5"/>
      <c r="CZF19" s="5"/>
      <c r="CZG19" s="5"/>
      <c r="CZH19" s="5"/>
      <c r="CZI19" s="5"/>
      <c r="CZJ19" s="5"/>
      <c r="CZK19" s="5"/>
      <c r="CZL19" s="5"/>
      <c r="CZM19" s="5"/>
      <c r="CZN19" s="5"/>
      <c r="CZO19" s="5"/>
      <c r="CZP19" s="5"/>
      <c r="CZQ19" s="5"/>
      <c r="CZR19" s="5"/>
      <c r="CZS19" s="5"/>
      <c r="CZT19" s="5"/>
      <c r="CZU19" s="5"/>
      <c r="CZV19" s="5"/>
      <c r="CZW19" s="5"/>
      <c r="CZX19" s="5"/>
      <c r="CZY19" s="5"/>
      <c r="CZZ19" s="5"/>
      <c r="DAA19" s="5"/>
      <c r="DAB19" s="5"/>
      <c r="DAC19" s="5"/>
      <c r="DAD19" s="5"/>
      <c r="DAE19" s="5"/>
      <c r="DAF19" s="5"/>
      <c r="DAG19" s="5"/>
      <c r="DAH19" s="5"/>
      <c r="DAI19" s="5"/>
      <c r="DAJ19" s="5"/>
      <c r="DAK19" s="5"/>
      <c r="DAL19" s="5"/>
      <c r="DAM19" s="5"/>
      <c r="DAN19" s="5"/>
      <c r="DAO19" s="5"/>
      <c r="DAP19" s="5"/>
      <c r="DAQ19" s="5"/>
      <c r="DAR19" s="5"/>
      <c r="DAS19" s="5"/>
      <c r="DAT19" s="5"/>
      <c r="DAU19" s="5"/>
      <c r="DAV19" s="5"/>
      <c r="DAW19" s="5"/>
      <c r="DAX19" s="5"/>
      <c r="DAY19" s="5"/>
      <c r="DAZ19" s="5"/>
      <c r="DBA19" s="5"/>
      <c r="DBB19" s="5"/>
      <c r="DBC19" s="5"/>
      <c r="DBD19" s="5"/>
      <c r="DBE19" s="5"/>
      <c r="DBF19" s="5"/>
      <c r="DBG19" s="5"/>
    </row>
    <row r="20" spans="1:2763" ht="16.5" customHeight="1" x14ac:dyDescent="0.25">
      <c r="A20" s="14">
        <v>41</v>
      </c>
      <c r="B20" s="29">
        <v>2</v>
      </c>
      <c r="C20" s="152" t="s">
        <v>61</v>
      </c>
      <c r="D20" s="9"/>
      <c r="E20" s="9"/>
      <c r="F20" s="16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67"/>
      <c r="V20" s="9"/>
      <c r="W20" s="9"/>
      <c r="X20" s="9"/>
      <c r="Y20" s="9"/>
      <c r="Z20" s="9"/>
      <c r="AA20" s="9"/>
      <c r="AB20" s="11"/>
      <c r="AC20" s="11"/>
      <c r="AD20" s="11"/>
      <c r="AE20" s="163"/>
      <c r="AF20" s="162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  <c r="BVQ20" s="5"/>
      <c r="BVR20" s="5"/>
      <c r="BVS20" s="5"/>
      <c r="BVT20" s="5"/>
      <c r="BVU20" s="5"/>
      <c r="BVV20" s="5"/>
      <c r="BVW20" s="5"/>
      <c r="BVX20" s="5"/>
      <c r="BVY20" s="5"/>
      <c r="BVZ20" s="5"/>
      <c r="BWA20" s="5"/>
      <c r="BWB20" s="5"/>
      <c r="BWC20" s="5"/>
      <c r="BWD20" s="5"/>
      <c r="BWE20" s="5"/>
      <c r="BWF20" s="5"/>
      <c r="BWG20" s="5"/>
      <c r="BWH20" s="5"/>
      <c r="BWI20" s="5"/>
      <c r="BWJ20" s="5"/>
      <c r="BWK20" s="5"/>
      <c r="BWL20" s="5"/>
      <c r="BWM20" s="5"/>
      <c r="BWN20" s="5"/>
      <c r="BWO20" s="5"/>
      <c r="BWP20" s="5"/>
      <c r="BWQ20" s="5"/>
      <c r="BWR20" s="5"/>
      <c r="BWS20" s="5"/>
      <c r="BWT20" s="5"/>
      <c r="BWU20" s="5"/>
      <c r="BWV20" s="5"/>
      <c r="BWW20" s="5"/>
      <c r="BWX20" s="5"/>
      <c r="BWY20" s="5"/>
      <c r="BWZ20" s="5"/>
      <c r="BXA20" s="5"/>
      <c r="BXB20" s="5"/>
      <c r="BXC20" s="5"/>
      <c r="BXD20" s="5"/>
      <c r="BXE20" s="5"/>
      <c r="BXF20" s="5"/>
      <c r="BXG20" s="5"/>
      <c r="BXH20" s="5"/>
      <c r="BXI20" s="5"/>
      <c r="BXJ20" s="5"/>
      <c r="BXK20" s="5"/>
      <c r="BXL20" s="5"/>
      <c r="BXM20" s="5"/>
      <c r="BXN20" s="5"/>
      <c r="BXO20" s="5"/>
      <c r="BXP20" s="5"/>
      <c r="BXQ20" s="5"/>
      <c r="BXR20" s="5"/>
      <c r="BXS20" s="5"/>
      <c r="BXT20" s="5"/>
      <c r="BXU20" s="5"/>
      <c r="BXV20" s="5"/>
      <c r="BXW20" s="5"/>
      <c r="BXX20" s="5"/>
      <c r="BXY20" s="5"/>
      <c r="BXZ20" s="5"/>
      <c r="BYA20" s="5"/>
      <c r="BYB20" s="5"/>
      <c r="BYC20" s="5"/>
      <c r="BYD20" s="5"/>
      <c r="BYE20" s="5"/>
      <c r="BYF20" s="5"/>
      <c r="BYG20" s="5"/>
      <c r="BYH20" s="5"/>
      <c r="BYI20" s="5"/>
      <c r="BYJ20" s="5"/>
      <c r="BYK20" s="5"/>
      <c r="BYL20" s="5"/>
      <c r="BYM20" s="5"/>
      <c r="BYN20" s="5"/>
      <c r="BYO20" s="5"/>
      <c r="BYP20" s="5"/>
      <c r="BYQ20" s="5"/>
      <c r="BYR20" s="5"/>
      <c r="BYS20" s="5"/>
      <c r="BYT20" s="5"/>
      <c r="BYU20" s="5"/>
      <c r="BYV20" s="5"/>
      <c r="BYW20" s="5"/>
      <c r="BYX20" s="5"/>
      <c r="BYY20" s="5"/>
      <c r="BYZ20" s="5"/>
      <c r="BZA20" s="5"/>
      <c r="BZB20" s="5"/>
      <c r="BZC20" s="5"/>
      <c r="BZD20" s="5"/>
      <c r="BZE20" s="5"/>
      <c r="BZF20" s="5"/>
      <c r="BZG20" s="5"/>
      <c r="BZH20" s="5"/>
      <c r="BZI20" s="5"/>
      <c r="BZJ20" s="5"/>
      <c r="BZK20" s="5"/>
      <c r="BZL20" s="5"/>
      <c r="BZM20" s="5"/>
      <c r="BZN20" s="5"/>
      <c r="BZO20" s="5"/>
      <c r="BZP20" s="5"/>
      <c r="BZQ20" s="5"/>
      <c r="BZR20" s="5"/>
      <c r="BZS20" s="5"/>
      <c r="BZT20" s="5"/>
      <c r="BZU20" s="5"/>
      <c r="BZV20" s="5"/>
      <c r="BZW20" s="5"/>
      <c r="BZX20" s="5"/>
      <c r="BZY20" s="5"/>
      <c r="BZZ20" s="5"/>
      <c r="CAA20" s="5"/>
      <c r="CAB20" s="5"/>
      <c r="CAC20" s="5"/>
      <c r="CAD20" s="5"/>
      <c r="CAE20" s="5"/>
      <c r="CAF20" s="5"/>
      <c r="CAG20" s="5"/>
      <c r="CAH20" s="5"/>
      <c r="CAI20" s="5"/>
      <c r="CAJ20" s="5"/>
      <c r="CAK20" s="5"/>
      <c r="CAL20" s="5"/>
      <c r="CAM20" s="5"/>
      <c r="CAN20" s="5"/>
      <c r="CAO20" s="5"/>
      <c r="CAP20" s="5"/>
      <c r="CAQ20" s="5"/>
      <c r="CAR20" s="5"/>
      <c r="CAS20" s="5"/>
      <c r="CAT20" s="5"/>
      <c r="CAU20" s="5"/>
      <c r="CAV20" s="5"/>
      <c r="CAW20" s="5"/>
      <c r="CAX20" s="5"/>
      <c r="CAY20" s="5"/>
      <c r="CAZ20" s="5"/>
      <c r="CBA20" s="5"/>
      <c r="CBB20" s="5"/>
      <c r="CBC20" s="5"/>
      <c r="CBD20" s="5"/>
      <c r="CBE20" s="5"/>
      <c r="CBF20" s="5"/>
      <c r="CBG20" s="5"/>
      <c r="CBH20" s="5"/>
      <c r="CBI20" s="5"/>
      <c r="CBJ20" s="5"/>
      <c r="CBK20" s="5"/>
      <c r="CBL20" s="5"/>
      <c r="CBM20" s="5"/>
      <c r="CBN20" s="5"/>
      <c r="CBO20" s="5"/>
      <c r="CBP20" s="5"/>
      <c r="CBQ20" s="5"/>
      <c r="CBR20" s="5"/>
      <c r="CBS20" s="5"/>
      <c r="CBT20" s="5"/>
      <c r="CBU20" s="5"/>
      <c r="CBV20" s="5"/>
      <c r="CBW20" s="5"/>
      <c r="CBX20" s="5"/>
      <c r="CBY20" s="5"/>
      <c r="CBZ20" s="5"/>
      <c r="CCA20" s="5"/>
      <c r="CCB20" s="5"/>
      <c r="CCC20" s="5"/>
      <c r="CCD20" s="5"/>
      <c r="CCE20" s="5"/>
      <c r="CCF20" s="5"/>
      <c r="CCG20" s="5"/>
      <c r="CCH20" s="5"/>
      <c r="CCI20" s="5"/>
      <c r="CCJ20" s="5"/>
      <c r="CCK20" s="5"/>
      <c r="CCL20" s="5"/>
      <c r="CCM20" s="5"/>
      <c r="CCN20" s="5"/>
      <c r="CCO20" s="5"/>
      <c r="CCP20" s="5"/>
      <c r="CCQ20" s="5"/>
      <c r="CCR20" s="5"/>
      <c r="CCS20" s="5"/>
      <c r="CCT20" s="5"/>
      <c r="CCU20" s="5"/>
      <c r="CCV20" s="5"/>
      <c r="CCW20" s="5"/>
      <c r="CCX20" s="5"/>
      <c r="CCY20" s="5"/>
      <c r="CCZ20" s="5"/>
      <c r="CDA20" s="5"/>
      <c r="CDB20" s="5"/>
      <c r="CDC20" s="5"/>
      <c r="CDD20" s="5"/>
      <c r="CDE20" s="5"/>
      <c r="CDF20" s="5"/>
      <c r="CDG20" s="5"/>
      <c r="CDH20" s="5"/>
      <c r="CDI20" s="5"/>
      <c r="CDJ20" s="5"/>
      <c r="CDK20" s="5"/>
      <c r="CDL20" s="5"/>
      <c r="CDM20" s="5"/>
      <c r="CDN20" s="5"/>
      <c r="CDO20" s="5"/>
      <c r="CDP20" s="5"/>
      <c r="CDQ20" s="5"/>
      <c r="CDR20" s="5"/>
      <c r="CDS20" s="5"/>
      <c r="CDT20" s="5"/>
      <c r="CDU20" s="5"/>
      <c r="CDV20" s="5"/>
      <c r="CDW20" s="5"/>
      <c r="CDX20" s="5"/>
      <c r="CDY20" s="5"/>
      <c r="CDZ20" s="5"/>
      <c r="CEA20" s="5"/>
      <c r="CEB20" s="5"/>
      <c r="CEC20" s="5"/>
      <c r="CED20" s="5"/>
      <c r="CEE20" s="5"/>
      <c r="CEF20" s="5"/>
      <c r="CEG20" s="5"/>
      <c r="CEH20" s="5"/>
      <c r="CEI20" s="5"/>
      <c r="CEJ20" s="5"/>
      <c r="CEK20" s="5"/>
      <c r="CEL20" s="5"/>
      <c r="CEM20" s="5"/>
      <c r="CEN20" s="5"/>
      <c r="CEO20" s="5"/>
      <c r="CEP20" s="5"/>
      <c r="CEQ20" s="5"/>
      <c r="CER20" s="5"/>
      <c r="CES20" s="5"/>
      <c r="CET20" s="5"/>
      <c r="CEU20" s="5"/>
      <c r="CEV20" s="5"/>
      <c r="CEW20" s="5"/>
      <c r="CEX20" s="5"/>
      <c r="CEY20" s="5"/>
      <c r="CEZ20" s="5"/>
      <c r="CFA20" s="5"/>
      <c r="CFB20" s="5"/>
      <c r="CFC20" s="5"/>
      <c r="CFD20" s="5"/>
      <c r="CFE20" s="5"/>
      <c r="CFF20" s="5"/>
      <c r="CFG20" s="5"/>
      <c r="CFH20" s="5"/>
      <c r="CFI20" s="5"/>
      <c r="CFJ20" s="5"/>
      <c r="CFK20" s="5"/>
      <c r="CFL20" s="5"/>
      <c r="CFM20" s="5"/>
      <c r="CFN20" s="5"/>
      <c r="CFO20" s="5"/>
      <c r="CFP20" s="5"/>
      <c r="CFQ20" s="5"/>
      <c r="CFR20" s="5"/>
      <c r="CFS20" s="5"/>
      <c r="CFT20" s="5"/>
      <c r="CFU20" s="5"/>
      <c r="CFV20" s="5"/>
      <c r="CFW20" s="5"/>
      <c r="CFX20" s="5"/>
      <c r="CFY20" s="5"/>
      <c r="CFZ20" s="5"/>
      <c r="CGA20" s="5"/>
      <c r="CGB20" s="5"/>
      <c r="CGC20" s="5"/>
      <c r="CGD20" s="5"/>
      <c r="CGE20" s="5"/>
      <c r="CGF20" s="5"/>
      <c r="CGG20" s="5"/>
      <c r="CGH20" s="5"/>
      <c r="CGI20" s="5"/>
      <c r="CGJ20" s="5"/>
      <c r="CGK20" s="5"/>
      <c r="CGL20" s="5"/>
      <c r="CGM20" s="5"/>
      <c r="CGN20" s="5"/>
      <c r="CGO20" s="5"/>
      <c r="CGP20" s="5"/>
      <c r="CGQ20" s="5"/>
      <c r="CGR20" s="5"/>
      <c r="CGS20" s="5"/>
      <c r="CGT20" s="5"/>
      <c r="CGU20" s="5"/>
      <c r="CGV20" s="5"/>
      <c r="CGW20" s="5"/>
      <c r="CGX20" s="5"/>
      <c r="CGY20" s="5"/>
      <c r="CGZ20" s="5"/>
      <c r="CHA20" s="5"/>
      <c r="CHB20" s="5"/>
      <c r="CHC20" s="5"/>
      <c r="CHD20" s="5"/>
      <c r="CHE20" s="5"/>
      <c r="CHF20" s="5"/>
      <c r="CHG20" s="5"/>
      <c r="CHH20" s="5"/>
      <c r="CHI20" s="5"/>
      <c r="CHJ20" s="5"/>
      <c r="CHK20" s="5"/>
      <c r="CHL20" s="5"/>
      <c r="CHM20" s="5"/>
      <c r="CHN20" s="5"/>
      <c r="CHO20" s="5"/>
      <c r="CHP20" s="5"/>
      <c r="CHQ20" s="5"/>
      <c r="CHR20" s="5"/>
      <c r="CHS20" s="5"/>
      <c r="CHT20" s="5"/>
      <c r="CHU20" s="5"/>
      <c r="CHV20" s="5"/>
      <c r="CHW20" s="5"/>
      <c r="CHX20" s="5"/>
      <c r="CHY20" s="5"/>
      <c r="CHZ20" s="5"/>
      <c r="CIA20" s="5"/>
      <c r="CIB20" s="5"/>
      <c r="CIC20" s="5"/>
      <c r="CID20" s="5"/>
      <c r="CIE20" s="5"/>
      <c r="CIF20" s="5"/>
      <c r="CIG20" s="5"/>
      <c r="CIH20" s="5"/>
      <c r="CII20" s="5"/>
      <c r="CIJ20" s="5"/>
      <c r="CIK20" s="5"/>
      <c r="CIL20" s="5"/>
      <c r="CIM20" s="5"/>
      <c r="CIN20" s="5"/>
      <c r="CIO20" s="5"/>
      <c r="CIP20" s="5"/>
      <c r="CIQ20" s="5"/>
      <c r="CIR20" s="5"/>
      <c r="CIS20" s="5"/>
      <c r="CIT20" s="5"/>
      <c r="CIU20" s="5"/>
      <c r="CIV20" s="5"/>
      <c r="CIW20" s="5"/>
      <c r="CIX20" s="5"/>
      <c r="CIY20" s="5"/>
      <c r="CIZ20" s="5"/>
      <c r="CJA20" s="5"/>
      <c r="CJB20" s="5"/>
      <c r="CJC20" s="5"/>
      <c r="CJD20" s="5"/>
      <c r="CJE20" s="5"/>
      <c r="CJF20" s="5"/>
      <c r="CJG20" s="5"/>
      <c r="CJH20" s="5"/>
      <c r="CJI20" s="5"/>
      <c r="CJJ20" s="5"/>
      <c r="CJK20" s="5"/>
      <c r="CJL20" s="5"/>
      <c r="CJM20" s="5"/>
      <c r="CJN20" s="5"/>
      <c r="CJO20" s="5"/>
      <c r="CJP20" s="5"/>
      <c r="CJQ20" s="5"/>
      <c r="CJR20" s="5"/>
      <c r="CJS20" s="5"/>
      <c r="CJT20" s="5"/>
      <c r="CJU20" s="5"/>
      <c r="CJV20" s="5"/>
      <c r="CJW20" s="5"/>
      <c r="CJX20" s="5"/>
      <c r="CJY20" s="5"/>
      <c r="CJZ20" s="5"/>
      <c r="CKA20" s="5"/>
      <c r="CKB20" s="5"/>
      <c r="CKC20" s="5"/>
      <c r="CKD20" s="5"/>
      <c r="CKE20" s="5"/>
      <c r="CKF20" s="5"/>
      <c r="CKG20" s="5"/>
      <c r="CKH20" s="5"/>
      <c r="CKI20" s="5"/>
      <c r="CKJ20" s="5"/>
      <c r="CKK20" s="5"/>
      <c r="CKL20" s="5"/>
      <c r="CKM20" s="5"/>
      <c r="CKN20" s="5"/>
      <c r="CKO20" s="5"/>
      <c r="CKP20" s="5"/>
      <c r="CKQ20" s="5"/>
      <c r="CKR20" s="5"/>
      <c r="CKS20" s="5"/>
      <c r="CKT20" s="5"/>
      <c r="CKU20" s="5"/>
      <c r="CKV20" s="5"/>
      <c r="CKW20" s="5"/>
      <c r="CKX20" s="5"/>
      <c r="CKY20" s="5"/>
      <c r="CKZ20" s="5"/>
      <c r="CLA20" s="5"/>
      <c r="CLB20" s="5"/>
      <c r="CLC20" s="5"/>
      <c r="CLD20" s="5"/>
      <c r="CLE20" s="5"/>
      <c r="CLF20" s="5"/>
      <c r="CLG20" s="5"/>
      <c r="CLH20" s="5"/>
      <c r="CLI20" s="5"/>
      <c r="CLJ20" s="5"/>
      <c r="CLK20" s="5"/>
      <c r="CLL20" s="5"/>
      <c r="CLM20" s="5"/>
      <c r="CLN20" s="5"/>
      <c r="CLO20" s="5"/>
      <c r="CLP20" s="5"/>
      <c r="CLQ20" s="5"/>
      <c r="CLR20" s="5"/>
      <c r="CLS20" s="5"/>
      <c r="CLT20" s="5"/>
      <c r="CLU20" s="5"/>
      <c r="CLV20" s="5"/>
      <c r="CLW20" s="5"/>
      <c r="CLX20" s="5"/>
      <c r="CLY20" s="5"/>
      <c r="CLZ20" s="5"/>
      <c r="CMA20" s="5"/>
      <c r="CMB20" s="5"/>
      <c r="CMC20" s="5"/>
      <c r="CMD20" s="5"/>
      <c r="CME20" s="5"/>
      <c r="CMF20" s="5"/>
      <c r="CMG20" s="5"/>
      <c r="CMH20" s="5"/>
      <c r="CMI20" s="5"/>
      <c r="CMJ20" s="5"/>
      <c r="CMK20" s="5"/>
      <c r="CML20" s="5"/>
      <c r="CMM20" s="5"/>
      <c r="CMN20" s="5"/>
      <c r="CMO20" s="5"/>
      <c r="CMP20" s="5"/>
      <c r="CMQ20" s="5"/>
      <c r="CMR20" s="5"/>
      <c r="CMS20" s="5"/>
      <c r="CMT20" s="5"/>
      <c r="CMU20" s="5"/>
      <c r="CMV20" s="5"/>
      <c r="CMW20" s="5"/>
      <c r="CMX20" s="5"/>
      <c r="CMY20" s="5"/>
      <c r="CMZ20" s="5"/>
      <c r="CNA20" s="5"/>
      <c r="CNB20" s="5"/>
      <c r="CNC20" s="5"/>
      <c r="CND20" s="5"/>
      <c r="CNE20" s="5"/>
      <c r="CNF20" s="5"/>
      <c r="CNG20" s="5"/>
      <c r="CNH20" s="5"/>
      <c r="CNI20" s="5"/>
      <c r="CNJ20" s="5"/>
      <c r="CNK20" s="5"/>
      <c r="CNL20" s="5"/>
      <c r="CNM20" s="5"/>
      <c r="CNN20" s="5"/>
      <c r="CNO20" s="5"/>
      <c r="CNP20" s="5"/>
      <c r="CNQ20" s="5"/>
      <c r="CNR20" s="5"/>
      <c r="CNS20" s="5"/>
      <c r="CNT20" s="5"/>
      <c r="CNU20" s="5"/>
      <c r="CNV20" s="5"/>
      <c r="CNW20" s="5"/>
      <c r="CNX20" s="5"/>
      <c r="CNY20" s="5"/>
      <c r="CNZ20" s="5"/>
      <c r="COA20" s="5"/>
      <c r="COB20" s="5"/>
      <c r="COC20" s="5"/>
      <c r="COD20" s="5"/>
      <c r="COE20" s="5"/>
      <c r="COF20" s="5"/>
      <c r="COG20" s="5"/>
      <c r="COH20" s="5"/>
      <c r="COI20" s="5"/>
      <c r="COJ20" s="5"/>
      <c r="COK20" s="5"/>
      <c r="COL20" s="5"/>
      <c r="COM20" s="5"/>
      <c r="CON20" s="5"/>
      <c r="COO20" s="5"/>
      <c r="COP20" s="5"/>
      <c r="COQ20" s="5"/>
      <c r="COR20" s="5"/>
      <c r="COS20" s="5"/>
      <c r="COT20" s="5"/>
      <c r="COU20" s="5"/>
      <c r="COV20" s="5"/>
      <c r="COW20" s="5"/>
      <c r="COX20" s="5"/>
      <c r="COY20" s="5"/>
      <c r="COZ20" s="5"/>
      <c r="CPA20" s="5"/>
      <c r="CPB20" s="5"/>
      <c r="CPC20" s="5"/>
      <c r="CPD20" s="5"/>
      <c r="CPE20" s="5"/>
      <c r="CPF20" s="5"/>
      <c r="CPG20" s="5"/>
      <c r="CPH20" s="5"/>
      <c r="CPI20" s="5"/>
      <c r="CPJ20" s="5"/>
      <c r="CPK20" s="5"/>
      <c r="CPL20" s="5"/>
      <c r="CPM20" s="5"/>
      <c r="CPN20" s="5"/>
      <c r="CPO20" s="5"/>
      <c r="CPP20" s="5"/>
      <c r="CPQ20" s="5"/>
      <c r="CPR20" s="5"/>
      <c r="CPS20" s="5"/>
      <c r="CPT20" s="5"/>
      <c r="CPU20" s="5"/>
      <c r="CPV20" s="5"/>
      <c r="CPW20" s="5"/>
      <c r="CPX20" s="5"/>
      <c r="CPY20" s="5"/>
      <c r="CPZ20" s="5"/>
      <c r="CQA20" s="5"/>
      <c r="CQB20" s="5"/>
      <c r="CQC20" s="5"/>
      <c r="CQD20" s="5"/>
      <c r="CQE20" s="5"/>
      <c r="CQF20" s="5"/>
      <c r="CQG20" s="5"/>
      <c r="CQH20" s="5"/>
      <c r="CQI20" s="5"/>
      <c r="CQJ20" s="5"/>
      <c r="CQK20" s="5"/>
      <c r="CQL20" s="5"/>
      <c r="CQM20" s="5"/>
      <c r="CQN20" s="5"/>
      <c r="CQO20" s="5"/>
      <c r="CQP20" s="5"/>
      <c r="CQQ20" s="5"/>
      <c r="CQR20" s="5"/>
      <c r="CQS20" s="5"/>
      <c r="CQT20" s="5"/>
      <c r="CQU20" s="5"/>
      <c r="CQV20" s="5"/>
      <c r="CQW20" s="5"/>
      <c r="CQX20" s="5"/>
      <c r="CQY20" s="5"/>
      <c r="CQZ20" s="5"/>
      <c r="CRA20" s="5"/>
      <c r="CRB20" s="5"/>
      <c r="CRC20" s="5"/>
      <c r="CRD20" s="5"/>
      <c r="CRE20" s="5"/>
      <c r="CRF20" s="5"/>
      <c r="CRG20" s="5"/>
      <c r="CRH20" s="5"/>
      <c r="CRI20" s="5"/>
      <c r="CRJ20" s="5"/>
      <c r="CRK20" s="5"/>
      <c r="CRL20" s="5"/>
      <c r="CRM20" s="5"/>
      <c r="CRN20" s="5"/>
      <c r="CRO20" s="5"/>
      <c r="CRP20" s="5"/>
      <c r="CRQ20" s="5"/>
      <c r="CRR20" s="5"/>
      <c r="CRS20" s="5"/>
      <c r="CRT20" s="5"/>
      <c r="CRU20" s="5"/>
      <c r="CRV20" s="5"/>
      <c r="CRW20" s="5"/>
      <c r="CRX20" s="5"/>
      <c r="CRY20" s="5"/>
      <c r="CRZ20" s="5"/>
      <c r="CSA20" s="5"/>
      <c r="CSB20" s="5"/>
      <c r="CSC20" s="5"/>
      <c r="CSD20" s="5"/>
      <c r="CSE20" s="5"/>
      <c r="CSF20" s="5"/>
      <c r="CSG20" s="5"/>
      <c r="CSH20" s="5"/>
      <c r="CSI20" s="5"/>
      <c r="CSJ20" s="5"/>
      <c r="CSK20" s="5"/>
      <c r="CSL20" s="5"/>
      <c r="CSM20" s="5"/>
      <c r="CSN20" s="5"/>
      <c r="CSO20" s="5"/>
      <c r="CSP20" s="5"/>
      <c r="CSQ20" s="5"/>
      <c r="CSR20" s="5"/>
      <c r="CSS20" s="5"/>
      <c r="CST20" s="5"/>
      <c r="CSU20" s="5"/>
      <c r="CSV20" s="5"/>
      <c r="CSW20" s="5"/>
      <c r="CSX20" s="5"/>
      <c r="CSY20" s="5"/>
      <c r="CSZ20" s="5"/>
      <c r="CTA20" s="5"/>
      <c r="CTB20" s="5"/>
      <c r="CTC20" s="5"/>
      <c r="CTD20" s="5"/>
      <c r="CTE20" s="5"/>
      <c r="CTF20" s="5"/>
      <c r="CTG20" s="5"/>
      <c r="CTH20" s="5"/>
      <c r="CTI20" s="5"/>
      <c r="CTJ20" s="5"/>
      <c r="CTK20" s="5"/>
      <c r="CTL20" s="5"/>
      <c r="CTM20" s="5"/>
      <c r="CTN20" s="5"/>
      <c r="CTO20" s="5"/>
      <c r="CTP20" s="5"/>
      <c r="CTQ20" s="5"/>
      <c r="CTR20" s="5"/>
      <c r="CTS20" s="5"/>
      <c r="CTT20" s="5"/>
      <c r="CTU20" s="5"/>
      <c r="CTV20" s="5"/>
      <c r="CTW20" s="5"/>
      <c r="CTX20" s="5"/>
      <c r="CTY20" s="5"/>
      <c r="CTZ20" s="5"/>
      <c r="CUA20" s="5"/>
      <c r="CUB20" s="5"/>
      <c r="CUC20" s="5"/>
      <c r="CUD20" s="5"/>
      <c r="CUE20" s="5"/>
      <c r="CUF20" s="5"/>
      <c r="CUG20" s="5"/>
      <c r="CUH20" s="5"/>
      <c r="CUI20" s="5"/>
      <c r="CUJ20" s="5"/>
      <c r="CUK20" s="5"/>
      <c r="CUL20" s="5"/>
      <c r="CUM20" s="5"/>
      <c r="CUN20" s="5"/>
      <c r="CUO20" s="5"/>
      <c r="CUP20" s="5"/>
      <c r="CUQ20" s="5"/>
      <c r="CUR20" s="5"/>
      <c r="CUS20" s="5"/>
      <c r="CUT20" s="5"/>
      <c r="CUU20" s="5"/>
      <c r="CUV20" s="5"/>
      <c r="CUW20" s="5"/>
      <c r="CUX20" s="5"/>
      <c r="CUY20" s="5"/>
      <c r="CUZ20" s="5"/>
      <c r="CVA20" s="5"/>
      <c r="CVB20" s="5"/>
      <c r="CVC20" s="5"/>
      <c r="CVD20" s="5"/>
      <c r="CVE20" s="5"/>
      <c r="CVF20" s="5"/>
      <c r="CVG20" s="5"/>
      <c r="CVH20" s="5"/>
      <c r="CVI20" s="5"/>
      <c r="CVJ20" s="5"/>
      <c r="CVK20" s="5"/>
      <c r="CVL20" s="5"/>
      <c r="CVM20" s="5"/>
      <c r="CVN20" s="5"/>
      <c r="CVO20" s="5"/>
      <c r="CVP20" s="5"/>
      <c r="CVQ20" s="5"/>
      <c r="CVR20" s="5"/>
      <c r="CVS20" s="5"/>
      <c r="CVT20" s="5"/>
      <c r="CVU20" s="5"/>
      <c r="CVV20" s="5"/>
      <c r="CVW20" s="5"/>
      <c r="CVX20" s="5"/>
      <c r="CVY20" s="5"/>
      <c r="CVZ20" s="5"/>
      <c r="CWA20" s="5"/>
      <c r="CWB20" s="5"/>
      <c r="CWC20" s="5"/>
      <c r="CWD20" s="5"/>
      <c r="CWE20" s="5"/>
      <c r="CWF20" s="5"/>
      <c r="CWG20" s="5"/>
      <c r="CWH20" s="5"/>
      <c r="CWI20" s="5"/>
      <c r="CWJ20" s="5"/>
      <c r="CWK20" s="5"/>
      <c r="CWL20" s="5"/>
      <c r="CWM20" s="5"/>
      <c r="CWN20" s="5"/>
      <c r="CWO20" s="5"/>
      <c r="CWP20" s="5"/>
      <c r="CWQ20" s="5"/>
      <c r="CWR20" s="5"/>
      <c r="CWS20" s="5"/>
      <c r="CWT20" s="5"/>
      <c r="CWU20" s="5"/>
      <c r="CWV20" s="5"/>
      <c r="CWW20" s="5"/>
      <c r="CWX20" s="5"/>
      <c r="CWY20" s="5"/>
      <c r="CWZ20" s="5"/>
      <c r="CXA20" s="5"/>
      <c r="CXB20" s="5"/>
      <c r="CXC20" s="5"/>
      <c r="CXD20" s="5"/>
      <c r="CXE20" s="5"/>
      <c r="CXF20" s="5"/>
      <c r="CXG20" s="5"/>
      <c r="CXH20" s="5"/>
      <c r="CXI20" s="5"/>
      <c r="CXJ20" s="5"/>
      <c r="CXK20" s="5"/>
      <c r="CXL20" s="5"/>
      <c r="CXM20" s="5"/>
      <c r="CXN20" s="5"/>
      <c r="CXO20" s="5"/>
      <c r="CXP20" s="5"/>
      <c r="CXQ20" s="5"/>
      <c r="CXR20" s="5"/>
      <c r="CXS20" s="5"/>
      <c r="CXT20" s="5"/>
      <c r="CXU20" s="5"/>
      <c r="CXV20" s="5"/>
      <c r="CXW20" s="5"/>
      <c r="CXX20" s="5"/>
      <c r="CXY20" s="5"/>
      <c r="CXZ20" s="5"/>
      <c r="CYA20" s="5"/>
      <c r="CYB20" s="5"/>
      <c r="CYC20" s="5"/>
      <c r="CYD20" s="5"/>
      <c r="CYE20" s="5"/>
      <c r="CYF20" s="5"/>
      <c r="CYG20" s="5"/>
      <c r="CYH20" s="5"/>
      <c r="CYI20" s="5"/>
      <c r="CYJ20" s="5"/>
      <c r="CYK20" s="5"/>
      <c r="CYL20" s="5"/>
      <c r="CYM20" s="5"/>
      <c r="CYN20" s="5"/>
      <c r="CYO20" s="5"/>
      <c r="CYP20" s="5"/>
      <c r="CYQ20" s="5"/>
      <c r="CYR20" s="5"/>
      <c r="CYS20" s="5"/>
      <c r="CYT20" s="5"/>
      <c r="CYU20" s="5"/>
      <c r="CYV20" s="5"/>
      <c r="CYW20" s="5"/>
      <c r="CYX20" s="5"/>
      <c r="CYY20" s="5"/>
      <c r="CYZ20" s="5"/>
      <c r="CZA20" s="5"/>
      <c r="CZB20" s="5"/>
      <c r="CZC20" s="5"/>
      <c r="CZD20" s="5"/>
      <c r="CZE20" s="5"/>
      <c r="CZF20" s="5"/>
      <c r="CZG20" s="5"/>
      <c r="CZH20" s="5"/>
      <c r="CZI20" s="5"/>
      <c r="CZJ20" s="5"/>
      <c r="CZK20" s="5"/>
      <c r="CZL20" s="5"/>
      <c r="CZM20" s="5"/>
      <c r="CZN20" s="5"/>
      <c r="CZO20" s="5"/>
      <c r="CZP20" s="5"/>
      <c r="CZQ20" s="5"/>
      <c r="CZR20" s="5"/>
      <c r="CZS20" s="5"/>
      <c r="CZT20" s="5"/>
      <c r="CZU20" s="5"/>
      <c r="CZV20" s="5"/>
      <c r="CZW20" s="5"/>
      <c r="CZX20" s="5"/>
      <c r="CZY20" s="5"/>
      <c r="CZZ20" s="5"/>
      <c r="DAA20" s="5"/>
      <c r="DAB20" s="5"/>
      <c r="DAC20" s="5"/>
      <c r="DAD20" s="5"/>
      <c r="DAE20" s="5"/>
      <c r="DAF20" s="5"/>
      <c r="DAG20" s="5"/>
      <c r="DAH20" s="5"/>
      <c r="DAI20" s="5"/>
      <c r="DAJ20" s="5"/>
      <c r="DAK20" s="5"/>
      <c r="DAL20" s="5"/>
      <c r="DAM20" s="5"/>
      <c r="DAN20" s="5"/>
      <c r="DAO20" s="5"/>
      <c r="DAP20" s="5"/>
      <c r="DAQ20" s="5"/>
      <c r="DAR20" s="5"/>
      <c r="DAS20" s="5"/>
      <c r="DAT20" s="5"/>
      <c r="DAU20" s="5"/>
      <c r="DAV20" s="5"/>
      <c r="DAW20" s="5"/>
      <c r="DAX20" s="5"/>
      <c r="DAY20" s="5"/>
      <c r="DAZ20" s="5"/>
      <c r="DBA20" s="5"/>
      <c r="DBB20" s="5"/>
      <c r="DBC20" s="5"/>
      <c r="DBD20" s="5"/>
      <c r="DBE20" s="5"/>
      <c r="DBF20" s="5"/>
      <c r="DBG20" s="5"/>
    </row>
    <row r="21" spans="1:2763" ht="16.5" customHeight="1" x14ac:dyDescent="0.25">
      <c r="A21" s="14">
        <v>42</v>
      </c>
      <c r="B21" s="29">
        <v>1.2</v>
      </c>
      <c r="C21" s="152" t="s">
        <v>31</v>
      </c>
      <c r="D21" s="9"/>
      <c r="E21" s="9"/>
      <c r="F21" s="166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v>6</v>
      </c>
      <c r="R21" s="9"/>
      <c r="S21" s="9"/>
      <c r="T21" s="9"/>
      <c r="U21" s="167"/>
      <c r="V21" s="9"/>
      <c r="W21" s="9">
        <v>8</v>
      </c>
      <c r="X21" s="9">
        <v>8</v>
      </c>
      <c r="Y21" s="9"/>
      <c r="Z21" s="9"/>
      <c r="AA21" s="9"/>
      <c r="AB21" s="11"/>
      <c r="AC21" s="11"/>
      <c r="AD21" s="11"/>
      <c r="AE21" s="163"/>
      <c r="AF21" s="162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</row>
    <row r="22" spans="1:2763" ht="16.5" customHeight="1" x14ac:dyDescent="0.25">
      <c r="A22" s="14">
        <v>43</v>
      </c>
      <c r="B22" s="27">
        <v>2.2000000000000002</v>
      </c>
      <c r="C22" s="152" t="s">
        <v>23</v>
      </c>
      <c r="D22" s="9"/>
      <c r="E22" s="9"/>
      <c r="F22" s="166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>
        <v>50</v>
      </c>
      <c r="U22" s="167"/>
      <c r="V22" s="9"/>
      <c r="W22" s="9"/>
      <c r="X22" s="9"/>
      <c r="Y22" s="9"/>
      <c r="Z22" s="9"/>
      <c r="AA22" s="9"/>
      <c r="AB22" s="11"/>
      <c r="AC22" s="11"/>
      <c r="AD22" s="11"/>
      <c r="AE22" s="163"/>
      <c r="AF22" s="162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</row>
    <row r="23" spans="1:2763" ht="16.5" customHeight="1" x14ac:dyDescent="0.25">
      <c r="A23" s="14">
        <v>44</v>
      </c>
      <c r="B23" s="27">
        <v>330</v>
      </c>
      <c r="C23" s="152" t="s">
        <v>49</v>
      </c>
      <c r="D23" s="9"/>
      <c r="E23" s="9"/>
      <c r="F23" s="166"/>
      <c r="G23" s="9"/>
      <c r="H23" s="9"/>
      <c r="I23" s="9"/>
      <c r="J23" s="9"/>
      <c r="K23" s="9"/>
      <c r="L23" s="9"/>
      <c r="M23" s="9"/>
      <c r="N23" s="9"/>
      <c r="O23" s="9"/>
      <c r="P23" s="9"/>
      <c r="Q23" s="6"/>
      <c r="R23" s="9"/>
      <c r="S23" s="9"/>
      <c r="T23" s="9"/>
      <c r="U23" s="167"/>
      <c r="V23" s="9"/>
      <c r="W23" s="9"/>
      <c r="X23" s="9"/>
      <c r="Y23" s="9"/>
      <c r="Z23" s="9"/>
      <c r="AA23" s="9"/>
      <c r="AB23" s="11"/>
      <c r="AC23" s="11"/>
      <c r="AD23" s="11"/>
      <c r="AE23" s="163"/>
      <c r="AF23" s="162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</row>
    <row r="24" spans="1:2763" ht="16.5" customHeight="1" x14ac:dyDescent="0.25">
      <c r="A24" s="14">
        <v>45</v>
      </c>
      <c r="B24" s="29">
        <v>1.8</v>
      </c>
      <c r="C24" s="152" t="s">
        <v>27</v>
      </c>
      <c r="D24" s="9"/>
      <c r="E24" s="9"/>
      <c r="F24" s="166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67"/>
      <c r="V24" s="9"/>
      <c r="W24" s="9"/>
      <c r="X24" s="9"/>
      <c r="Y24" s="9"/>
      <c r="Z24" s="9"/>
      <c r="AA24" s="9"/>
      <c r="AB24" s="11"/>
      <c r="AC24" s="11"/>
      <c r="AD24" s="11"/>
      <c r="AE24" s="111"/>
      <c r="AF24" s="162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</row>
    <row r="25" spans="1:2763" ht="16.5" customHeight="1" x14ac:dyDescent="0.25">
      <c r="A25" s="14">
        <v>46</v>
      </c>
      <c r="B25" s="29">
        <v>1.8</v>
      </c>
      <c r="C25" s="152" t="s">
        <v>26</v>
      </c>
      <c r="D25" s="9"/>
      <c r="E25" s="9"/>
      <c r="F25" s="166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67"/>
      <c r="V25" s="9"/>
      <c r="W25" s="9"/>
      <c r="X25" s="9"/>
      <c r="Y25" s="9"/>
      <c r="Z25" s="9"/>
      <c r="AA25" s="9"/>
      <c r="AB25" s="11"/>
      <c r="AC25" s="11"/>
      <c r="AD25" s="11"/>
      <c r="AE25" s="163"/>
      <c r="AF25" s="162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</row>
    <row r="26" spans="1:2763" ht="16.5" customHeight="1" x14ac:dyDescent="0.25">
      <c r="A26" s="14">
        <v>47</v>
      </c>
      <c r="B26" s="26">
        <v>2.5</v>
      </c>
      <c r="C26" s="151" t="s">
        <v>39</v>
      </c>
      <c r="D26" s="9">
        <v>70</v>
      </c>
      <c r="E26" s="9"/>
      <c r="F26" s="166"/>
      <c r="G26" s="9"/>
      <c r="H26" s="9"/>
      <c r="I26" s="9"/>
      <c r="J26" s="9"/>
      <c r="K26" s="9"/>
      <c r="L26" s="9"/>
      <c r="M26" s="9"/>
      <c r="N26" s="9"/>
      <c r="O26" s="9"/>
      <c r="P26" s="9"/>
      <c r="Q26" s="6"/>
      <c r="R26" s="9"/>
      <c r="S26" s="9"/>
      <c r="T26" s="9"/>
      <c r="U26" s="167"/>
      <c r="V26" s="9"/>
      <c r="W26" s="9"/>
      <c r="X26" s="9"/>
      <c r="Y26" s="9"/>
      <c r="Z26" s="9"/>
      <c r="AA26" s="9"/>
      <c r="AB26" s="11"/>
      <c r="AC26" s="11"/>
      <c r="AD26" s="11"/>
      <c r="AE26" s="163"/>
      <c r="AF26" s="162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</row>
    <row r="27" spans="1:2763" s="13" customFormat="1" x14ac:dyDescent="0.25">
      <c r="A27" s="14">
        <v>48</v>
      </c>
      <c r="B27" s="27">
        <v>7</v>
      </c>
      <c r="C27" s="152" t="s">
        <v>50</v>
      </c>
      <c r="D27" s="9"/>
      <c r="E27" s="9"/>
      <c r="F27" s="166"/>
      <c r="G27" s="9"/>
      <c r="H27" s="9">
        <v>70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67"/>
      <c r="V27" s="9"/>
      <c r="W27" s="9"/>
      <c r="X27" s="9"/>
      <c r="Y27" s="9"/>
      <c r="Z27" s="9"/>
      <c r="AA27" s="9"/>
      <c r="AB27" s="18"/>
      <c r="AC27" s="12"/>
      <c r="AE27" s="163"/>
      <c r="AF27" s="162"/>
      <c r="AG27" s="11"/>
      <c r="AH27" s="18"/>
      <c r="AI27" s="12"/>
      <c r="AK27" s="19"/>
      <c r="AL27" s="17"/>
      <c r="AM27" s="11"/>
      <c r="AN27" s="18"/>
      <c r="AO27" s="12"/>
    </row>
    <row r="28" spans="1:2763" ht="16.5" customHeight="1" x14ac:dyDescent="0.25">
      <c r="A28" s="14">
        <v>49</v>
      </c>
      <c r="B28" s="27">
        <v>5</v>
      </c>
      <c r="C28" s="151" t="s">
        <v>51</v>
      </c>
      <c r="D28" s="9"/>
      <c r="E28" s="9"/>
      <c r="F28" s="166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67"/>
      <c r="V28" s="9"/>
      <c r="W28" s="9"/>
      <c r="X28" s="9"/>
      <c r="Y28" s="9"/>
      <c r="Z28" s="9"/>
      <c r="AA28" s="9"/>
      <c r="AB28" s="11"/>
      <c r="AC28" s="11"/>
      <c r="AD28" s="11"/>
      <c r="AE28" s="163"/>
      <c r="AF28" s="162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</row>
    <row r="29" spans="1:2763" ht="16.5" customHeight="1" x14ac:dyDescent="0.25">
      <c r="A29" s="14">
        <v>50</v>
      </c>
      <c r="B29" s="27">
        <v>3.2</v>
      </c>
      <c r="C29" s="151" t="s">
        <v>55</v>
      </c>
      <c r="D29" s="9"/>
      <c r="E29" s="9"/>
      <c r="F29" s="166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67"/>
      <c r="V29" s="9"/>
      <c r="W29" s="9"/>
      <c r="X29" s="9"/>
      <c r="Y29" s="9"/>
      <c r="Z29" s="9"/>
      <c r="AA29" s="9"/>
      <c r="AB29" s="11"/>
      <c r="AC29" s="11"/>
      <c r="AD29" s="11"/>
      <c r="AE29" s="163"/>
      <c r="AF29" s="162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</row>
    <row r="30" spans="1:2763" ht="16.5" customHeight="1" x14ac:dyDescent="0.25">
      <c r="A30" s="14">
        <v>51</v>
      </c>
      <c r="B30" s="27">
        <v>0.28999999999999998</v>
      </c>
      <c r="C30" s="152" t="s">
        <v>22</v>
      </c>
      <c r="D30" s="9"/>
      <c r="E30" s="9"/>
      <c r="F30" s="166"/>
      <c r="G30" s="9"/>
      <c r="H30" s="9"/>
      <c r="I30" s="9"/>
      <c r="J30" s="9"/>
      <c r="K30" s="9"/>
      <c r="L30" s="9"/>
      <c r="M30" s="9"/>
      <c r="N30" s="9"/>
      <c r="O30" s="9"/>
      <c r="P30" s="9"/>
      <c r="Q30" s="6"/>
      <c r="R30" s="9"/>
      <c r="S30" s="9"/>
      <c r="T30" s="9"/>
      <c r="U30" s="167">
        <v>14</v>
      </c>
      <c r="V30" s="9">
        <v>22</v>
      </c>
      <c r="W30" s="9">
        <v>12</v>
      </c>
      <c r="X30" s="9"/>
      <c r="Y30" s="9"/>
      <c r="Z30" s="9"/>
      <c r="AA30" s="9"/>
      <c r="AB30" s="11"/>
      <c r="AC30" s="11"/>
      <c r="AD30" s="11"/>
      <c r="AE30" s="163"/>
      <c r="AF30" s="16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</row>
    <row r="31" spans="1:2763" ht="16.5" customHeight="1" x14ac:dyDescent="0.25">
      <c r="A31" s="14">
        <v>52</v>
      </c>
      <c r="B31" s="27">
        <v>1.8</v>
      </c>
      <c r="C31" s="151" t="s">
        <v>41</v>
      </c>
      <c r="D31" s="9"/>
      <c r="E31" s="9"/>
      <c r="F31" s="166"/>
      <c r="G31" s="9"/>
      <c r="H31" s="9">
        <v>30</v>
      </c>
      <c r="I31" s="9"/>
      <c r="J31" s="9">
        <v>50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167"/>
      <c r="V31" s="9"/>
      <c r="W31" s="9"/>
      <c r="X31" s="9"/>
      <c r="Y31" s="9"/>
      <c r="Z31" s="9"/>
      <c r="AA31" s="9"/>
      <c r="AB31" s="11"/>
      <c r="AC31" s="11"/>
      <c r="AD31" s="11"/>
      <c r="AE31" s="163"/>
      <c r="AF31" s="162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</row>
    <row r="32" spans="1:2763" ht="16.5" customHeight="1" x14ac:dyDescent="0.25">
      <c r="A32" s="14">
        <v>53</v>
      </c>
      <c r="B32" s="160">
        <v>1.65</v>
      </c>
      <c r="C32" s="159" t="s">
        <v>90</v>
      </c>
      <c r="D32" s="9"/>
      <c r="E32" s="9"/>
      <c r="F32" s="166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67"/>
      <c r="V32" s="9"/>
      <c r="W32" s="9"/>
      <c r="X32" s="9"/>
      <c r="Y32" s="9"/>
      <c r="Z32" s="9"/>
      <c r="AA32" s="9"/>
      <c r="AB32" s="11"/>
      <c r="AC32" s="11"/>
      <c r="AD32" s="11"/>
      <c r="AE32" s="163"/>
      <c r="AF32" s="162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</row>
    <row r="33" spans="1:73" ht="16.5" customHeight="1" x14ac:dyDescent="0.25">
      <c r="A33" s="14">
        <v>54</v>
      </c>
      <c r="B33" s="29">
        <v>240</v>
      </c>
      <c r="C33" s="152" t="s">
        <v>65</v>
      </c>
      <c r="D33" s="9"/>
      <c r="E33" s="9"/>
      <c r="F33" s="166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67"/>
      <c r="V33" s="9"/>
      <c r="W33" s="9"/>
      <c r="X33" s="9"/>
      <c r="Y33" s="9"/>
      <c r="Z33" s="9"/>
      <c r="AA33" s="9"/>
      <c r="AB33" s="11"/>
      <c r="AC33" s="11"/>
      <c r="AD33" s="11"/>
      <c r="AE33" s="163"/>
      <c r="AF33" s="162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</row>
    <row r="34" spans="1:73" ht="16.5" customHeight="1" x14ac:dyDescent="0.25">
      <c r="A34" s="14">
        <v>55</v>
      </c>
      <c r="B34" s="29">
        <v>180</v>
      </c>
      <c r="C34" s="152" t="s">
        <v>66</v>
      </c>
      <c r="D34" s="9"/>
      <c r="E34" s="9"/>
      <c r="F34" s="166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67"/>
      <c r="V34" s="9"/>
      <c r="W34" s="9"/>
      <c r="X34" s="9"/>
      <c r="Y34" s="9"/>
      <c r="Z34" s="9"/>
      <c r="AA34" s="9"/>
      <c r="AB34" s="11"/>
      <c r="AC34" s="11"/>
      <c r="AD34" s="11"/>
      <c r="AE34" s="163"/>
      <c r="AF34" s="162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</row>
    <row r="35" spans="1:73" ht="16.5" customHeight="1" x14ac:dyDescent="0.25">
      <c r="A35" s="14">
        <v>56</v>
      </c>
      <c r="B35" s="27">
        <v>8</v>
      </c>
      <c r="C35" s="151" t="s">
        <v>68</v>
      </c>
      <c r="D35" s="9"/>
      <c r="E35" s="9"/>
      <c r="F35" s="166"/>
      <c r="G35" s="9"/>
      <c r="H35" s="9"/>
      <c r="I35" s="9">
        <v>30</v>
      </c>
      <c r="J35" s="9">
        <v>50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167"/>
      <c r="V35" s="9"/>
      <c r="W35" s="9"/>
      <c r="X35" s="9"/>
      <c r="Y35" s="9"/>
      <c r="Z35" s="9"/>
      <c r="AA35" s="9"/>
      <c r="AB35" s="11"/>
      <c r="AC35" s="11"/>
      <c r="AD35" s="11"/>
      <c r="AE35" s="163"/>
      <c r="AF35" s="162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</row>
    <row r="36" spans="1:73" ht="16.5" customHeight="1" x14ac:dyDescent="0.25">
      <c r="A36" s="14">
        <v>57</v>
      </c>
      <c r="B36" s="27">
        <v>9</v>
      </c>
      <c r="C36" s="151" t="s">
        <v>43</v>
      </c>
      <c r="D36" s="9"/>
      <c r="E36" s="9"/>
      <c r="F36" s="166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67"/>
      <c r="V36" s="9"/>
      <c r="W36" s="9"/>
      <c r="X36" s="9"/>
      <c r="Y36" s="9"/>
      <c r="Z36" s="9"/>
      <c r="AA36" s="9"/>
      <c r="AB36" s="11"/>
      <c r="AC36" s="11"/>
      <c r="AD36" s="11"/>
      <c r="AE36" s="163"/>
      <c r="AF36" s="162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</row>
    <row r="37" spans="1:73" ht="16.5" customHeight="1" x14ac:dyDescent="0.25">
      <c r="A37" s="14">
        <v>58</v>
      </c>
      <c r="B37" s="27">
        <v>1.9</v>
      </c>
      <c r="C37" s="152" t="s">
        <v>15</v>
      </c>
      <c r="D37" s="9"/>
      <c r="E37" s="9"/>
      <c r="F37" s="166"/>
      <c r="G37" s="9"/>
      <c r="H37" s="9"/>
      <c r="I37" s="9"/>
      <c r="J37" s="9"/>
      <c r="K37" s="9">
        <v>13</v>
      </c>
      <c r="L37" s="9">
        <v>25</v>
      </c>
      <c r="M37" s="9"/>
      <c r="N37" s="9"/>
      <c r="O37" s="9"/>
      <c r="P37" s="9"/>
      <c r="Q37" s="6">
        <v>8</v>
      </c>
      <c r="R37" s="9">
        <v>20</v>
      </c>
      <c r="S37" s="9">
        <v>30</v>
      </c>
      <c r="T37" s="9"/>
      <c r="U37" s="167">
        <v>26</v>
      </c>
      <c r="V37" s="9"/>
      <c r="W37" s="9">
        <v>9</v>
      </c>
      <c r="X37" s="9">
        <v>10</v>
      </c>
      <c r="Y37" s="9"/>
      <c r="Z37" s="9"/>
      <c r="AA37" s="9"/>
      <c r="AB37" s="11"/>
      <c r="AC37" s="11"/>
      <c r="AD37" s="11"/>
      <c r="AE37" s="163"/>
      <c r="AF37" s="162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</row>
    <row r="38" spans="1:73" ht="16.5" customHeight="1" x14ac:dyDescent="0.25">
      <c r="A38" s="14">
        <v>59</v>
      </c>
      <c r="B38" s="27">
        <v>3.12</v>
      </c>
      <c r="C38" s="152" t="s">
        <v>16</v>
      </c>
      <c r="D38" s="9"/>
      <c r="E38" s="9"/>
      <c r="F38" s="166"/>
      <c r="G38" s="9"/>
      <c r="H38" s="9"/>
      <c r="I38" s="9"/>
      <c r="J38" s="9"/>
      <c r="K38" s="9">
        <v>30</v>
      </c>
      <c r="L38" s="9">
        <v>15</v>
      </c>
      <c r="M38" s="9"/>
      <c r="N38" s="9"/>
      <c r="O38" s="9"/>
      <c r="P38" s="9"/>
      <c r="Q38" s="6">
        <v>8</v>
      </c>
      <c r="R38" s="9">
        <v>25</v>
      </c>
      <c r="S38" s="9"/>
      <c r="T38" s="9"/>
      <c r="U38" s="167"/>
      <c r="V38" s="9"/>
      <c r="W38" s="9">
        <v>10</v>
      </c>
      <c r="X38" s="9">
        <v>9</v>
      </c>
      <c r="Y38" s="9"/>
      <c r="Z38" s="9"/>
      <c r="AA38" s="9"/>
      <c r="AB38" s="11"/>
      <c r="AC38" s="11"/>
      <c r="AD38" s="11"/>
      <c r="AE38" s="111"/>
      <c r="AF38" s="162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</row>
    <row r="39" spans="1:73" ht="16.5" customHeight="1" x14ac:dyDescent="0.25">
      <c r="A39" s="14">
        <v>60</v>
      </c>
      <c r="B39" s="27">
        <v>2.15</v>
      </c>
      <c r="C39" s="152" t="s">
        <v>17</v>
      </c>
      <c r="D39" s="9"/>
      <c r="E39" s="9"/>
      <c r="F39" s="166"/>
      <c r="G39" s="9"/>
      <c r="H39" s="9"/>
      <c r="I39" s="9"/>
      <c r="J39" s="9"/>
      <c r="K39" s="9"/>
      <c r="L39" s="9"/>
      <c r="M39" s="9"/>
      <c r="N39" s="9"/>
      <c r="O39" s="9">
        <v>20</v>
      </c>
      <c r="P39" s="9"/>
      <c r="Q39" s="6"/>
      <c r="R39" s="9"/>
      <c r="S39" s="9"/>
      <c r="T39" s="9"/>
      <c r="U39" s="167"/>
      <c r="V39" s="9"/>
      <c r="W39" s="9"/>
      <c r="X39" s="9"/>
      <c r="Y39" s="9"/>
      <c r="Z39" s="9"/>
      <c r="AA39" s="9">
        <v>33</v>
      </c>
      <c r="AB39" s="11"/>
      <c r="AC39" s="11"/>
      <c r="AD39" s="11"/>
      <c r="AE39" s="111"/>
      <c r="AF39" s="162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</row>
    <row r="40" spans="1:73" ht="16.5" customHeight="1" x14ac:dyDescent="0.25">
      <c r="A40" s="14">
        <v>61</v>
      </c>
      <c r="B40" s="27">
        <v>3.8</v>
      </c>
      <c r="C40" s="152" t="s">
        <v>18</v>
      </c>
      <c r="D40" s="9"/>
      <c r="E40" s="9"/>
      <c r="F40" s="166"/>
      <c r="G40" s="9"/>
      <c r="H40" s="9"/>
      <c r="I40" s="9"/>
      <c r="J40" s="9"/>
      <c r="K40" s="9"/>
      <c r="L40" s="9"/>
      <c r="M40" s="9"/>
      <c r="N40" s="9"/>
      <c r="O40" s="9">
        <v>35</v>
      </c>
      <c r="P40" s="9"/>
      <c r="Q40" s="6"/>
      <c r="R40" s="9"/>
      <c r="S40" s="9"/>
      <c r="T40" s="9">
        <v>15</v>
      </c>
      <c r="U40" s="167"/>
      <c r="V40" s="9"/>
      <c r="W40" s="9"/>
      <c r="X40" s="9"/>
      <c r="Y40" s="9">
        <v>24</v>
      </c>
      <c r="Z40" s="9">
        <v>20</v>
      </c>
      <c r="AA40" s="9">
        <v>43</v>
      </c>
      <c r="AB40" s="11"/>
      <c r="AC40" s="11"/>
      <c r="AD40" s="11"/>
      <c r="AE40" s="111"/>
      <c r="AF40" s="162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</row>
    <row r="41" spans="1:73" ht="16.5" customHeight="1" x14ac:dyDescent="0.25">
      <c r="A41" s="14">
        <v>62</v>
      </c>
      <c r="B41" s="27">
        <v>2</v>
      </c>
      <c r="C41" s="152" t="s">
        <v>7</v>
      </c>
      <c r="D41" s="9"/>
      <c r="E41" s="9"/>
      <c r="F41" s="166"/>
      <c r="G41" s="9"/>
      <c r="H41" s="9"/>
      <c r="I41" s="9"/>
      <c r="J41" s="9"/>
      <c r="K41" s="9"/>
      <c r="L41" s="9"/>
      <c r="M41" s="9">
        <v>10</v>
      </c>
      <c r="N41" s="9">
        <v>40</v>
      </c>
      <c r="O41" s="9"/>
      <c r="P41" s="9"/>
      <c r="Q41" s="6"/>
      <c r="R41" s="9"/>
      <c r="S41" s="9"/>
      <c r="T41" s="9"/>
      <c r="U41" s="167"/>
      <c r="V41" s="9">
        <v>32</v>
      </c>
      <c r="W41" s="9"/>
      <c r="X41" s="9"/>
      <c r="Y41" s="9"/>
      <c r="Z41" s="9"/>
      <c r="AA41" s="9"/>
      <c r="AB41" s="11"/>
      <c r="AC41" s="11"/>
      <c r="AD41" s="11"/>
      <c r="AE41" s="163"/>
      <c r="AF41" s="162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</row>
    <row r="42" spans="1:73" ht="16.5" customHeight="1" x14ac:dyDescent="0.25">
      <c r="A42" s="14">
        <v>63</v>
      </c>
      <c r="B42" s="27">
        <v>2.7</v>
      </c>
      <c r="C42" s="152" t="s">
        <v>8</v>
      </c>
      <c r="D42" s="9"/>
      <c r="E42" s="9"/>
      <c r="F42" s="166"/>
      <c r="G42" s="9"/>
      <c r="H42" s="9"/>
      <c r="I42" s="9"/>
      <c r="J42" s="9"/>
      <c r="K42" s="9"/>
      <c r="L42" s="9"/>
      <c r="M42" s="9"/>
      <c r="N42" s="9">
        <v>10</v>
      </c>
      <c r="O42" s="9"/>
      <c r="P42" s="9"/>
      <c r="Q42" s="6"/>
      <c r="R42" s="9"/>
      <c r="S42" s="9"/>
      <c r="T42" s="9"/>
      <c r="U42" s="167"/>
      <c r="V42" s="9"/>
      <c r="W42" s="9"/>
      <c r="X42" s="9"/>
      <c r="Y42" s="9"/>
      <c r="Z42" s="9"/>
      <c r="AA42" s="9"/>
      <c r="AB42" s="11"/>
      <c r="AC42" s="11"/>
      <c r="AD42" s="11"/>
      <c r="AE42" s="111"/>
      <c r="AF42" s="162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</row>
    <row r="43" spans="1:73" ht="16.5" customHeight="1" x14ac:dyDescent="0.25">
      <c r="A43" s="14">
        <v>64</v>
      </c>
      <c r="B43" s="27">
        <v>2</v>
      </c>
      <c r="C43" s="153" t="s">
        <v>9</v>
      </c>
      <c r="D43" s="9"/>
      <c r="E43" s="9"/>
      <c r="F43" s="166"/>
      <c r="G43" s="9"/>
      <c r="H43" s="9"/>
      <c r="I43" s="9"/>
      <c r="J43" s="9"/>
      <c r="K43" s="9"/>
      <c r="L43" s="9"/>
      <c r="M43" s="9">
        <v>20</v>
      </c>
      <c r="N43" s="9"/>
      <c r="O43" s="9"/>
      <c r="P43" s="9"/>
      <c r="Q43" s="6"/>
      <c r="R43" s="9"/>
      <c r="S43" s="9"/>
      <c r="T43" s="9"/>
      <c r="U43" s="167"/>
      <c r="V43" s="9"/>
      <c r="W43" s="9"/>
      <c r="X43" s="9"/>
      <c r="Y43" s="9">
        <v>17</v>
      </c>
      <c r="Z43" s="9"/>
      <c r="AA43" s="9"/>
      <c r="AB43" s="11"/>
      <c r="AC43" s="11"/>
      <c r="AD43" s="11"/>
      <c r="AE43" s="111"/>
      <c r="AF43" s="162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</row>
    <row r="44" spans="1:73" ht="16.5" customHeight="1" x14ac:dyDescent="0.25">
      <c r="A44" s="14">
        <v>65</v>
      </c>
      <c r="B44" s="27">
        <v>2.7</v>
      </c>
      <c r="C44" s="153" t="s">
        <v>10</v>
      </c>
      <c r="D44" s="9"/>
      <c r="E44" s="9"/>
      <c r="F44" s="166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67"/>
      <c r="V44" s="9"/>
      <c r="W44" s="9"/>
      <c r="X44" s="9"/>
      <c r="Y44" s="9">
        <v>20</v>
      </c>
      <c r="Z44" s="9"/>
      <c r="AA44" s="9"/>
      <c r="AB44" s="11"/>
      <c r="AC44" s="11"/>
      <c r="AD44" s="11"/>
      <c r="AE44" s="111"/>
      <c r="AF44" s="162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</row>
    <row r="45" spans="1:73" ht="16.5" customHeight="1" x14ac:dyDescent="0.25">
      <c r="A45" s="14">
        <v>66</v>
      </c>
      <c r="B45" s="29">
        <v>21.9</v>
      </c>
      <c r="C45" s="152" t="s">
        <v>28</v>
      </c>
      <c r="D45" s="9"/>
      <c r="E45" s="9"/>
      <c r="F45" s="166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67"/>
      <c r="V45" s="9"/>
      <c r="W45" s="9"/>
      <c r="X45" s="9"/>
      <c r="Y45" s="9"/>
      <c r="Z45" s="9"/>
      <c r="AA45" s="9"/>
      <c r="AB45" s="11"/>
      <c r="AC45" s="11"/>
      <c r="AD45" s="11"/>
      <c r="AE45" s="111"/>
      <c r="AF45" s="162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</row>
    <row r="46" spans="1:73" ht="16.5" customHeight="1" x14ac:dyDescent="0.25">
      <c r="A46" s="14">
        <v>67</v>
      </c>
      <c r="B46" s="29">
        <v>21</v>
      </c>
      <c r="C46" s="153" t="s">
        <v>32</v>
      </c>
      <c r="D46" s="9"/>
      <c r="E46" s="9"/>
      <c r="F46" s="166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67"/>
      <c r="V46" s="9"/>
      <c r="W46" s="9"/>
      <c r="X46" s="9"/>
      <c r="Y46" s="9"/>
      <c r="Z46" s="9"/>
      <c r="AA46" s="9"/>
      <c r="AB46" s="11"/>
      <c r="AC46" s="11"/>
      <c r="AD46" s="11"/>
      <c r="AE46" s="111"/>
      <c r="AF46" s="162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</row>
    <row r="47" spans="1:73" ht="16.5" customHeight="1" x14ac:dyDescent="0.25">
      <c r="A47" s="14">
        <v>68</v>
      </c>
      <c r="B47" s="29">
        <v>29</v>
      </c>
      <c r="C47" s="151" t="s">
        <v>42</v>
      </c>
      <c r="D47" s="9"/>
      <c r="E47" s="9"/>
      <c r="F47" s="166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67"/>
      <c r="V47" s="9"/>
      <c r="W47" s="9"/>
      <c r="X47" s="9"/>
      <c r="Y47" s="9"/>
      <c r="Z47" s="9"/>
      <c r="AA47" s="9"/>
      <c r="AB47" s="11"/>
      <c r="AC47" s="11"/>
      <c r="AD47" s="11"/>
      <c r="AE47" s="111"/>
      <c r="AF47" s="162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</row>
    <row r="48" spans="1:73" ht="16.5" customHeight="1" x14ac:dyDescent="0.25">
      <c r="A48" s="14">
        <v>69</v>
      </c>
      <c r="B48" s="160">
        <v>17</v>
      </c>
      <c r="C48" s="159" t="s">
        <v>120</v>
      </c>
      <c r="D48" s="9"/>
      <c r="E48" s="9"/>
      <c r="F48" s="166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67"/>
      <c r="V48" s="9"/>
      <c r="W48" s="9"/>
      <c r="X48" s="9"/>
      <c r="Y48" s="9"/>
      <c r="Z48" s="9"/>
      <c r="AA48" s="9"/>
      <c r="AB48" s="11"/>
      <c r="AC48" s="11"/>
      <c r="AD48" s="11"/>
      <c r="AE48" s="111"/>
      <c r="AF48" s="162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</row>
    <row r="49" spans="1:73" ht="16.5" customHeight="1" x14ac:dyDescent="0.25">
      <c r="A49" s="14">
        <v>70</v>
      </c>
      <c r="B49" s="160">
        <v>30</v>
      </c>
      <c r="C49" s="159" t="s">
        <v>119</v>
      </c>
      <c r="D49" s="9"/>
      <c r="E49" s="9">
        <v>70</v>
      </c>
      <c r="F49" s="166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67"/>
      <c r="V49" s="9"/>
      <c r="W49" s="9"/>
      <c r="X49" s="9"/>
      <c r="Y49" s="9"/>
      <c r="Z49" s="9"/>
      <c r="AA49" s="9"/>
      <c r="AB49" s="11"/>
      <c r="AC49" s="11"/>
      <c r="AD49" s="11"/>
      <c r="AE49" s="111"/>
      <c r="AF49" s="162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</row>
    <row r="50" spans="1:73" ht="16.5" customHeight="1" x14ac:dyDescent="0.25">
      <c r="A50" s="14">
        <v>71</v>
      </c>
      <c r="B50" s="27">
        <v>30</v>
      </c>
      <c r="C50" s="153" t="s">
        <v>56</v>
      </c>
      <c r="D50" s="9"/>
      <c r="E50" s="9"/>
      <c r="F50" s="166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67"/>
      <c r="V50" s="9"/>
      <c r="W50" s="9"/>
      <c r="X50" s="9"/>
      <c r="Y50" s="9"/>
      <c r="Z50" s="9"/>
      <c r="AA50" s="9"/>
      <c r="AB50" s="11"/>
      <c r="AC50" s="11"/>
      <c r="AD50" s="11"/>
      <c r="AE50" s="111"/>
      <c r="AF50" s="162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</row>
    <row r="51" spans="1:73" ht="16.5" customHeight="1" x14ac:dyDescent="0.25">
      <c r="A51" s="14">
        <v>72</v>
      </c>
      <c r="B51" s="27">
        <v>47</v>
      </c>
      <c r="C51" s="151" t="s">
        <v>54</v>
      </c>
      <c r="D51" s="9"/>
      <c r="E51" s="9"/>
      <c r="F51" s="166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67"/>
      <c r="V51" s="9"/>
      <c r="W51" s="9"/>
      <c r="X51" s="9"/>
      <c r="Y51" s="9"/>
      <c r="Z51" s="9"/>
      <c r="AA51" s="9"/>
      <c r="AB51" s="11"/>
      <c r="AC51" s="11"/>
      <c r="AD51" s="11"/>
      <c r="AE51" s="111"/>
      <c r="AF51" s="162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</row>
    <row r="52" spans="1:73" ht="16.5" customHeight="1" x14ac:dyDescent="0.25">
      <c r="A52" s="14">
        <v>73</v>
      </c>
      <c r="B52" s="29">
        <v>0.9</v>
      </c>
      <c r="C52" s="152" t="s">
        <v>48</v>
      </c>
      <c r="D52" s="9"/>
      <c r="E52" s="9"/>
      <c r="F52" s="166"/>
      <c r="G52" s="9"/>
      <c r="H52" s="9"/>
      <c r="I52" s="9"/>
      <c r="J52" s="9"/>
      <c r="K52" s="9"/>
      <c r="L52" s="9">
        <v>5</v>
      </c>
      <c r="M52" s="9"/>
      <c r="N52" s="9"/>
      <c r="O52" s="9"/>
      <c r="P52" s="9"/>
      <c r="Q52" s="9"/>
      <c r="R52" s="9">
        <v>10</v>
      </c>
      <c r="S52" s="9">
        <v>5</v>
      </c>
      <c r="T52" s="9"/>
      <c r="U52" s="167">
        <v>11</v>
      </c>
      <c r="V52" s="9"/>
      <c r="W52" s="9">
        <v>11</v>
      </c>
      <c r="X52" s="9">
        <v>9</v>
      </c>
      <c r="Y52" s="9"/>
      <c r="Z52" s="9">
        <v>12</v>
      </c>
      <c r="AA52" s="9"/>
      <c r="AB52" s="11"/>
      <c r="AC52" s="11"/>
      <c r="AD52" s="11"/>
      <c r="AE52" s="111"/>
      <c r="AF52" s="162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</row>
    <row r="53" spans="1:73" ht="16.5" customHeight="1" x14ac:dyDescent="0.25">
      <c r="A53" s="14">
        <v>74</v>
      </c>
      <c r="B53" s="29">
        <v>0.8</v>
      </c>
      <c r="C53" s="152" t="s">
        <v>34</v>
      </c>
      <c r="D53" s="9"/>
      <c r="E53" s="9"/>
      <c r="F53" s="166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67"/>
      <c r="V53" s="9"/>
      <c r="W53" s="9"/>
      <c r="X53" s="9"/>
      <c r="Y53" s="9"/>
      <c r="Z53" s="9"/>
      <c r="AA53" s="9"/>
      <c r="AB53" s="11"/>
      <c r="AC53" s="11"/>
      <c r="AD53" s="11"/>
      <c r="AE53" s="111"/>
      <c r="AF53" s="162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</row>
    <row r="54" spans="1:73" ht="16.5" customHeight="1" x14ac:dyDescent="0.25">
      <c r="A54" s="14">
        <v>75</v>
      </c>
      <c r="B54" s="29">
        <v>0.6</v>
      </c>
      <c r="C54" s="152" t="s">
        <v>35</v>
      </c>
      <c r="D54" s="9"/>
      <c r="E54" s="9"/>
      <c r="F54" s="166"/>
      <c r="G54" s="9"/>
      <c r="H54" s="9"/>
      <c r="I54" s="9"/>
      <c r="J54" s="9"/>
      <c r="K54" s="9"/>
      <c r="L54" s="9">
        <v>5</v>
      </c>
      <c r="M54" s="9"/>
      <c r="N54" s="9"/>
      <c r="O54" s="9">
        <v>5</v>
      </c>
      <c r="P54" s="9"/>
      <c r="Q54" s="9">
        <v>10</v>
      </c>
      <c r="R54" s="9">
        <v>5</v>
      </c>
      <c r="S54" s="9">
        <v>5</v>
      </c>
      <c r="T54" s="9"/>
      <c r="U54" s="167"/>
      <c r="V54" s="9">
        <v>11</v>
      </c>
      <c r="W54" s="9"/>
      <c r="X54" s="9"/>
      <c r="Y54" s="9"/>
      <c r="Z54" s="9"/>
      <c r="AA54" s="9"/>
      <c r="AB54" s="11"/>
      <c r="AC54" s="11"/>
      <c r="AD54" s="11"/>
      <c r="AE54" s="111"/>
      <c r="AF54" s="162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</row>
    <row r="55" spans="1:73" ht="16.5" customHeight="1" x14ac:dyDescent="0.25">
      <c r="A55" s="14">
        <v>76</v>
      </c>
      <c r="B55" s="29">
        <v>2.9</v>
      </c>
      <c r="C55" s="152" t="s">
        <v>33</v>
      </c>
      <c r="D55" s="9">
        <v>30</v>
      </c>
      <c r="E55" s="9"/>
      <c r="F55" s="166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67"/>
      <c r="V55" s="9"/>
      <c r="W55" s="9"/>
      <c r="X55" s="9"/>
      <c r="Y55" s="9"/>
      <c r="Z55" s="9"/>
      <c r="AA55" s="9"/>
      <c r="AB55" s="11"/>
      <c r="AC55" s="11"/>
      <c r="AD55" s="11"/>
      <c r="AE55" s="111"/>
      <c r="AF55" s="162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</row>
    <row r="56" spans="1:73" ht="16.5" customHeight="1" x14ac:dyDescent="0.25">
      <c r="A56" s="14">
        <v>77</v>
      </c>
      <c r="B56" s="29">
        <v>0.82</v>
      </c>
      <c r="C56" s="152" t="s">
        <v>46</v>
      </c>
      <c r="D56" s="9"/>
      <c r="E56" s="9"/>
      <c r="F56" s="166"/>
      <c r="G56" s="9"/>
      <c r="H56" s="9"/>
      <c r="I56" s="9"/>
      <c r="J56" s="9"/>
      <c r="K56" s="9"/>
      <c r="L56" s="9"/>
      <c r="M56" s="9">
        <v>15</v>
      </c>
      <c r="N56" s="9"/>
      <c r="O56" s="9"/>
      <c r="P56" s="9">
        <v>15</v>
      </c>
      <c r="Q56" s="9"/>
      <c r="R56" s="9"/>
      <c r="S56" s="9"/>
      <c r="T56" s="9"/>
      <c r="U56" s="167"/>
      <c r="V56" s="9"/>
      <c r="W56" s="9"/>
      <c r="X56" s="9"/>
      <c r="Y56" s="9"/>
      <c r="Z56" s="9"/>
      <c r="AA56" s="9"/>
      <c r="AB56" s="11"/>
      <c r="AC56" s="11"/>
      <c r="AD56" s="11"/>
      <c r="AE56" s="111"/>
      <c r="AF56" s="162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</row>
    <row r="57" spans="1:73" ht="16.5" customHeight="1" x14ac:dyDescent="0.25">
      <c r="A57" s="14">
        <v>78</v>
      </c>
      <c r="B57" s="29">
        <v>1.4</v>
      </c>
      <c r="C57" s="152" t="s">
        <v>47</v>
      </c>
      <c r="D57" s="9"/>
      <c r="E57" s="9"/>
      <c r="F57" s="166"/>
      <c r="G57" s="9"/>
      <c r="H57" s="9"/>
      <c r="I57" s="9"/>
      <c r="J57" s="9"/>
      <c r="K57" s="9"/>
      <c r="L57" s="9"/>
      <c r="M57" s="9">
        <v>15</v>
      </c>
      <c r="N57" s="9">
        <v>10</v>
      </c>
      <c r="O57" s="9"/>
      <c r="P57" s="9">
        <v>15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>
        <v>7</v>
      </c>
      <c r="AB57" s="11"/>
      <c r="AC57" s="11"/>
      <c r="AD57" s="11"/>
      <c r="AE57" s="111"/>
      <c r="AF57" s="162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</row>
    <row r="58" spans="1:73" ht="16.5" customHeight="1" x14ac:dyDescent="0.25">
      <c r="A58" s="14">
        <v>79</v>
      </c>
      <c r="B58" s="154">
        <v>0.9</v>
      </c>
      <c r="C58" s="159" t="s">
        <v>121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1"/>
      <c r="AC58" s="11"/>
      <c r="AD58" s="11"/>
      <c r="AE58" s="111"/>
      <c r="AF58" s="162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</row>
    <row r="59" spans="1:73" x14ac:dyDescent="0.25">
      <c r="A59" s="14">
        <v>80</v>
      </c>
      <c r="B59" s="158">
        <v>0.7</v>
      </c>
      <c r="C59" s="152" t="s">
        <v>45</v>
      </c>
      <c r="D59" s="9"/>
      <c r="E59" s="9"/>
      <c r="F59" s="9"/>
      <c r="G59" s="9"/>
      <c r="H59" s="9"/>
      <c r="I59" s="9"/>
      <c r="J59" s="9"/>
      <c r="K59" s="9"/>
      <c r="L59" s="9">
        <v>5</v>
      </c>
      <c r="M59" s="9"/>
      <c r="N59" s="9"/>
      <c r="O59" s="9"/>
      <c r="P59" s="9"/>
      <c r="Q59" s="9"/>
      <c r="R59" s="9">
        <v>5</v>
      </c>
      <c r="S59" s="9"/>
      <c r="T59" s="9"/>
      <c r="U59" s="9"/>
      <c r="V59" s="9"/>
      <c r="W59" s="9"/>
      <c r="X59" s="9">
        <v>9</v>
      </c>
      <c r="Y59" s="9"/>
      <c r="Z59" s="9"/>
      <c r="AA59" s="9"/>
      <c r="AB59" s="11"/>
      <c r="AC59" s="11"/>
      <c r="AD59" s="11"/>
      <c r="AE59" s="56"/>
      <c r="AF59" s="162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</row>
    <row r="60" spans="1:73" x14ac:dyDescent="0.25">
      <c r="A60" s="14">
        <v>81</v>
      </c>
      <c r="B60" s="158">
        <v>3.5</v>
      </c>
      <c r="C60" s="152" t="s">
        <v>36</v>
      </c>
      <c r="D60" s="9"/>
      <c r="E60" s="9">
        <v>30</v>
      </c>
      <c r="F60" s="9"/>
      <c r="G60" s="9"/>
      <c r="H60" s="9"/>
      <c r="I60" s="9"/>
      <c r="J60" s="9"/>
      <c r="K60" s="9"/>
      <c r="L60" s="9"/>
      <c r="M60" s="9">
        <v>15</v>
      </c>
      <c r="N60" s="9">
        <v>40</v>
      </c>
      <c r="O60" s="9">
        <v>10</v>
      </c>
      <c r="P60" s="9">
        <v>25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11"/>
      <c r="AC60" s="11"/>
      <c r="AD60" s="11"/>
      <c r="AE60" s="56"/>
      <c r="AF60" s="162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</row>
    <row r="61" spans="1:73" x14ac:dyDescent="0.25">
      <c r="A61" s="14">
        <v>82</v>
      </c>
      <c r="B61" s="158">
        <v>3.8</v>
      </c>
      <c r="C61" s="152" t="s">
        <v>24</v>
      </c>
      <c r="D61" s="9"/>
      <c r="E61" s="9"/>
      <c r="F61" s="9"/>
      <c r="G61" s="9"/>
      <c r="H61" s="9"/>
      <c r="I61" s="9"/>
      <c r="J61" s="9"/>
      <c r="K61" s="9"/>
      <c r="L61" s="9"/>
      <c r="M61" s="9">
        <v>25</v>
      </c>
      <c r="N61" s="9"/>
      <c r="O61" s="9"/>
      <c r="P61" s="9">
        <v>35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1"/>
      <c r="AC61" s="11"/>
      <c r="AD61" s="11"/>
      <c r="AE61" s="111"/>
      <c r="AF61" s="162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</row>
    <row r="62" spans="1:73" x14ac:dyDescent="0.25">
      <c r="A62" s="14">
        <v>83</v>
      </c>
      <c r="B62" s="158">
        <v>1.4</v>
      </c>
      <c r="C62" s="152" t="s">
        <v>25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>
        <v>10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</row>
    <row r="63" spans="1:73" x14ac:dyDescent="0.25">
      <c r="A63" s="14">
        <v>84</v>
      </c>
      <c r="B63" s="161">
        <v>1.8</v>
      </c>
      <c r="C63" s="152" t="s">
        <v>37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>
        <v>30</v>
      </c>
      <c r="P63" s="9"/>
      <c r="Q63" s="9"/>
      <c r="R63" s="9"/>
      <c r="S63" s="9">
        <v>10</v>
      </c>
      <c r="T63" s="9"/>
      <c r="U63" s="9">
        <v>4</v>
      </c>
      <c r="V63" s="9">
        <v>4</v>
      </c>
      <c r="W63" s="9">
        <v>4</v>
      </c>
      <c r="X63" s="9">
        <v>9</v>
      </c>
      <c r="Y63" s="9">
        <v>24</v>
      </c>
      <c r="Z63" s="9">
        <v>6</v>
      </c>
      <c r="AA63" s="9">
        <v>17</v>
      </c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</row>
    <row r="64" spans="1:73" x14ac:dyDescent="0.25">
      <c r="A64" s="14">
        <v>85</v>
      </c>
      <c r="B64" s="161">
        <v>3</v>
      </c>
      <c r="C64" s="152" t="s">
        <v>38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>
        <v>15</v>
      </c>
      <c r="Z64" s="9"/>
      <c r="AA64" s="9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</row>
    <row r="65" spans="1:45" x14ac:dyDescent="0.25">
      <c r="A65" s="14">
        <v>86</v>
      </c>
      <c r="B65" s="158">
        <v>60</v>
      </c>
      <c r="C65" s="151" t="s">
        <v>44</v>
      </c>
      <c r="D65" s="9"/>
      <c r="E65" s="9"/>
      <c r="F65" s="9">
        <v>40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</row>
    <row r="66" spans="1:45" x14ac:dyDescent="0.25">
      <c r="A66" s="14">
        <v>87</v>
      </c>
      <c r="B66" s="154">
        <v>28</v>
      </c>
      <c r="C66" s="151" t="s">
        <v>118</v>
      </c>
      <c r="D66" s="9"/>
      <c r="E66" s="9"/>
      <c r="F66" s="9"/>
      <c r="G66" s="9">
        <v>40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</row>
    <row r="67" spans="1:45" x14ac:dyDescent="0.25">
      <c r="A67" s="13"/>
      <c r="B67" s="194"/>
      <c r="C67" s="195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</row>
    <row r="68" spans="1:45" x14ac:dyDescent="0.25">
      <c r="A68" s="13"/>
      <c r="B68" s="194"/>
      <c r="C68" s="195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</row>
    <row r="69" spans="1:45" x14ac:dyDescent="0.25">
      <c r="A69" s="13"/>
      <c r="B69" s="11"/>
      <c r="C69" s="19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</row>
    <row r="70" spans="1:45" x14ac:dyDescent="0.25"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</row>
    <row r="71" spans="1:45" x14ac:dyDescent="0.25"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</row>
    <row r="72" spans="1:45" x14ac:dyDescent="0.25"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</row>
    <row r="73" spans="1:45" x14ac:dyDescent="0.25"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</row>
    <row r="74" spans="1:45" x14ac:dyDescent="0.25"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</row>
    <row r="75" spans="1:45" x14ac:dyDescent="0.25"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</row>
    <row r="76" spans="1:45" x14ac:dyDescent="0.25"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</row>
    <row r="77" spans="1:45" x14ac:dyDescent="0.25"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</row>
  </sheetData>
  <sortState columnSort="1" caseSensitive="1" ref="D2:AB69">
    <sortCondition ref="D2:AB2"/>
  </sortState>
  <pageMargins left="0.7" right="0.7" top="0.75" bottom="0.75" header="0.3" footer="0.3"/>
  <pageSetup paperSize="9" orientation="portrait" verticalDpi="597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87"/>
  <sheetViews>
    <sheetView tabSelected="1" topLeftCell="D3" zoomScale="80" zoomScaleNormal="80" workbookViewId="0">
      <pane xSplit="10020" topLeftCell="L1" activePane="topRight"/>
      <selection activeCell="E3" sqref="E3:E4"/>
      <selection pane="topRight" activeCell="Q4" sqref="Q4"/>
    </sheetView>
  </sheetViews>
  <sheetFormatPr baseColWidth="10" defaultRowHeight="15" x14ac:dyDescent="0.25"/>
  <cols>
    <col min="1" max="1" width="5.7109375" style="34" bestFit="1" customWidth="1"/>
    <col min="2" max="2" width="3" style="34" bestFit="1" customWidth="1"/>
    <col min="3" max="3" width="8.140625" style="34" customWidth="1"/>
    <col min="4" max="4" width="27.85546875" style="34" bestFit="1" customWidth="1"/>
    <col min="5" max="5" width="12" style="34" customWidth="1"/>
    <col min="6" max="6" width="10.85546875" style="34" customWidth="1"/>
    <col min="7" max="7" width="14.7109375" style="34" customWidth="1"/>
    <col min="8" max="8" width="17.85546875" style="34" customWidth="1"/>
    <col min="9" max="10" width="10.42578125" style="34" customWidth="1"/>
    <col min="11" max="11" width="8.5703125" style="174" customWidth="1"/>
    <col min="12" max="12" width="8.5703125" style="34" customWidth="1"/>
    <col min="13" max="13" width="13.42578125" style="34" bestFit="1" customWidth="1"/>
    <col min="14" max="14" width="16.42578125" style="34" bestFit="1" customWidth="1"/>
    <col min="15" max="15" width="7.7109375" style="34" bestFit="1" customWidth="1"/>
    <col min="16" max="17" width="12.28515625" style="34" customWidth="1"/>
    <col min="18" max="18" width="5.28515625" style="34" customWidth="1"/>
    <col min="19" max="19" width="11" style="34" customWidth="1"/>
    <col min="20" max="22" width="12.28515625" style="34" hidden="1" customWidth="1"/>
    <col min="23" max="23" width="12.28515625" style="34" customWidth="1"/>
    <col min="24" max="24" width="10.28515625" style="34" customWidth="1"/>
    <col min="25" max="25" width="11" style="34" customWidth="1"/>
    <col min="26" max="26" width="10.85546875" style="34" customWidth="1"/>
    <col min="27" max="27" width="5.28515625" style="34" customWidth="1"/>
    <col min="28" max="29" width="10.140625" style="34" customWidth="1"/>
    <col min="30" max="30" width="9.28515625" style="34" customWidth="1"/>
    <col min="31" max="31" width="13.140625" style="34" customWidth="1"/>
    <col min="32" max="32" width="12.28515625" style="34" customWidth="1"/>
    <col min="33" max="33" width="6.42578125" style="34" customWidth="1"/>
    <col min="34" max="36" width="10.140625" style="34" customWidth="1"/>
    <col min="37" max="37" width="13.140625" style="34" customWidth="1"/>
    <col min="38" max="38" width="10.85546875" style="34" customWidth="1"/>
    <col min="39" max="39" width="12.28515625" style="34" customWidth="1"/>
    <col min="40" max="42" width="10.140625" style="34" customWidth="1"/>
    <col min="43" max="43" width="13.28515625" style="34" customWidth="1"/>
    <col min="44" max="44" width="10.140625" style="34" customWidth="1"/>
    <col min="45" max="45" width="6" style="34" customWidth="1"/>
    <col min="46" max="46" width="9" style="34" customWidth="1"/>
    <col min="47" max="48" width="10.28515625" style="34" customWidth="1"/>
    <col min="49" max="49" width="13.140625" style="34" customWidth="1"/>
    <col min="50" max="50" width="10.28515625" style="34" customWidth="1"/>
    <col min="51" max="51" width="6.42578125" style="34" customWidth="1"/>
    <col min="52" max="52" width="9" style="34" customWidth="1"/>
    <col min="53" max="57" width="12.28515625" style="34" customWidth="1"/>
    <col min="58" max="58" width="9.42578125" style="297" customWidth="1"/>
    <col min="59" max="60" width="10.7109375" style="34" customWidth="1"/>
    <col min="61" max="61" width="12.42578125" style="34" customWidth="1"/>
    <col min="62" max="63" width="10.7109375" style="34" customWidth="1"/>
    <col min="64" max="80" width="12.28515625" style="34" customWidth="1"/>
    <col min="81" max="16384" width="11.42578125" style="34"/>
  </cols>
  <sheetData>
    <row r="1" spans="2:82" ht="42.75" customHeight="1" thickBot="1" x14ac:dyDescent="0.3">
      <c r="B1" s="250" t="s">
        <v>103</v>
      </c>
      <c r="C1" s="251"/>
      <c r="D1" s="251"/>
      <c r="E1" s="251"/>
      <c r="F1" s="251"/>
      <c r="G1" s="251"/>
      <c r="H1" s="251"/>
      <c r="I1" s="251"/>
      <c r="J1" s="251"/>
      <c r="K1" s="252"/>
    </row>
    <row r="2" spans="2:82" ht="6.75" customHeight="1" x14ac:dyDescent="0.25"/>
    <row r="3" spans="2:82" ht="21" customHeight="1" x14ac:dyDescent="0.25">
      <c r="B3" s="30"/>
      <c r="C3" s="31"/>
      <c r="D3" s="32" t="s">
        <v>107</v>
      </c>
      <c r="E3" s="62">
        <f>IF('FEUILLE DE DONNEES'!D39="","",'FEUILLE DE DONNEES'!D39)</f>
        <v>9</v>
      </c>
      <c r="F3" s="260" t="str">
        <f>IF(E3="","",HLOOKUP(E3,COMPOSITTIONS!$D$1:$AA$2,2,0))</f>
        <v>MELANGE FOIN DAUPHINE SAVOY</v>
      </c>
      <c r="G3" s="261"/>
      <c r="H3" s="261"/>
      <c r="I3" s="262"/>
      <c r="J3" s="62">
        <f>IF('FEUILLE DE DONNEES'!H39="","",'FEUILLE DE DONNEES'!H39)</f>
        <v>5</v>
      </c>
      <c r="K3" s="142" t="s">
        <v>57</v>
      </c>
      <c r="L3" s="33"/>
      <c r="CD3" s="74"/>
    </row>
    <row r="4" spans="2:82" ht="21" customHeight="1" x14ac:dyDescent="0.25">
      <c r="B4" s="30"/>
      <c r="C4" s="31"/>
      <c r="D4" s="32" t="s">
        <v>108</v>
      </c>
      <c r="E4" s="62" t="str">
        <f>IF('FEUILLE DE DONNEES'!D40="","",'FEUILLE DE DONNEES'!D40)</f>
        <v/>
      </c>
      <c r="F4" s="260" t="str">
        <f>IF(E4="","",HLOOKUP(E4,COMPOSITTIONS!$D$1:$AA$2,2,0))</f>
        <v/>
      </c>
      <c r="G4" s="261"/>
      <c r="H4" s="261"/>
      <c r="I4" s="262"/>
      <c r="J4" s="62" t="str">
        <f>IF('FEUILLE DE DONNEES'!H40="","",'FEUILLE DE DONNEES'!H40)</f>
        <v/>
      </c>
      <c r="K4" s="142" t="s">
        <v>57</v>
      </c>
      <c r="L4" s="33"/>
      <c r="AF4" s="199"/>
      <c r="CD4" s="74"/>
    </row>
    <row r="5" spans="2:82" ht="14.25" customHeight="1" x14ac:dyDescent="0.25">
      <c r="B5" s="30"/>
      <c r="C5" s="31"/>
      <c r="D5" s="32" t="s">
        <v>70</v>
      </c>
      <c r="E5" s="172"/>
      <c r="F5" s="266"/>
      <c r="G5" s="266"/>
      <c r="H5" s="266"/>
      <c r="I5" s="266"/>
      <c r="J5" s="306" t="str">
        <f>IF('FEUILLE DE DONNEES'!H41="","",'FEUILLE DE DONNEES'!H41)</f>
        <v/>
      </c>
      <c r="K5" s="197"/>
      <c r="CD5" s="74"/>
    </row>
    <row r="6" spans="2:82" ht="21" customHeight="1" x14ac:dyDescent="0.25">
      <c r="B6" s="30"/>
      <c r="C6" s="31"/>
      <c r="D6" s="32" t="s">
        <v>77</v>
      </c>
      <c r="E6" s="62" t="str">
        <f>IF('FEUILLE DE DONNEES'!D42="","",'FEUILLE DE DONNEES'!D42)</f>
        <v/>
      </c>
      <c r="F6" s="263" t="str">
        <f>IF(E6="","",VLOOKUP(E6,$B$15:$D$79,3,0))</f>
        <v/>
      </c>
      <c r="G6" s="263"/>
      <c r="H6" s="263"/>
      <c r="I6" s="263"/>
      <c r="J6" s="62" t="str">
        <f>IF('FEUILLE DE DONNEES'!H42="","",'FEUILLE DE DONNEES'!H42)</f>
        <v/>
      </c>
      <c r="K6" s="143" t="s">
        <v>57</v>
      </c>
      <c r="L6" s="33"/>
      <c r="CD6" s="74"/>
    </row>
    <row r="7" spans="2:82" ht="21" customHeight="1" x14ac:dyDescent="0.25">
      <c r="B7" s="30"/>
      <c r="C7" s="31"/>
      <c r="D7" s="32" t="s">
        <v>78</v>
      </c>
      <c r="E7" s="62" t="str">
        <f>IF('FEUILLE DE DONNEES'!D43="","",'FEUILLE DE DONNEES'!D43)</f>
        <v/>
      </c>
      <c r="F7" s="263" t="str">
        <f t="shared" ref="F7:F11" si="0">IF(E7="","",VLOOKUP(E7,$B$15:$D$79,3,0))</f>
        <v/>
      </c>
      <c r="G7" s="263"/>
      <c r="H7" s="263"/>
      <c r="I7" s="263"/>
      <c r="J7" s="62" t="str">
        <f>IF('FEUILLE DE DONNEES'!H43="","",'FEUILLE DE DONNEES'!H43)</f>
        <v/>
      </c>
      <c r="K7" s="143" t="s">
        <v>57</v>
      </c>
      <c r="L7" s="33"/>
      <c r="CD7" s="74"/>
    </row>
    <row r="8" spans="2:82" ht="21" customHeight="1" x14ac:dyDescent="0.25">
      <c r="B8" s="30"/>
      <c r="C8" s="31"/>
      <c r="D8" s="32" t="s">
        <v>79</v>
      </c>
      <c r="E8" s="62" t="str">
        <f>IF('FEUILLE DE DONNEES'!D44="","",'FEUILLE DE DONNEES'!D44)</f>
        <v/>
      </c>
      <c r="F8" s="263" t="str">
        <f t="shared" si="0"/>
        <v/>
      </c>
      <c r="G8" s="263"/>
      <c r="H8" s="263"/>
      <c r="I8" s="263"/>
      <c r="J8" s="62" t="str">
        <f>IF('FEUILLE DE DONNEES'!H44="","",'FEUILLE DE DONNEES'!H44)</f>
        <v/>
      </c>
      <c r="K8" s="143" t="s">
        <v>57</v>
      </c>
      <c r="L8" s="33"/>
    </row>
    <row r="9" spans="2:82" ht="21" customHeight="1" x14ac:dyDescent="0.25">
      <c r="B9" s="30"/>
      <c r="C9" s="31"/>
      <c r="D9" s="32" t="s">
        <v>80</v>
      </c>
      <c r="E9" s="62" t="str">
        <f>IF('FEUILLE DE DONNEES'!D45="","",'FEUILLE DE DONNEES'!D45)</f>
        <v/>
      </c>
      <c r="F9" s="263" t="str">
        <f t="shared" si="0"/>
        <v/>
      </c>
      <c r="G9" s="263"/>
      <c r="H9" s="263"/>
      <c r="I9" s="263"/>
      <c r="J9" s="62" t="str">
        <f>IF('FEUILLE DE DONNEES'!H45="","",'FEUILLE DE DONNEES'!H45)</f>
        <v/>
      </c>
      <c r="K9" s="143" t="s">
        <v>57</v>
      </c>
      <c r="L9" s="33"/>
      <c r="M9" s="37"/>
      <c r="N9" s="307">
        <f>IF($F$3="","",IFERROR(HLOOKUP($F$3,COMPOSITTIONS!$D$2:$AA$66,3,FALSE),""))</f>
        <v>0</v>
      </c>
      <c r="O9" s="37"/>
      <c r="P9" s="37"/>
      <c r="Q9" s="38"/>
      <c r="AB9" s="39"/>
      <c r="AC9" s="39"/>
      <c r="AD9" s="39"/>
      <c r="AE9" s="39"/>
      <c r="AF9" s="30"/>
      <c r="AG9" s="30"/>
      <c r="AH9" s="39"/>
      <c r="AI9" s="39"/>
      <c r="AJ9" s="39"/>
      <c r="AK9" s="30"/>
      <c r="AL9" s="30"/>
      <c r="AN9" s="39"/>
      <c r="AO9" s="39"/>
      <c r="AP9" s="39"/>
      <c r="AQ9" s="30"/>
      <c r="AR9" s="30"/>
      <c r="AT9" s="39"/>
      <c r="AU9" s="39"/>
      <c r="AV9" s="39"/>
      <c r="AW9" s="30"/>
      <c r="AX9" s="30"/>
    </row>
    <row r="10" spans="2:82" ht="21" customHeight="1" x14ac:dyDescent="0.25">
      <c r="B10" s="30"/>
      <c r="C10" s="36"/>
      <c r="D10" s="32" t="s">
        <v>81</v>
      </c>
      <c r="E10" s="62" t="str">
        <f>IF('FEUILLE DE DONNEES'!D46="","",'FEUILLE DE DONNEES'!D46)</f>
        <v/>
      </c>
      <c r="F10" s="263" t="str">
        <f t="shared" si="0"/>
        <v/>
      </c>
      <c r="G10" s="263"/>
      <c r="H10" s="263"/>
      <c r="I10" s="263"/>
      <c r="J10" s="62" t="str">
        <f>IF('FEUILLE DE DONNEES'!H46="","",'FEUILLE DE DONNEES'!H46)</f>
        <v/>
      </c>
      <c r="K10" s="143" t="s">
        <v>57</v>
      </c>
      <c r="L10" s="33"/>
      <c r="M10" s="37"/>
      <c r="N10" s="37"/>
      <c r="O10" s="37"/>
      <c r="P10" s="37"/>
      <c r="Q10" s="38"/>
      <c r="AB10" s="39"/>
      <c r="AC10" s="39"/>
      <c r="AD10" s="39"/>
      <c r="AE10" s="39"/>
      <c r="AF10" s="30"/>
      <c r="AG10" s="30"/>
      <c r="AH10" s="39"/>
      <c r="AI10" s="39"/>
      <c r="AJ10" s="39"/>
      <c r="AK10" s="30"/>
      <c r="AL10" s="30"/>
      <c r="AN10" s="39"/>
      <c r="AO10" s="39"/>
      <c r="AP10" s="39"/>
      <c r="AQ10" s="30"/>
      <c r="AR10" s="30"/>
      <c r="AT10" s="39"/>
      <c r="AU10" s="39"/>
      <c r="AV10" s="39"/>
      <c r="AW10" s="30"/>
      <c r="AX10" s="30"/>
    </row>
    <row r="11" spans="2:82" ht="21" customHeight="1" x14ac:dyDescent="0.25">
      <c r="B11" s="30"/>
      <c r="C11" s="36"/>
      <c r="D11" s="32" t="s">
        <v>82</v>
      </c>
      <c r="E11" s="62" t="str">
        <f>IF('FEUILLE DE DONNEES'!D47="","",'FEUILLE DE DONNEES'!D47)</f>
        <v/>
      </c>
      <c r="F11" s="263" t="str">
        <f t="shared" si="0"/>
        <v/>
      </c>
      <c r="G11" s="263"/>
      <c r="H11" s="263"/>
      <c r="I11" s="263"/>
      <c r="J11" s="62" t="str">
        <f>IF('FEUILLE DE DONNEES'!H47="","",'FEUILLE DE DONNEES'!H47)</f>
        <v/>
      </c>
      <c r="K11" s="143" t="s">
        <v>57</v>
      </c>
      <c r="L11" s="33"/>
      <c r="M11" s="37"/>
      <c r="N11" s="37"/>
      <c r="O11" s="37"/>
      <c r="P11" s="37"/>
      <c r="Q11" s="38"/>
      <c r="AB11" s="39"/>
      <c r="AC11" s="39"/>
      <c r="AD11" s="39"/>
      <c r="AE11" s="39"/>
      <c r="AF11" s="30"/>
      <c r="AG11" s="30"/>
      <c r="AH11" s="39"/>
      <c r="AI11" s="39"/>
      <c r="AJ11" s="39"/>
      <c r="AK11" s="30"/>
      <c r="AL11" s="30"/>
      <c r="AN11" s="39"/>
      <c r="AO11" s="39"/>
      <c r="AP11" s="39"/>
      <c r="AQ11" s="30"/>
      <c r="AR11" s="30"/>
      <c r="AT11" s="39"/>
      <c r="AU11" s="39"/>
      <c r="AV11" s="39"/>
      <c r="AW11" s="30"/>
      <c r="AX11" s="30"/>
    </row>
    <row r="12" spans="2:82" s="60" customFormat="1" ht="21" customHeight="1" thickBot="1" x14ac:dyDescent="0.3">
      <c r="B12" s="30"/>
      <c r="C12" s="35"/>
      <c r="D12" s="67"/>
      <c r="E12" s="68"/>
      <c r="F12" s="59"/>
      <c r="G12" s="59"/>
      <c r="H12" s="59"/>
      <c r="I12" s="59"/>
      <c r="J12" s="71"/>
      <c r="K12" s="59"/>
      <c r="L12" s="59"/>
      <c r="M12" s="69"/>
      <c r="N12" s="69"/>
      <c r="O12" s="69"/>
      <c r="P12" s="69"/>
      <c r="Q12" s="70"/>
      <c r="AB12" s="39"/>
      <c r="AC12" s="39"/>
      <c r="AD12" s="39"/>
      <c r="AE12" s="39"/>
      <c r="AF12" s="30"/>
      <c r="AG12" s="30"/>
      <c r="AH12" s="39"/>
      <c r="AI12" s="39"/>
      <c r="AJ12" s="39"/>
      <c r="AK12" s="30"/>
      <c r="AL12" s="30"/>
      <c r="AN12" s="39"/>
      <c r="AO12" s="39"/>
      <c r="AP12" s="39"/>
      <c r="AQ12" s="30"/>
      <c r="AR12" s="30"/>
      <c r="AT12" s="39"/>
      <c r="AU12" s="39"/>
      <c r="AV12" s="39"/>
      <c r="AW12" s="30"/>
      <c r="AX12" s="30"/>
      <c r="BF12" s="298"/>
    </row>
    <row r="13" spans="2:82" ht="15.75" customHeight="1" thickBot="1" x14ac:dyDescent="0.3">
      <c r="B13" s="253" t="s">
        <v>92</v>
      </c>
      <c r="C13" s="253"/>
      <c r="D13" s="254"/>
      <c r="E13" s="207" t="e">
        <f>(I29+I31+I32+I33+I34+I35+I37+I38+I46+I47+I58+I59+I65+I66+I67+I68+I69+I70+I71+I72+I73+I74+I75+I76+I77+I78+I79)</f>
        <v>#VALUE!</v>
      </c>
      <c r="F13" s="264" t="s">
        <v>93</v>
      </c>
      <c r="G13" s="264"/>
      <c r="H13" s="265"/>
      <c r="I13" s="72" t="s">
        <v>71</v>
      </c>
      <c r="J13" s="73">
        <f>IF(SUM(J3:J11)=0,"",SUM(J3:J11))</f>
        <v>5</v>
      </c>
      <c r="K13" s="143" t="s">
        <v>57</v>
      </c>
      <c r="L13" s="41"/>
      <c r="M13" s="248" t="s">
        <v>109</v>
      </c>
      <c r="N13" s="248"/>
      <c r="O13" s="248"/>
      <c r="P13" s="248"/>
      <c r="Q13" s="248"/>
      <c r="S13" s="255" t="s">
        <v>110</v>
      </c>
      <c r="T13" s="256"/>
      <c r="U13" s="256"/>
      <c r="V13" s="256"/>
      <c r="W13" s="256"/>
      <c r="X13" s="256"/>
      <c r="Y13" s="256"/>
      <c r="Z13" s="257"/>
      <c r="AB13" s="255" t="s">
        <v>135</v>
      </c>
      <c r="AC13" s="256"/>
      <c r="AD13" s="256"/>
      <c r="AE13" s="256"/>
      <c r="AF13" s="257"/>
      <c r="AG13" s="30"/>
      <c r="AH13" s="255" t="s">
        <v>133</v>
      </c>
      <c r="AI13" s="256"/>
      <c r="AJ13" s="256"/>
      <c r="AK13" s="256"/>
      <c r="AL13" s="257"/>
      <c r="AN13" s="255" t="s">
        <v>134</v>
      </c>
      <c r="AO13" s="256"/>
      <c r="AP13" s="256"/>
      <c r="AQ13" s="256"/>
      <c r="AR13" s="257"/>
      <c r="AT13" s="255" t="s">
        <v>136</v>
      </c>
      <c r="AU13" s="256"/>
      <c r="AV13" s="256"/>
      <c r="AW13" s="256"/>
      <c r="AX13" s="257"/>
      <c r="AZ13" s="255" t="s">
        <v>137</v>
      </c>
      <c r="BA13" s="256"/>
      <c r="BB13" s="256"/>
      <c r="BC13" s="256"/>
      <c r="BD13" s="257"/>
      <c r="BF13" s="255" t="s">
        <v>138</v>
      </c>
      <c r="BG13" s="256"/>
      <c r="BH13" s="256"/>
      <c r="BI13" s="256"/>
      <c r="BJ13" s="257"/>
      <c r="BK13" s="295"/>
    </row>
    <row r="14" spans="2:82" ht="12.75" customHeight="1" thickBot="1" x14ac:dyDescent="0.3">
      <c r="C14" s="40"/>
      <c r="D14" s="40"/>
      <c r="E14" s="40"/>
      <c r="F14" s="41"/>
      <c r="G14" s="40"/>
      <c r="H14" s="42"/>
      <c r="I14" s="41"/>
      <c r="J14" s="41"/>
      <c r="K14" s="198"/>
      <c r="L14" s="41"/>
      <c r="M14" s="249"/>
      <c r="N14" s="249"/>
      <c r="O14" s="249"/>
      <c r="P14" s="249"/>
      <c r="Q14" s="249"/>
      <c r="S14" s="258"/>
      <c r="T14" s="249"/>
      <c r="U14" s="249"/>
      <c r="V14" s="249"/>
      <c r="W14" s="249"/>
      <c r="X14" s="249"/>
      <c r="Y14" s="249"/>
      <c r="Z14" s="259"/>
      <c r="AB14" s="258"/>
      <c r="AC14" s="249"/>
      <c r="AD14" s="249"/>
      <c r="AE14" s="249"/>
      <c r="AF14" s="259"/>
      <c r="AG14" s="30"/>
      <c r="AH14" s="258"/>
      <c r="AI14" s="249"/>
      <c r="AJ14" s="249"/>
      <c r="AK14" s="249"/>
      <c r="AL14" s="259"/>
      <c r="AN14" s="258"/>
      <c r="AO14" s="249"/>
      <c r="AP14" s="249"/>
      <c r="AQ14" s="249"/>
      <c r="AR14" s="259"/>
      <c r="AT14" s="258"/>
      <c r="AU14" s="249"/>
      <c r="AV14" s="249"/>
      <c r="AW14" s="249"/>
      <c r="AX14" s="259"/>
      <c r="AZ14" s="258"/>
      <c r="BA14" s="249"/>
      <c r="BB14" s="249"/>
      <c r="BC14" s="249"/>
      <c r="BD14" s="259"/>
      <c r="BF14" s="258"/>
      <c r="BG14" s="249"/>
      <c r="BH14" s="249"/>
      <c r="BI14" s="249"/>
      <c r="BJ14" s="259"/>
      <c r="BK14" s="295"/>
    </row>
    <row r="15" spans="2:82" ht="58.5" customHeight="1" thickBot="1" x14ac:dyDescent="0.3">
      <c r="C15" s="279" t="s">
        <v>11</v>
      </c>
      <c r="D15" s="281" t="s">
        <v>12</v>
      </c>
      <c r="E15" s="280" t="s">
        <v>128</v>
      </c>
      <c r="F15" s="270" t="s">
        <v>89</v>
      </c>
      <c r="G15" s="270" t="s">
        <v>64</v>
      </c>
      <c r="H15" s="273" t="s">
        <v>58</v>
      </c>
      <c r="I15" s="270" t="s">
        <v>83</v>
      </c>
      <c r="J15" s="46"/>
      <c r="K15" s="46"/>
      <c r="L15" s="46"/>
      <c r="M15" s="43" t="s">
        <v>132</v>
      </c>
      <c r="N15" s="43" t="s">
        <v>83</v>
      </c>
      <c r="O15" s="43" t="s">
        <v>127</v>
      </c>
      <c r="P15" s="44" t="s">
        <v>58</v>
      </c>
      <c r="Q15" s="45" t="s">
        <v>59</v>
      </c>
      <c r="S15" s="201" t="s">
        <v>60</v>
      </c>
      <c r="T15" s="200" t="s">
        <v>63</v>
      </c>
      <c r="U15" s="47" t="s">
        <v>84</v>
      </c>
      <c r="V15" s="269" t="s">
        <v>64</v>
      </c>
      <c r="W15" s="201" t="s">
        <v>83</v>
      </c>
      <c r="X15" s="43" t="s">
        <v>127</v>
      </c>
      <c r="Y15" s="294" t="s">
        <v>58</v>
      </c>
      <c r="Z15" s="294" t="s">
        <v>59</v>
      </c>
      <c r="AB15" s="201" t="s">
        <v>129</v>
      </c>
      <c r="AC15" s="201" t="s">
        <v>131</v>
      </c>
      <c r="AD15" s="43" t="s">
        <v>127</v>
      </c>
      <c r="AE15" s="205" t="s">
        <v>130</v>
      </c>
      <c r="AF15" s="294" t="s">
        <v>59</v>
      </c>
      <c r="AG15" s="30"/>
      <c r="AH15" s="201" t="s">
        <v>129</v>
      </c>
      <c r="AI15" s="205" t="s">
        <v>131</v>
      </c>
      <c r="AJ15" s="43" t="s">
        <v>127</v>
      </c>
      <c r="AK15" s="205" t="s">
        <v>130</v>
      </c>
      <c r="AL15" s="294" t="s">
        <v>59</v>
      </c>
      <c r="AN15" s="201" t="s">
        <v>129</v>
      </c>
      <c r="AO15" s="205" t="s">
        <v>131</v>
      </c>
      <c r="AP15" s="43" t="s">
        <v>127</v>
      </c>
      <c r="AQ15" s="200" t="s">
        <v>130</v>
      </c>
      <c r="AR15" s="45" t="s">
        <v>59</v>
      </c>
      <c r="AT15" s="287" t="s">
        <v>129</v>
      </c>
      <c r="AU15" s="201" t="s">
        <v>131</v>
      </c>
      <c r="AV15" s="43" t="s">
        <v>127</v>
      </c>
      <c r="AW15" s="201" t="s">
        <v>130</v>
      </c>
      <c r="AX15" s="288" t="s">
        <v>59</v>
      </c>
      <c r="AZ15" s="201" t="s">
        <v>129</v>
      </c>
      <c r="BA15" s="205" t="s">
        <v>131</v>
      </c>
      <c r="BB15" s="43" t="s">
        <v>127</v>
      </c>
      <c r="BC15" s="201" t="s">
        <v>130</v>
      </c>
      <c r="BD15" s="288" t="s">
        <v>59</v>
      </c>
      <c r="BF15" s="299" t="s">
        <v>129</v>
      </c>
      <c r="BG15" s="205" t="s">
        <v>131</v>
      </c>
      <c r="BH15" s="43" t="s">
        <v>127</v>
      </c>
      <c r="BI15" s="201" t="s">
        <v>130</v>
      </c>
      <c r="BJ15" s="288" t="s">
        <v>59</v>
      </c>
    </row>
    <row r="16" spans="2:82" ht="14.25" customHeight="1" thickBot="1" x14ac:dyDescent="0.3">
      <c r="C16" s="48"/>
      <c r="D16" s="49"/>
      <c r="E16" s="50"/>
      <c r="F16" s="51" t="e">
        <f>SUM(F17:F79)</f>
        <v>#REF!</v>
      </c>
      <c r="G16" s="52" t="e">
        <f>SUM(G17:G79)</f>
        <v>#REF!</v>
      </c>
      <c r="H16" s="274" t="e">
        <f>SUM(H17:H79)</f>
        <v>#VALUE!</v>
      </c>
      <c r="I16" s="52" t="e">
        <f>SUM(I17:I79)</f>
        <v>#VALUE!</v>
      </c>
      <c r="J16" s="46"/>
      <c r="K16" s="46"/>
      <c r="L16" s="46"/>
      <c r="M16" s="50"/>
      <c r="N16" s="51">
        <f>SUM(N17:N80)</f>
        <v>100</v>
      </c>
      <c r="O16" s="51">
        <f>SUM(O17:O79)</f>
        <v>5</v>
      </c>
      <c r="P16" s="53">
        <f>SUM(P17:P79)</f>
        <v>4041293.567258528</v>
      </c>
      <c r="Q16" s="52" t="e">
        <f>SUM(Q17:Q79)</f>
        <v>#REF!</v>
      </c>
      <c r="S16" s="51"/>
      <c r="T16" s="51" t="e">
        <f t="shared" ref="T16:Z16" ca="1" si="1">SUM(T17:T79)</f>
        <v>#DIV/0!</v>
      </c>
      <c r="U16" s="51" t="e">
        <f t="shared" si="1"/>
        <v>#VALUE!</v>
      </c>
      <c r="V16" s="51" t="e">
        <f t="shared" si="1"/>
        <v>#REF!</v>
      </c>
      <c r="W16" s="51" t="e">
        <f t="shared" si="1"/>
        <v>#REF!</v>
      </c>
      <c r="X16" s="51" t="e">
        <f t="shared" si="1"/>
        <v>#REF!</v>
      </c>
      <c r="Y16" s="53" t="e">
        <f t="shared" si="1"/>
        <v>#REF!</v>
      </c>
      <c r="Z16" s="52" t="e">
        <f t="shared" si="1"/>
        <v>#REF!</v>
      </c>
      <c r="AB16" s="51"/>
      <c r="AC16" s="208"/>
      <c r="AD16" s="208">
        <f t="shared" ref="AC16:AD16" si="2">SUM(AD17:AD79)</f>
        <v>0</v>
      </c>
      <c r="AE16" s="208">
        <f>SUM(AE17:AE79)</f>
        <v>0</v>
      </c>
      <c r="AF16" s="53">
        <f>SUM(AF17:AF79)</f>
        <v>0</v>
      </c>
      <c r="AH16" s="51"/>
      <c r="AI16" s="51"/>
      <c r="AJ16" s="51">
        <f>SUM(AJ17:AJ79)</f>
        <v>0</v>
      </c>
      <c r="AK16" s="202">
        <f>SUM(AK17:AK79)</f>
        <v>0</v>
      </c>
      <c r="AL16" s="51">
        <f>SUM(AL17:AL79)</f>
        <v>0</v>
      </c>
      <c r="AN16" s="51"/>
      <c r="AO16" s="208"/>
      <c r="AP16" s="51">
        <f>SUM(AP17:AP79)</f>
        <v>0</v>
      </c>
      <c r="AQ16" s="301">
        <f>SUM(AQ17:AQ79)</f>
        <v>0</v>
      </c>
      <c r="AR16" s="53">
        <f>SUM($AR$17:AR79)</f>
        <v>0</v>
      </c>
      <c r="AT16" s="202"/>
      <c r="AU16" s="51"/>
      <c r="AV16" s="208">
        <f>SUM(AV17:AV79)</f>
        <v>0</v>
      </c>
      <c r="AW16" s="53">
        <f>SUM(AW17:AW79)</f>
        <v>0</v>
      </c>
      <c r="AX16" s="289">
        <f>SUM(AX17:AX79)</f>
        <v>0</v>
      </c>
      <c r="AZ16" s="51"/>
      <c r="BA16" s="51"/>
      <c r="BB16" s="202">
        <f>SUM(BB17:BB79)</f>
        <v>0</v>
      </c>
      <c r="BC16" s="53">
        <f>SUM(BC17:BC79)</f>
        <v>0</v>
      </c>
      <c r="BD16" s="289">
        <f>SUM(BD17:BD79)</f>
        <v>0</v>
      </c>
      <c r="BF16" s="300"/>
      <c r="BG16" s="202"/>
      <c r="BH16" s="202">
        <f>SUM(BH17:BH79)</f>
        <v>0</v>
      </c>
      <c r="BI16" s="53">
        <f>SUM(BI17:BI79)</f>
        <v>0</v>
      </c>
      <c r="BJ16" s="52">
        <f>SUM(BJ17:BJ79)</f>
        <v>0</v>
      </c>
    </row>
    <row r="17" spans="1:62" ht="21" customHeight="1" thickBot="1" x14ac:dyDescent="0.3">
      <c r="A17" s="34" t="b">
        <f>ISNUMBER(G17)</f>
        <v>0</v>
      </c>
      <c r="B17" s="61">
        <f>COMPOSITTIONS!A4</f>
        <v>25</v>
      </c>
      <c r="C17" s="282">
        <f>COMPOSITTIONS!B4</f>
        <v>35</v>
      </c>
      <c r="D17" s="284" t="str">
        <f>COMPOSITTIONS!C4</f>
        <v>Avoine noire</v>
      </c>
      <c r="E17" s="276">
        <f t="shared" ref="E17:E79" si="3">C17/1000</f>
        <v>3.5000000000000003E-2</v>
      </c>
      <c r="F17" s="278" t="e">
        <f>O17+X17+AE17+AJ17+AP17+AV17+BB17+BH17</f>
        <v>#REF!</v>
      </c>
      <c r="G17" s="271" t="e">
        <f>IF(F17=0,"0,00",F17/$F$16)</f>
        <v>#REF!</v>
      </c>
      <c r="H17" s="275" t="e">
        <f>(BI17+BC17+AW17+AQ17+AK17+AF17+P17)</f>
        <v>#VALUE!</v>
      </c>
      <c r="I17" s="271" t="e">
        <f>IF(H17=0,"0,00",H17/$H$16)</f>
        <v>#VALUE!</v>
      </c>
      <c r="J17" s="56"/>
      <c r="K17" s="56"/>
      <c r="L17" s="56"/>
      <c r="M17" s="144">
        <f>E17</f>
        <v>3.5000000000000003E-2</v>
      </c>
      <c r="N17" s="308"/>
      <c r="O17" s="54">
        <f>((N17/100)*$J$3)</f>
        <v>0</v>
      </c>
      <c r="P17" s="54"/>
      <c r="Q17" s="209" t="str">
        <f>IF(P17="","",(P17/$P$16))</f>
        <v/>
      </c>
      <c r="S17" s="173">
        <f>E17</f>
        <v>3.5000000000000003E-2</v>
      </c>
      <c r="T17" s="57" t="e">
        <f ca="1">IF(T17=#REF!,"0",$J$4/T17)</f>
        <v>#DIV/0!</v>
      </c>
      <c r="U17" s="57" t="e">
        <f>(($J$4*V17)/100)</f>
        <v>#VALUE!</v>
      </c>
      <c r="V17" s="305" t="e">
        <f>IF($F$4&lt;&gt;"",(HLOOKUP($F$4,COMPOSITTIONS!$D$2:$AA$66,3,FALSE)),#REF!)</f>
        <v>#REF!</v>
      </c>
      <c r="W17" s="278" t="e">
        <f>IF($F$4&lt;&gt;"",(HLOOKUP($F$4,COMPOSITTIONS!$D$2:$AA$66,4,FALSE)),#REF!)</f>
        <v>#REF!</v>
      </c>
      <c r="X17" s="278" t="e">
        <f>((W17/100)*$J$4)</f>
        <v>#REF!</v>
      </c>
      <c r="Y17" s="57" t="e">
        <f t="shared" ref="Y17:Y79" si="4">(X17*1000)/S17</f>
        <v>#REF!</v>
      </c>
      <c r="Z17" s="55" t="e">
        <f>IF(Y17=#REF!,"0",(Y17/$Y$16))</f>
        <v>#REF!</v>
      </c>
      <c r="AB17" s="303" t="str">
        <f>IF($E$6=25,(C17/1000),"")</f>
        <v/>
      </c>
      <c r="AC17" s="282" t="str">
        <f>IF(AB17="","",(1/AB17))</f>
        <v/>
      </c>
      <c r="AD17" s="278" t="str">
        <f>IF(AB17="","",$J$6)</f>
        <v/>
      </c>
      <c r="AE17" s="302" t="str">
        <f t="shared" ref="AE17:AE79" si="5">IF(AB17="","",((AC17*1000)*AD17))</f>
        <v/>
      </c>
      <c r="AF17" s="278" t="str">
        <f>IF(AB17="","",((AE17/$AE$16)*100))</f>
        <v/>
      </c>
      <c r="AH17" s="303" t="str">
        <f>IF($E$7=25,(C17/1000),"")</f>
        <v/>
      </c>
      <c r="AI17" s="206" t="str">
        <f>IF(AH17="","",(1/AH17))</f>
        <v/>
      </c>
      <c r="AJ17" s="278" t="str">
        <f>IF(AH17="","",$J$7)</f>
        <v/>
      </c>
      <c r="AK17" s="302" t="str">
        <f>IF(AH17="","",((AI17*1000)*AJ17))</f>
        <v/>
      </c>
      <c r="AL17" s="278" t="str">
        <f>IF(AH17="","",((AK17/$AE$16)*100))</f>
        <v/>
      </c>
      <c r="AM17" s="56"/>
      <c r="AN17" s="303" t="str">
        <f>IF($E$8=25,(C17/1000),"")</f>
        <v/>
      </c>
      <c r="AO17" s="206" t="str">
        <f>IF(AN17="","",(1/AN17))</f>
        <v/>
      </c>
      <c r="AP17" s="278" t="str">
        <f>IF(AN17="","",$J$8)</f>
        <v/>
      </c>
      <c r="AQ17" s="302" t="str">
        <f>IF(AN17="","",((AO17*1000)*AP17))</f>
        <v/>
      </c>
      <c r="AR17" s="278" t="str">
        <f>IF(AN17="","",((AQ17/$AQ$16)*100))</f>
        <v/>
      </c>
      <c r="AT17" s="203" t="str">
        <f>IF($E$9=25,(C17/1000),"")</f>
        <v/>
      </c>
      <c r="AU17" s="268" t="str">
        <f>IF(AT17="","",(1/AT17))</f>
        <v/>
      </c>
      <c r="AV17" s="275" t="str">
        <f>IF(AT17="","",$J$9)</f>
        <v/>
      </c>
      <c r="AW17" s="292" t="str">
        <f>IF(AT17="","",((AU17*1000)*AV17))</f>
        <v/>
      </c>
      <c r="AX17" s="290" t="str">
        <f>IF(AT17="","",(AW17/$AW$16))</f>
        <v/>
      </c>
      <c r="AZ17" s="203" t="str">
        <f>IF($E$10=25,(C17/1000),"")</f>
        <v/>
      </c>
      <c r="BA17" s="267" t="str">
        <f>IF(AZ17="","",(1/AZ17))</f>
        <v/>
      </c>
      <c r="BB17" s="275" t="str">
        <f>IF(AZ17="","",$J$10)</f>
        <v/>
      </c>
      <c r="BC17" s="292" t="str">
        <f>IF(AZ17="","",((BA17*1000)*BB17))</f>
        <v/>
      </c>
      <c r="BD17" s="290" t="str">
        <f>IF(AZ17="","",(BC17/$BC$16))</f>
        <v/>
      </c>
      <c r="BF17" s="296" t="str">
        <f>IF($E$11=25,(C17/1000),"")</f>
        <v/>
      </c>
      <c r="BG17" s="267" t="str">
        <f>IF(BF17="","",(1/BF17))</f>
        <v/>
      </c>
      <c r="BH17" s="275" t="str">
        <f>IF(BF17="","",$J$10)</f>
        <v/>
      </c>
      <c r="BI17" s="292" t="str">
        <f>IF(BF17="","",((BG17*1000)*BH17))</f>
        <v/>
      </c>
      <c r="BJ17" s="55" t="str">
        <f>IF(BH17="","",(BI17/$BI$16))</f>
        <v/>
      </c>
    </row>
    <row r="18" spans="1:62" ht="13.5" customHeight="1" thickBot="1" x14ac:dyDescent="0.3">
      <c r="A18" s="34" t="b">
        <f t="shared" ref="A18:A79" si="6">ISNUMBER(G18)</f>
        <v>0</v>
      </c>
      <c r="B18" s="61">
        <f>COMPOSITTIONS!A5</f>
        <v>26</v>
      </c>
      <c r="C18" s="282">
        <f>COMPOSITTIONS!B5</f>
        <v>30</v>
      </c>
      <c r="D18" s="284" t="str">
        <f>COMPOSITTIONS!C5</f>
        <v>Avoine rude</v>
      </c>
      <c r="E18" s="276">
        <f t="shared" si="3"/>
        <v>0.03</v>
      </c>
      <c r="F18" s="278" t="e">
        <f t="shared" ref="F18:F19" si="7">O18+X18+AE18+AJ18+AP18+AV18+BB18+BH18</f>
        <v>#REF!</v>
      </c>
      <c r="G18" s="271" t="e">
        <f>IF(F18=0,"0,00",F18/$F$16)</f>
        <v>#REF!</v>
      </c>
      <c r="H18" s="275" t="e">
        <f>(BI18+BC18+AW18+AQ18+AK18+AF18+P18)</f>
        <v>#VALUE!</v>
      </c>
      <c r="I18" s="271" t="e">
        <f>IF(H18=0,"0,00",H18/$H$16)</f>
        <v>#VALUE!</v>
      </c>
      <c r="J18" s="56"/>
      <c r="K18" s="56"/>
      <c r="L18" s="56"/>
      <c r="M18" s="144">
        <f t="shared" ref="M18:M79" si="8">E18</f>
        <v>0.03</v>
      </c>
      <c r="N18" s="58">
        <f>IF($F$3&lt;&gt;"",(HLOOKUP($F$3,COMPOSITTIONS!$D$2:$AA$66,3,FALSE)),"")</f>
        <v>0</v>
      </c>
      <c r="O18" s="54">
        <f t="shared" ref="O18:O79" si="9">((N18/100)*$J$3)</f>
        <v>0</v>
      </c>
      <c r="P18" s="54">
        <f>(O18*1000)/M18</f>
        <v>0</v>
      </c>
      <c r="Q18" s="55" t="e">
        <f>IF(P18=#REF!,"0",(P18/$P$16))</f>
        <v>#REF!</v>
      </c>
      <c r="S18" s="173">
        <f>E18</f>
        <v>0.03</v>
      </c>
      <c r="T18" s="57" t="e">
        <f ca="1">IF(T18=#REF!,"0",$J$4/T18)</f>
        <v>#DIV/0!</v>
      </c>
      <c r="U18" s="57" t="e">
        <f t="shared" ref="U18:U74" si="10">(($J$4*V18)/100)</f>
        <v>#VALUE!</v>
      </c>
      <c r="V18" s="305" t="e">
        <f>IF($F$4&lt;&gt;"",(HLOOKUP($F$4,COMPOSITTIONS!$D$2:$AA$66,5,FALSE)),#REF!)</f>
        <v>#REF!</v>
      </c>
      <c r="W18" s="278" t="e">
        <f>IF($F$4&lt;&gt;"",(HLOOKUP($F$4,COMPOSITTIONS!$D$2:$AA$66,4,FALSE)),#REF!)</f>
        <v>#REF!</v>
      </c>
      <c r="X18" s="278" t="e">
        <f t="shared" ref="X18:X74" si="11">((W18/100)*$J$4)</f>
        <v>#REF!</v>
      </c>
      <c r="Y18" s="57" t="e">
        <f t="shared" si="4"/>
        <v>#REF!</v>
      </c>
      <c r="Z18" s="55" t="e">
        <f>IF(Y18=#REF!,"0",(Y18/$Y$16))</f>
        <v>#REF!</v>
      </c>
      <c r="AB18" s="303" t="str">
        <f>IF($E$6=26,(C18/1000),"")</f>
        <v/>
      </c>
      <c r="AC18" s="282" t="str">
        <f t="shared" ref="AC18:AC79" si="12">IF(AB18="","",(1/AB18))</f>
        <v/>
      </c>
      <c r="AD18" s="278" t="str">
        <f>IF(AB18="","",$J$6)</f>
        <v/>
      </c>
      <c r="AE18" s="302" t="str">
        <f t="shared" si="5"/>
        <v/>
      </c>
      <c r="AF18" s="278" t="str">
        <f t="shared" ref="AF18:AF79" si="13">IF(AB18="","",((AE18/$AE$16)*100))</f>
        <v/>
      </c>
      <c r="AH18" s="303" t="str">
        <f>IF($E$7=26,(C18/1000),"")</f>
        <v/>
      </c>
      <c r="AI18" s="206" t="str">
        <f t="shared" ref="AI18:AI79" si="14">IF(AH18="","",(1/AH18))</f>
        <v/>
      </c>
      <c r="AJ18" s="278" t="str">
        <f t="shared" ref="AJ18:AJ79" si="15">IF(AH18="","",$J$7)</f>
        <v/>
      </c>
      <c r="AK18" s="302" t="str">
        <f t="shared" ref="AK18:AK79" si="16">IF(AH18="","",((AI18*1000)*AJ18))</f>
        <v/>
      </c>
      <c r="AL18" s="278" t="str">
        <f t="shared" ref="AL18:AL79" si="17">IF(AH18="","",((AK18/$AE$16)*100))</f>
        <v/>
      </c>
      <c r="AN18" s="303" t="str">
        <f>IF($E$8=26,(C18/1000),"")</f>
        <v/>
      </c>
      <c r="AO18" s="206" t="str">
        <f t="shared" ref="AO18:AO79" si="18">IF(AN18="","",(1/AN18))</f>
        <v/>
      </c>
      <c r="AP18" s="278" t="str">
        <f t="shared" ref="AP18:AP79" si="19">IF(AN18="","",$J$8)</f>
        <v/>
      </c>
      <c r="AQ18" s="302" t="str">
        <f t="shared" ref="AQ18:AQ79" si="20">IF(AN18="","",((AO18*1000)*AP18))</f>
        <v/>
      </c>
      <c r="AR18" s="278" t="str">
        <f t="shared" ref="AR18:AR79" si="21">IF(AN18="","",((AQ18/$AQ$16)*100))</f>
        <v/>
      </c>
      <c r="AT18" s="203" t="str">
        <f>IF($E$9=26,(C18/1000),"")</f>
        <v/>
      </c>
      <c r="AU18" s="268" t="str">
        <f t="shared" ref="AU18:AU79" si="22">IF(AT18="","",(1/AT18))</f>
        <v/>
      </c>
      <c r="AV18" s="275" t="str">
        <f t="shared" ref="AV18:AV79" si="23">IF(AT18="","",$J$9)</f>
        <v/>
      </c>
      <c r="AW18" s="292" t="str">
        <f t="shared" ref="AW18:AW79" si="24">IF(AT18="","",((AU18*1000)*AV18))</f>
        <v/>
      </c>
      <c r="AX18" s="290" t="str">
        <f t="shared" ref="AX18:AX79" si="25">IF(AT18="","",(AW18/$AW$16))</f>
        <v/>
      </c>
      <c r="AZ18" s="203" t="str">
        <f>IF($E$10=26,(C18/1000),"")</f>
        <v/>
      </c>
      <c r="BA18" s="267" t="str">
        <f t="shared" ref="BA18:BA79" si="26">IF(AZ18="","",(1/AZ18))</f>
        <v/>
      </c>
      <c r="BB18" s="275" t="str">
        <f t="shared" ref="BB18:BB79" si="27">IF(AZ18="","",$J$10)</f>
        <v/>
      </c>
      <c r="BC18" s="292" t="str">
        <f t="shared" ref="BC18:BC79" si="28">IF(AZ18="","",((BA18*1000)*BB18))</f>
        <v/>
      </c>
      <c r="BD18" s="290" t="str">
        <f t="shared" ref="BD18:BD79" si="29">IF(AZ18="","",(BC18/$BC$16))</f>
        <v/>
      </c>
      <c r="BF18" s="296" t="str">
        <f>IF($E$11=26,(C18/1000),"")</f>
        <v/>
      </c>
      <c r="BG18" s="267" t="str">
        <f t="shared" ref="BG18:BG79" si="30">IF(BF18="","",(1/BF18))</f>
        <v/>
      </c>
      <c r="BH18" s="275" t="str">
        <f t="shared" ref="BH18:BH79" si="31">IF(BF18="","",$J$10)</f>
        <v/>
      </c>
      <c r="BI18" s="292" t="str">
        <f t="shared" ref="BI18:BI79" si="32">IF(BF18="","",((BG18*1000)*BH18))</f>
        <v/>
      </c>
      <c r="BJ18" s="55" t="str">
        <f t="shared" ref="BJ18:BJ79" si="33">IF(BH18="","",(BI18/$BI$16))</f>
        <v/>
      </c>
    </row>
    <row r="19" spans="1:62" ht="13.5" customHeight="1" thickBot="1" x14ac:dyDescent="0.3">
      <c r="A19" s="34" t="b">
        <f t="shared" si="6"/>
        <v>0</v>
      </c>
      <c r="B19" s="61">
        <f>COMPOSITTIONS!A6</f>
        <v>27</v>
      </c>
      <c r="C19" s="282">
        <f>COMPOSITTIONS!B6</f>
        <v>1.8</v>
      </c>
      <c r="D19" s="284" t="str">
        <f>COMPOSITTIONS!C6</f>
        <v>Cameline</v>
      </c>
      <c r="E19" s="276">
        <f t="shared" si="3"/>
        <v>1.8E-3</v>
      </c>
      <c r="F19" s="278" t="e">
        <f t="shared" si="7"/>
        <v>#REF!</v>
      </c>
      <c r="G19" s="271" t="e">
        <f t="shared" ref="G19:G79" si="34">IF(F19=0,"0,00",F19/$F$16)</f>
        <v>#REF!</v>
      </c>
      <c r="H19" s="275" t="e">
        <f>(BI19+BC19+AW19+AQ19+AK19+AF19+P19)</f>
        <v>#VALUE!</v>
      </c>
      <c r="I19" s="271" t="e">
        <f t="shared" ref="I19:I79" si="35">IF(H19=0,"0,00",H19/$H$16)</f>
        <v>#VALUE!</v>
      </c>
      <c r="J19" s="56"/>
      <c r="K19" s="56"/>
      <c r="L19" s="56"/>
      <c r="M19" s="144">
        <f t="shared" si="8"/>
        <v>1.8E-3</v>
      </c>
      <c r="N19" s="58">
        <f>IF($F$3&lt;&gt;"",(HLOOKUP($F$3,COMPOSITTIONS!$D$2:$AA$66,3,FALSE)),"")</f>
        <v>0</v>
      </c>
      <c r="O19" s="54">
        <f t="shared" si="9"/>
        <v>0</v>
      </c>
      <c r="P19" s="54">
        <f>(O19*1000)/M19</f>
        <v>0</v>
      </c>
      <c r="Q19" s="55" t="e">
        <f>IF(P19=#REF!,"0",(P19/$P$16))</f>
        <v>#REF!</v>
      </c>
      <c r="S19" s="173">
        <f>E19</f>
        <v>1.8E-3</v>
      </c>
      <c r="T19" s="57" t="e">
        <f ca="1">IF(T19=#REF!,"0",$J$4/T19)</f>
        <v>#DIV/0!</v>
      </c>
      <c r="U19" s="57" t="e">
        <f t="shared" si="10"/>
        <v>#VALUE!</v>
      </c>
      <c r="V19" s="305" t="e">
        <f>IF($F$4&lt;&gt;"",(HLOOKUP($F$4,COMPOSITTIONS!$D$2:$AA$66,5,FALSE)),#REF!)</f>
        <v>#REF!</v>
      </c>
      <c r="W19" s="278" t="e">
        <f>IF($F$4&lt;&gt;"",(HLOOKUP($F$4,COMPOSITTIONS!$D$2:$AA$66,5,FALSE)),#REF!)</f>
        <v>#REF!</v>
      </c>
      <c r="X19" s="278" t="e">
        <f t="shared" si="11"/>
        <v>#REF!</v>
      </c>
      <c r="Y19" s="57" t="e">
        <f t="shared" si="4"/>
        <v>#REF!</v>
      </c>
      <c r="Z19" s="55" t="e">
        <f>IF(Y19=#REF!,"0",(Y19/$Y$16))</f>
        <v>#REF!</v>
      </c>
      <c r="AB19" s="303" t="str">
        <f>IF($E$6=27,(C19/1000),"")</f>
        <v/>
      </c>
      <c r="AC19" s="282" t="str">
        <f t="shared" si="12"/>
        <v/>
      </c>
      <c r="AD19" s="278" t="str">
        <f t="shared" ref="AD19:AD79" si="36">IF(AB19="","",$J$6)</f>
        <v/>
      </c>
      <c r="AE19" s="302" t="str">
        <f t="shared" si="5"/>
        <v/>
      </c>
      <c r="AF19" s="278" t="str">
        <f t="shared" si="13"/>
        <v/>
      </c>
      <c r="AH19" s="303" t="str">
        <f>IF($E$7=27,(C19/1000),"")</f>
        <v/>
      </c>
      <c r="AI19" s="206" t="str">
        <f t="shared" si="14"/>
        <v/>
      </c>
      <c r="AJ19" s="278" t="str">
        <f t="shared" si="15"/>
        <v/>
      </c>
      <c r="AK19" s="302" t="str">
        <f t="shared" si="16"/>
        <v/>
      </c>
      <c r="AL19" s="278" t="str">
        <f t="shared" si="17"/>
        <v/>
      </c>
      <c r="AN19" s="303" t="str">
        <f>IF($E$8=27,(C19/1000),"")</f>
        <v/>
      </c>
      <c r="AO19" s="206" t="str">
        <f t="shared" si="18"/>
        <v/>
      </c>
      <c r="AP19" s="278" t="str">
        <f t="shared" si="19"/>
        <v/>
      </c>
      <c r="AQ19" s="302" t="str">
        <f t="shared" si="20"/>
        <v/>
      </c>
      <c r="AR19" s="278" t="str">
        <f t="shared" si="21"/>
        <v/>
      </c>
      <c r="AT19" s="203" t="str">
        <f>IF($E$9=27,(C19/1000),"")</f>
        <v/>
      </c>
      <c r="AU19" s="268" t="str">
        <f t="shared" si="22"/>
        <v/>
      </c>
      <c r="AV19" s="275" t="str">
        <f t="shared" si="23"/>
        <v/>
      </c>
      <c r="AW19" s="292" t="str">
        <f t="shared" si="24"/>
        <v/>
      </c>
      <c r="AX19" s="290" t="str">
        <f t="shared" si="25"/>
        <v/>
      </c>
      <c r="AZ19" s="203" t="str">
        <f>IF($E$10=27,(C19/1000),"")</f>
        <v/>
      </c>
      <c r="BA19" s="267" t="str">
        <f t="shared" si="26"/>
        <v/>
      </c>
      <c r="BB19" s="275" t="str">
        <f t="shared" si="27"/>
        <v/>
      </c>
      <c r="BC19" s="292" t="str">
        <f t="shared" si="28"/>
        <v/>
      </c>
      <c r="BD19" s="290" t="str">
        <f t="shared" si="29"/>
        <v/>
      </c>
      <c r="BF19" s="296" t="str">
        <f>IF($E$11=27,(C19/1000),"")</f>
        <v/>
      </c>
      <c r="BG19" s="267" t="str">
        <f t="shared" si="30"/>
        <v/>
      </c>
      <c r="BH19" s="275" t="str">
        <f t="shared" si="31"/>
        <v/>
      </c>
      <c r="BI19" s="292" t="str">
        <f t="shared" si="32"/>
        <v/>
      </c>
      <c r="BJ19" s="55" t="str">
        <f t="shared" si="33"/>
        <v/>
      </c>
    </row>
    <row r="20" spans="1:62" ht="13.5" customHeight="1" thickBot="1" x14ac:dyDescent="0.3">
      <c r="A20" s="34" t="b">
        <f t="shared" si="6"/>
        <v>0</v>
      </c>
      <c r="B20" s="61">
        <f>COMPOSITTIONS!A7</f>
        <v>28</v>
      </c>
      <c r="C20" s="282">
        <f>COMPOSITTIONS!B7</f>
        <v>1.3</v>
      </c>
      <c r="D20" s="284" t="str">
        <f>COMPOSITTIONS!C7</f>
        <v>Chicorée</v>
      </c>
      <c r="E20" s="276">
        <f t="shared" si="3"/>
        <v>1.2999999999999999E-3</v>
      </c>
      <c r="F20" s="278" t="e">
        <f>(#REF!+O20+AE20+AJ20+AP20+AV20+BB20+BH20+X20)</f>
        <v>#REF!</v>
      </c>
      <c r="G20" s="271" t="e">
        <f t="shared" si="34"/>
        <v>#REF!</v>
      </c>
      <c r="H20" s="275" t="e">
        <f>(BI20+BC20+AW20+AQ20+AK20+AF20+P20)</f>
        <v>#VALUE!</v>
      </c>
      <c r="I20" s="271" t="e">
        <f t="shared" si="35"/>
        <v>#VALUE!</v>
      </c>
      <c r="J20" s="56"/>
      <c r="K20" s="56"/>
      <c r="L20" s="56"/>
      <c r="M20" s="144">
        <f t="shared" si="8"/>
        <v>1.2999999999999999E-3</v>
      </c>
      <c r="N20" s="58">
        <f>IF($F$3&lt;&gt;"",(HLOOKUP($F$3,COMPOSITTIONS!$D$2:$AA$66,3,FALSE)),"")</f>
        <v>0</v>
      </c>
      <c r="O20" s="54">
        <f t="shared" si="9"/>
        <v>0</v>
      </c>
      <c r="P20" s="54">
        <f>(O20*1000)/M20</f>
        <v>0</v>
      </c>
      <c r="Q20" s="55" t="e">
        <f>IF(P20=#REF!,"0",(P20/$P$16))</f>
        <v>#REF!</v>
      </c>
      <c r="S20" s="173">
        <f>E20</f>
        <v>1.2999999999999999E-3</v>
      </c>
      <c r="T20" s="57" t="e">
        <f ca="1">IF(T20=#REF!,"0",$J$4/T20)</f>
        <v>#DIV/0!</v>
      </c>
      <c r="U20" s="57" t="e">
        <f t="shared" si="10"/>
        <v>#VALUE!</v>
      </c>
      <c r="V20" s="305" t="e">
        <f>IF($F$4&lt;&gt;"",(HLOOKUP($F$4,COMPOSITTIONS!$D$2:$AA$66,6,FALSE)),#REF!)</f>
        <v>#REF!</v>
      </c>
      <c r="W20" s="278" t="e">
        <f>IF($F$4&lt;&gt;"",(HLOOKUP($F$4,COMPOSITTIONS!$D$2:$AA$66,6,FALSE)),#REF!)</f>
        <v>#REF!</v>
      </c>
      <c r="X20" s="278" t="e">
        <f t="shared" si="11"/>
        <v>#REF!</v>
      </c>
      <c r="Y20" s="57" t="e">
        <f t="shared" si="4"/>
        <v>#REF!</v>
      </c>
      <c r="Z20" s="55" t="e">
        <f>IF(Y20=#REF!,"0",(Y20/$Y$16))</f>
        <v>#REF!</v>
      </c>
      <c r="AB20" s="303" t="str">
        <f>IF($E$6=28,(C20/1000),"")</f>
        <v/>
      </c>
      <c r="AC20" s="282" t="str">
        <f t="shared" si="12"/>
        <v/>
      </c>
      <c r="AD20" s="278" t="str">
        <f t="shared" si="36"/>
        <v/>
      </c>
      <c r="AE20" s="302" t="str">
        <f t="shared" si="5"/>
        <v/>
      </c>
      <c r="AF20" s="278" t="str">
        <f t="shared" si="13"/>
        <v/>
      </c>
      <c r="AH20" s="303" t="str">
        <f>IF($E$7=28,(C20/1000),"")</f>
        <v/>
      </c>
      <c r="AI20" s="206" t="str">
        <f t="shared" si="14"/>
        <v/>
      </c>
      <c r="AJ20" s="278" t="str">
        <f t="shared" si="15"/>
        <v/>
      </c>
      <c r="AK20" s="302" t="str">
        <f t="shared" si="16"/>
        <v/>
      </c>
      <c r="AL20" s="278" t="str">
        <f t="shared" si="17"/>
        <v/>
      </c>
      <c r="AN20" s="303" t="str">
        <f>IF($E$8=28,(C20/1000),"")</f>
        <v/>
      </c>
      <c r="AO20" s="206" t="str">
        <f t="shared" si="18"/>
        <v/>
      </c>
      <c r="AP20" s="278" t="str">
        <f t="shared" si="19"/>
        <v/>
      </c>
      <c r="AQ20" s="302" t="str">
        <f t="shared" si="20"/>
        <v/>
      </c>
      <c r="AR20" s="278" t="str">
        <f t="shared" si="21"/>
        <v/>
      </c>
      <c r="AT20" s="203" t="str">
        <f>IF($E$9=28,(C20/1000),"")</f>
        <v/>
      </c>
      <c r="AU20" s="268" t="str">
        <f t="shared" si="22"/>
        <v/>
      </c>
      <c r="AV20" s="275" t="str">
        <f t="shared" si="23"/>
        <v/>
      </c>
      <c r="AW20" s="292" t="str">
        <f t="shared" si="24"/>
        <v/>
      </c>
      <c r="AX20" s="290" t="str">
        <f t="shared" si="25"/>
        <v/>
      </c>
      <c r="AZ20" s="203" t="str">
        <f>IF($E$10=28,(C20/1000),"")</f>
        <v/>
      </c>
      <c r="BA20" s="267" t="str">
        <f t="shared" si="26"/>
        <v/>
      </c>
      <c r="BB20" s="275" t="str">
        <f t="shared" si="27"/>
        <v/>
      </c>
      <c r="BC20" s="292" t="str">
        <f t="shared" si="28"/>
        <v/>
      </c>
      <c r="BD20" s="290" t="str">
        <f t="shared" si="29"/>
        <v/>
      </c>
      <c r="BF20" s="296" t="str">
        <f>IF($E$11=28,(C20/1000),"")</f>
        <v/>
      </c>
      <c r="BG20" s="267" t="str">
        <f t="shared" si="30"/>
        <v/>
      </c>
      <c r="BH20" s="275" t="str">
        <f t="shared" si="31"/>
        <v/>
      </c>
      <c r="BI20" s="292" t="str">
        <f t="shared" si="32"/>
        <v/>
      </c>
      <c r="BJ20" s="55" t="str">
        <f t="shared" si="33"/>
        <v/>
      </c>
    </row>
    <row r="21" spans="1:62" ht="13.5" customHeight="1" thickBot="1" x14ac:dyDescent="0.3">
      <c r="A21" s="34" t="b">
        <f t="shared" si="6"/>
        <v>0</v>
      </c>
      <c r="B21" s="61">
        <f>COMPOSITTIONS!A8</f>
        <v>29</v>
      </c>
      <c r="C21" s="282">
        <f>COMPOSITTIONS!B8</f>
        <v>6</v>
      </c>
      <c r="D21" s="284" t="str">
        <f>COMPOSITTIONS!C8</f>
        <v>Colza fourrager</v>
      </c>
      <c r="E21" s="276">
        <f t="shared" si="3"/>
        <v>6.0000000000000001E-3</v>
      </c>
      <c r="F21" s="278" t="e">
        <f>(#REF!+O21+AE21+AJ21+AP21+AV21+BB21+BH21+X21)</f>
        <v>#REF!</v>
      </c>
      <c r="G21" s="271" t="e">
        <f t="shared" si="34"/>
        <v>#REF!</v>
      </c>
      <c r="H21" s="275" t="e">
        <f>(BI21+BC21+AW21+AQ21+AK21+AF21+P21)</f>
        <v>#VALUE!</v>
      </c>
      <c r="I21" s="271" t="e">
        <f t="shared" si="35"/>
        <v>#VALUE!</v>
      </c>
      <c r="J21" s="56"/>
      <c r="K21" s="56"/>
      <c r="L21" s="56"/>
      <c r="M21" s="144">
        <f t="shared" si="8"/>
        <v>6.0000000000000001E-3</v>
      </c>
      <c r="N21" s="58">
        <f>IF($F$3&lt;&gt;"",(HLOOKUP($F$3,COMPOSITTIONS!$D$2:$AA$66,3,FALSE)),"")</f>
        <v>0</v>
      </c>
      <c r="O21" s="54">
        <f t="shared" si="9"/>
        <v>0</v>
      </c>
      <c r="P21" s="54">
        <f>(O21*1000)/M21</f>
        <v>0</v>
      </c>
      <c r="Q21" s="55" t="e">
        <f>IF(P21=#REF!,"0",(P21/$P$16))</f>
        <v>#REF!</v>
      </c>
      <c r="S21" s="173">
        <f>E21</f>
        <v>6.0000000000000001E-3</v>
      </c>
      <c r="T21" s="57" t="e">
        <f ca="1">IF(T21=#REF!,"0",$J$4/T21)</f>
        <v>#DIV/0!</v>
      </c>
      <c r="U21" s="57" t="e">
        <f t="shared" si="10"/>
        <v>#VALUE!</v>
      </c>
      <c r="V21" s="305" t="e">
        <f>IF($F$4&lt;&gt;"",(HLOOKUP($F$4,COMPOSITTIONS!$D$2:$AA$66,7,FALSE)),#REF!)</f>
        <v>#REF!</v>
      </c>
      <c r="W21" s="278" t="e">
        <f>IF($F$4&lt;&gt;"",(HLOOKUP($F$4,COMPOSITTIONS!$D$2:$AA$66,7,FALSE)),#REF!)</f>
        <v>#REF!</v>
      </c>
      <c r="X21" s="278" t="e">
        <f t="shared" si="11"/>
        <v>#REF!</v>
      </c>
      <c r="Y21" s="57" t="e">
        <f t="shared" si="4"/>
        <v>#REF!</v>
      </c>
      <c r="Z21" s="55" t="e">
        <f>IF(Y21=#REF!,"0",(Y21/$Y$16))</f>
        <v>#REF!</v>
      </c>
      <c r="AB21" s="303" t="str">
        <f>IF($E$6=29,(C21/1000),"")</f>
        <v/>
      </c>
      <c r="AC21" s="282" t="str">
        <f t="shared" si="12"/>
        <v/>
      </c>
      <c r="AD21" s="278" t="str">
        <f t="shared" si="36"/>
        <v/>
      </c>
      <c r="AE21" s="302" t="str">
        <f t="shared" si="5"/>
        <v/>
      </c>
      <c r="AF21" s="278" t="str">
        <f t="shared" si="13"/>
        <v/>
      </c>
      <c r="AH21" s="303" t="str">
        <f>IF($E$7=29,(C21/1000),"")</f>
        <v/>
      </c>
      <c r="AI21" s="206" t="str">
        <f t="shared" si="14"/>
        <v/>
      </c>
      <c r="AJ21" s="278" t="str">
        <f t="shared" si="15"/>
        <v/>
      </c>
      <c r="AK21" s="302" t="str">
        <f t="shared" si="16"/>
        <v/>
      </c>
      <c r="AL21" s="278" t="str">
        <f t="shared" si="17"/>
        <v/>
      </c>
      <c r="AN21" s="303" t="str">
        <f>IF($E$8=29,(C21/1000),"")</f>
        <v/>
      </c>
      <c r="AO21" s="206" t="str">
        <f t="shared" si="18"/>
        <v/>
      </c>
      <c r="AP21" s="278" t="str">
        <f t="shared" si="19"/>
        <v/>
      </c>
      <c r="AQ21" s="302" t="str">
        <f t="shared" si="20"/>
        <v/>
      </c>
      <c r="AR21" s="278" t="str">
        <f t="shared" si="21"/>
        <v/>
      </c>
      <c r="AT21" s="203" t="str">
        <f>IF($E$9=29,(C21/1000),"")</f>
        <v/>
      </c>
      <c r="AU21" s="268" t="str">
        <f t="shared" si="22"/>
        <v/>
      </c>
      <c r="AV21" s="275" t="str">
        <f t="shared" si="23"/>
        <v/>
      </c>
      <c r="AW21" s="292" t="str">
        <f t="shared" si="24"/>
        <v/>
      </c>
      <c r="AX21" s="290" t="str">
        <f t="shared" si="25"/>
        <v/>
      </c>
      <c r="AZ21" s="203" t="str">
        <f>IF($E$10=29,(C21/1000),"")</f>
        <v/>
      </c>
      <c r="BA21" s="267" t="str">
        <f t="shared" si="26"/>
        <v/>
      </c>
      <c r="BB21" s="275" t="str">
        <f t="shared" si="27"/>
        <v/>
      </c>
      <c r="BC21" s="292" t="str">
        <f t="shared" si="28"/>
        <v/>
      </c>
      <c r="BD21" s="290" t="str">
        <f t="shared" si="29"/>
        <v/>
      </c>
      <c r="BF21" s="296" t="str">
        <f>IF($E$11=29,(C21/1000),"")</f>
        <v/>
      </c>
      <c r="BG21" s="267" t="str">
        <f t="shared" si="30"/>
        <v/>
      </c>
      <c r="BH21" s="275" t="str">
        <f t="shared" si="31"/>
        <v/>
      </c>
      <c r="BI21" s="292" t="str">
        <f t="shared" si="32"/>
        <v/>
      </c>
      <c r="BJ21" s="55" t="str">
        <f t="shared" si="33"/>
        <v/>
      </c>
    </row>
    <row r="22" spans="1:62" ht="13.5" customHeight="1" thickBot="1" x14ac:dyDescent="0.3">
      <c r="A22" s="34" t="b">
        <f t="shared" si="6"/>
        <v>0</v>
      </c>
      <c r="B22" s="61">
        <f>COMPOSITTIONS!A9</f>
        <v>30</v>
      </c>
      <c r="C22" s="282">
        <f>COMPOSITTIONS!B9</f>
        <v>0.5</v>
      </c>
      <c r="D22" s="284" t="str">
        <f>COMPOSITTIONS!C9</f>
        <v>Cretelle des prés</v>
      </c>
      <c r="E22" s="276">
        <f t="shared" si="3"/>
        <v>5.0000000000000001E-4</v>
      </c>
      <c r="F22" s="278" t="e">
        <f>(#REF!+O22+AE22+AJ22+AP22+AV22+BB22+BH22+X22)</f>
        <v>#REF!</v>
      </c>
      <c r="G22" s="271" t="e">
        <f t="shared" si="34"/>
        <v>#REF!</v>
      </c>
      <c r="H22" s="275" t="e">
        <f>(BI22+BC22+AW22+AQ22+AK22+AF22+P22)</f>
        <v>#VALUE!</v>
      </c>
      <c r="I22" s="271" t="e">
        <f t="shared" si="35"/>
        <v>#VALUE!</v>
      </c>
      <c r="J22" s="56"/>
      <c r="K22" s="56"/>
      <c r="L22" s="56"/>
      <c r="M22" s="144">
        <f t="shared" si="8"/>
        <v>5.0000000000000001E-4</v>
      </c>
      <c r="N22" s="58">
        <f>IF($F$3&lt;&gt;"",(HLOOKUP($F$3,COMPOSITTIONS!$D$2:$AA$66,8,FALSE)),#REF!)</f>
        <v>0</v>
      </c>
      <c r="O22" s="54">
        <f t="shared" si="9"/>
        <v>0</v>
      </c>
      <c r="P22" s="54">
        <f>(O22*1000)/M22</f>
        <v>0</v>
      </c>
      <c r="Q22" s="55" t="e">
        <f>IF(P22=#REF!,"0",(P22/$P$16))</f>
        <v>#REF!</v>
      </c>
      <c r="S22" s="173">
        <f>E22</f>
        <v>5.0000000000000001E-4</v>
      </c>
      <c r="T22" s="57" t="e">
        <f ca="1">IF(T22=#REF!,"0",$J$4/T22)</f>
        <v>#DIV/0!</v>
      </c>
      <c r="U22" s="57" t="e">
        <f t="shared" si="10"/>
        <v>#VALUE!</v>
      </c>
      <c r="V22" s="305" t="e">
        <f>IF($F$4&lt;&gt;"",(HLOOKUP($F$4,COMPOSITTIONS!$D$2:$AA$66,8,FALSE)),#REF!)</f>
        <v>#REF!</v>
      </c>
      <c r="W22" s="278" t="e">
        <f>IF($F$4&lt;&gt;"",(HLOOKUP($F$4,COMPOSITTIONS!$D$2:$AA$66,8,FALSE)),#REF!)</f>
        <v>#REF!</v>
      </c>
      <c r="X22" s="278" t="e">
        <f t="shared" si="11"/>
        <v>#REF!</v>
      </c>
      <c r="Y22" s="57" t="e">
        <f t="shared" si="4"/>
        <v>#REF!</v>
      </c>
      <c r="Z22" s="55" t="e">
        <f>IF(Y22=#REF!,"0",(Y22/$Y$16))</f>
        <v>#REF!</v>
      </c>
      <c r="AB22" s="303" t="str">
        <f>IF($E$6=30,(C22/1000),"")</f>
        <v/>
      </c>
      <c r="AC22" s="282" t="str">
        <f t="shared" si="12"/>
        <v/>
      </c>
      <c r="AD22" s="278" t="str">
        <f t="shared" si="36"/>
        <v/>
      </c>
      <c r="AE22" s="302" t="str">
        <f t="shared" si="5"/>
        <v/>
      </c>
      <c r="AF22" s="278" t="str">
        <f t="shared" si="13"/>
        <v/>
      </c>
      <c r="AH22" s="303" t="str">
        <f>IF($E$7=30,(C22/1000),"")</f>
        <v/>
      </c>
      <c r="AI22" s="206" t="str">
        <f t="shared" si="14"/>
        <v/>
      </c>
      <c r="AJ22" s="278" t="str">
        <f t="shared" si="15"/>
        <v/>
      </c>
      <c r="AK22" s="302" t="str">
        <f t="shared" si="16"/>
        <v/>
      </c>
      <c r="AL22" s="278" t="str">
        <f t="shared" si="17"/>
        <v/>
      </c>
      <c r="AN22" s="303" t="str">
        <f>IF($E$8=30,(C22/1000),"")</f>
        <v/>
      </c>
      <c r="AO22" s="206" t="str">
        <f t="shared" si="18"/>
        <v/>
      </c>
      <c r="AP22" s="278" t="str">
        <f t="shared" si="19"/>
        <v/>
      </c>
      <c r="AQ22" s="302" t="str">
        <f t="shared" si="20"/>
        <v/>
      </c>
      <c r="AR22" s="278" t="str">
        <f t="shared" si="21"/>
        <v/>
      </c>
      <c r="AT22" s="203" t="str">
        <f>IF($E$9=30,(C22/1000),"")</f>
        <v/>
      </c>
      <c r="AU22" s="268" t="str">
        <f t="shared" si="22"/>
        <v/>
      </c>
      <c r="AV22" s="275" t="str">
        <f t="shared" si="23"/>
        <v/>
      </c>
      <c r="AW22" s="292" t="str">
        <f t="shared" si="24"/>
        <v/>
      </c>
      <c r="AX22" s="290" t="str">
        <f t="shared" si="25"/>
        <v/>
      </c>
      <c r="AZ22" s="203" t="str">
        <f>IF($E$10=30,(C22/1000),"")</f>
        <v/>
      </c>
      <c r="BA22" s="267" t="str">
        <f t="shared" si="26"/>
        <v/>
      </c>
      <c r="BB22" s="275" t="str">
        <f t="shared" si="27"/>
        <v/>
      </c>
      <c r="BC22" s="292" t="str">
        <f t="shared" si="28"/>
        <v/>
      </c>
      <c r="BD22" s="290" t="str">
        <f t="shared" si="29"/>
        <v/>
      </c>
      <c r="BF22" s="296" t="str">
        <f>IF($E$11=30,(C22/1000),"")</f>
        <v/>
      </c>
      <c r="BG22" s="267" t="str">
        <f t="shared" si="30"/>
        <v/>
      </c>
      <c r="BH22" s="275" t="str">
        <f t="shared" si="31"/>
        <v/>
      </c>
      <c r="BI22" s="292" t="str">
        <f t="shared" si="32"/>
        <v/>
      </c>
      <c r="BJ22" s="55" t="str">
        <f t="shared" si="33"/>
        <v/>
      </c>
    </row>
    <row r="23" spans="1:62" ht="13.5" customHeight="1" thickBot="1" x14ac:dyDescent="0.3">
      <c r="A23" s="34" t="b">
        <f t="shared" si="6"/>
        <v>0</v>
      </c>
      <c r="B23" s="61">
        <f>COMPOSITTIONS!A10</f>
        <v>31</v>
      </c>
      <c r="C23" s="282">
        <f>COMPOSITTIONS!B10</f>
        <v>1.07</v>
      </c>
      <c r="D23" s="284" t="str">
        <f>COMPOSITTIONS!C10</f>
        <v>Dactyle</v>
      </c>
      <c r="E23" s="276">
        <f t="shared" si="3"/>
        <v>1.07E-3</v>
      </c>
      <c r="F23" s="278" t="e">
        <f>(#REF!+O23+AE23+AJ23+AP23+AV23+BB23+BH23+X23)</f>
        <v>#REF!</v>
      </c>
      <c r="G23" s="271" t="e">
        <f t="shared" si="34"/>
        <v>#REF!</v>
      </c>
      <c r="H23" s="275" t="e">
        <f>(BI23+BC23+AW23+AQ23+AK23+AF23+P23)</f>
        <v>#VALUE!</v>
      </c>
      <c r="I23" s="271" t="e">
        <f t="shared" si="35"/>
        <v>#VALUE!</v>
      </c>
      <c r="J23" s="56"/>
      <c r="K23" s="56"/>
      <c r="L23" s="56"/>
      <c r="M23" s="144">
        <f t="shared" si="8"/>
        <v>1.07E-3</v>
      </c>
      <c r="N23" s="58">
        <f>IF($F$3&lt;&gt;"",(HLOOKUP($F$3,COMPOSITTIONS!$D$2:$AA$66,9,FALSE)),"")</f>
        <v>25</v>
      </c>
      <c r="O23" s="54">
        <f t="shared" si="9"/>
        <v>1.25</v>
      </c>
      <c r="P23" s="54">
        <f>(O23*1000)/M23</f>
        <v>1168224.2990654206</v>
      </c>
      <c r="Q23" s="55" t="e">
        <f>IF(P23=#REF!,"0",(P23/$P$16))</f>
        <v>#REF!</v>
      </c>
      <c r="S23" s="173">
        <f>E23</f>
        <v>1.07E-3</v>
      </c>
      <c r="T23" s="57" t="e">
        <f ca="1">IF(T23=#REF!,"0",$J$4/T23)</f>
        <v>#DIV/0!</v>
      </c>
      <c r="U23" s="57" t="e">
        <f t="shared" si="10"/>
        <v>#VALUE!</v>
      </c>
      <c r="V23" s="305" t="e">
        <f>IF($F$4&lt;&gt;"",(HLOOKUP($F$4,COMPOSITTIONS!$D$2:$AA$66,9,FALSE)),#REF!)</f>
        <v>#REF!</v>
      </c>
      <c r="W23" s="278" t="e">
        <f>IF($F$4&lt;&gt;"",(HLOOKUP($F$4,COMPOSITTIONS!$D$2:$AA$66,9,FALSE)),#REF!)</f>
        <v>#REF!</v>
      </c>
      <c r="X23" s="278" t="e">
        <f t="shared" si="11"/>
        <v>#REF!</v>
      </c>
      <c r="Y23" s="57" t="e">
        <f t="shared" si="4"/>
        <v>#REF!</v>
      </c>
      <c r="Z23" s="55" t="e">
        <f>IF(Y23=#REF!,"0",(Y23/$Y$16))</f>
        <v>#REF!</v>
      </c>
      <c r="AB23" s="303" t="str">
        <f>IF($E$6=31,(C23/1000),"")</f>
        <v/>
      </c>
      <c r="AC23" s="282" t="str">
        <f t="shared" si="12"/>
        <v/>
      </c>
      <c r="AD23" s="278" t="str">
        <f t="shared" si="36"/>
        <v/>
      </c>
      <c r="AE23" s="302" t="str">
        <f t="shared" si="5"/>
        <v/>
      </c>
      <c r="AF23" s="278" t="str">
        <f t="shared" si="13"/>
        <v/>
      </c>
      <c r="AH23" s="303" t="str">
        <f>IF($E$7=31,(C23/1000),"")</f>
        <v/>
      </c>
      <c r="AI23" s="206" t="str">
        <f t="shared" si="14"/>
        <v/>
      </c>
      <c r="AJ23" s="278" t="str">
        <f t="shared" si="15"/>
        <v/>
      </c>
      <c r="AK23" s="302" t="str">
        <f t="shared" si="16"/>
        <v/>
      </c>
      <c r="AL23" s="278" t="str">
        <f t="shared" si="17"/>
        <v/>
      </c>
      <c r="AN23" s="303" t="str">
        <f>IF($E$8=31,(C23/1000),"")</f>
        <v/>
      </c>
      <c r="AO23" s="206" t="str">
        <f t="shared" si="18"/>
        <v/>
      </c>
      <c r="AP23" s="278" t="str">
        <f t="shared" si="19"/>
        <v/>
      </c>
      <c r="AQ23" s="302" t="str">
        <f t="shared" si="20"/>
        <v/>
      </c>
      <c r="AR23" s="278" t="str">
        <f t="shared" si="21"/>
        <v/>
      </c>
      <c r="AT23" s="203" t="str">
        <f>IF($E$9=31,(C23/1000),"")</f>
        <v/>
      </c>
      <c r="AU23" s="268" t="str">
        <f t="shared" si="22"/>
        <v/>
      </c>
      <c r="AV23" s="275" t="str">
        <f t="shared" si="23"/>
        <v/>
      </c>
      <c r="AW23" s="292" t="str">
        <f t="shared" si="24"/>
        <v/>
      </c>
      <c r="AX23" s="290" t="str">
        <f t="shared" si="25"/>
        <v/>
      </c>
      <c r="AZ23" s="203" t="str">
        <f>IF($E$10=31,(C23/1000),"")</f>
        <v/>
      </c>
      <c r="BA23" s="267" t="str">
        <f t="shared" si="26"/>
        <v/>
      </c>
      <c r="BB23" s="275" t="str">
        <f t="shared" si="27"/>
        <v/>
      </c>
      <c r="BC23" s="292" t="str">
        <f t="shared" si="28"/>
        <v/>
      </c>
      <c r="BD23" s="290" t="str">
        <f t="shared" si="29"/>
        <v/>
      </c>
      <c r="BF23" s="296" t="str">
        <f>IF($E$11=31,(C23/1000),"")</f>
        <v/>
      </c>
      <c r="BG23" s="267" t="str">
        <f t="shared" si="30"/>
        <v/>
      </c>
      <c r="BH23" s="275" t="str">
        <f t="shared" si="31"/>
        <v/>
      </c>
      <c r="BI23" s="292" t="str">
        <f t="shared" si="32"/>
        <v/>
      </c>
      <c r="BJ23" s="55" t="str">
        <f t="shared" si="33"/>
        <v/>
      </c>
    </row>
    <row r="24" spans="1:62" ht="13.5" customHeight="1" thickBot="1" x14ac:dyDescent="0.3">
      <c r="A24" s="34" t="b">
        <f t="shared" si="6"/>
        <v>0</v>
      </c>
      <c r="B24" s="61">
        <f>COMPOSITTIONS!A11</f>
        <v>32</v>
      </c>
      <c r="C24" s="282">
        <f>COMPOSITTIONS!B11</f>
        <v>16</v>
      </c>
      <c r="D24" s="284" t="str">
        <f>COMPOSITTIONS!C11</f>
        <v>Fenugrec</v>
      </c>
      <c r="E24" s="276">
        <f t="shared" si="3"/>
        <v>1.6E-2</v>
      </c>
      <c r="F24" s="278" t="e">
        <f>(#REF!+O24+AE24+AJ24+AP24+AV24+BB24+BH24+X24)</f>
        <v>#REF!</v>
      </c>
      <c r="G24" s="271" t="e">
        <f t="shared" si="34"/>
        <v>#REF!</v>
      </c>
      <c r="H24" s="275" t="e">
        <f>(BI24+BC24+AW24+AQ24+AK24+AF24+P24)</f>
        <v>#VALUE!</v>
      </c>
      <c r="I24" s="271" t="e">
        <f t="shared" si="35"/>
        <v>#VALUE!</v>
      </c>
      <c r="J24" s="56"/>
      <c r="K24" s="56"/>
      <c r="L24" s="56"/>
      <c r="M24" s="144">
        <f t="shared" si="8"/>
        <v>1.6E-2</v>
      </c>
      <c r="N24" s="58">
        <f>IF($F$3&lt;&gt;"",(HLOOKUP($F$3,COMPOSITTIONS!$D$2:$AA$66,10,FALSE)),#REF!)</f>
        <v>0</v>
      </c>
      <c r="O24" s="54">
        <f t="shared" si="9"/>
        <v>0</v>
      </c>
      <c r="P24" s="54">
        <f>(O24*1000)/M24</f>
        <v>0</v>
      </c>
      <c r="Q24" s="55" t="e">
        <f>IF(P24=#REF!,"0",(P24/$P$16))</f>
        <v>#REF!</v>
      </c>
      <c r="S24" s="173">
        <f>E24</f>
        <v>1.6E-2</v>
      </c>
      <c r="T24" s="57" t="e">
        <f ca="1">IF(T24=#REF!,"0",$J$4/T24)</f>
        <v>#DIV/0!</v>
      </c>
      <c r="U24" s="57" t="e">
        <f t="shared" si="10"/>
        <v>#VALUE!</v>
      </c>
      <c r="V24" s="305" t="e">
        <f>IF($E$4&gt;10,HLOOKUP($E$4,COMPOSITTIONS!A:V,4,FALSE),#REF!)</f>
        <v>#N/A</v>
      </c>
      <c r="W24" s="278" t="e">
        <f>IF($F$4&lt;&gt;"",(HLOOKUP($F$4,COMPOSITTIONS!$D$2:$AA$66,10,FALSE)),#REF!)</f>
        <v>#REF!</v>
      </c>
      <c r="X24" s="278" t="e">
        <f t="shared" si="11"/>
        <v>#REF!</v>
      </c>
      <c r="Y24" s="57" t="e">
        <f t="shared" si="4"/>
        <v>#REF!</v>
      </c>
      <c r="Z24" s="55" t="e">
        <f>IF(Y24=#REF!,"0",(Y24/$Y$16))</f>
        <v>#REF!</v>
      </c>
      <c r="AB24" s="303" t="str">
        <f>IF($E$6=32,(C24/1000),"")</f>
        <v/>
      </c>
      <c r="AC24" s="282" t="str">
        <f t="shared" si="12"/>
        <v/>
      </c>
      <c r="AD24" s="278" t="str">
        <f t="shared" si="36"/>
        <v/>
      </c>
      <c r="AE24" s="302" t="str">
        <f t="shared" si="5"/>
        <v/>
      </c>
      <c r="AF24" s="278" t="str">
        <f t="shared" si="13"/>
        <v/>
      </c>
      <c r="AH24" s="303" t="str">
        <f>IF($E$7=32,(C24/1000),"")</f>
        <v/>
      </c>
      <c r="AI24" s="206" t="str">
        <f t="shared" si="14"/>
        <v/>
      </c>
      <c r="AJ24" s="278" t="str">
        <f t="shared" si="15"/>
        <v/>
      </c>
      <c r="AK24" s="302" t="str">
        <f t="shared" si="16"/>
        <v/>
      </c>
      <c r="AL24" s="278" t="str">
        <f t="shared" si="17"/>
        <v/>
      </c>
      <c r="AN24" s="303" t="str">
        <f>IF($E$8=32,(C24/1000),"")</f>
        <v/>
      </c>
      <c r="AO24" s="206" t="str">
        <f t="shared" si="18"/>
        <v/>
      </c>
      <c r="AP24" s="278" t="str">
        <f t="shared" si="19"/>
        <v/>
      </c>
      <c r="AQ24" s="302" t="str">
        <f t="shared" si="20"/>
        <v/>
      </c>
      <c r="AR24" s="278" t="str">
        <f t="shared" si="21"/>
        <v/>
      </c>
      <c r="AT24" s="203" t="str">
        <f>IF($E$9=32,(C24/1000),"")</f>
        <v/>
      </c>
      <c r="AU24" s="268" t="str">
        <f t="shared" si="22"/>
        <v/>
      </c>
      <c r="AV24" s="275" t="str">
        <f t="shared" si="23"/>
        <v/>
      </c>
      <c r="AW24" s="292" t="str">
        <f t="shared" si="24"/>
        <v/>
      </c>
      <c r="AX24" s="290" t="str">
        <f t="shared" si="25"/>
        <v/>
      </c>
      <c r="AZ24" s="203" t="str">
        <f>IF($E$10=32,(C24/1000),"")</f>
        <v/>
      </c>
      <c r="BA24" s="267" t="str">
        <f t="shared" si="26"/>
        <v/>
      </c>
      <c r="BB24" s="275" t="str">
        <f t="shared" si="27"/>
        <v/>
      </c>
      <c r="BC24" s="292" t="str">
        <f t="shared" si="28"/>
        <v/>
      </c>
      <c r="BD24" s="290" t="str">
        <f t="shared" si="29"/>
        <v/>
      </c>
      <c r="BF24" s="296" t="str">
        <f>IF($E$11=32,(C24/1000),"")</f>
        <v/>
      </c>
      <c r="BG24" s="267" t="str">
        <f t="shared" si="30"/>
        <v/>
      </c>
      <c r="BH24" s="275" t="str">
        <f t="shared" si="31"/>
        <v/>
      </c>
      <c r="BI24" s="292" t="str">
        <f t="shared" si="32"/>
        <v/>
      </c>
      <c r="BJ24" s="55" t="str">
        <f t="shared" si="33"/>
        <v/>
      </c>
    </row>
    <row r="25" spans="1:62" ht="13.5" customHeight="1" thickBot="1" x14ac:dyDescent="0.3">
      <c r="A25" s="34" t="b">
        <f t="shared" si="6"/>
        <v>0</v>
      </c>
      <c r="B25" s="61">
        <f>COMPOSITTIONS!A12</f>
        <v>33</v>
      </c>
      <c r="C25" s="282">
        <f>COMPOSITTIONS!B12</f>
        <v>2.25</v>
      </c>
      <c r="D25" s="284" t="str">
        <f>COMPOSITTIONS!C12</f>
        <v>Festulolium</v>
      </c>
      <c r="E25" s="276">
        <f t="shared" si="3"/>
        <v>2.2499999999999998E-3</v>
      </c>
      <c r="F25" s="278" t="e">
        <f>(#REF!+O25+AE25+AJ25+AP25+AV25+BB25+BH25+X25)</f>
        <v>#REF!</v>
      </c>
      <c r="G25" s="271" t="e">
        <f t="shared" si="34"/>
        <v>#REF!</v>
      </c>
      <c r="H25" s="275" t="e">
        <f>(BI25+BC25+AW25+AQ25+AK25+AF25+P25)</f>
        <v>#VALUE!</v>
      </c>
      <c r="I25" s="271" t="e">
        <f t="shared" si="35"/>
        <v>#VALUE!</v>
      </c>
      <c r="J25" s="56"/>
      <c r="K25" s="56"/>
      <c r="L25" s="56"/>
      <c r="M25" s="144">
        <f t="shared" si="8"/>
        <v>2.2499999999999998E-3</v>
      </c>
      <c r="N25" s="58">
        <f>IF($F$3&lt;&gt;"",(HLOOKUP($F$3,COMPOSITTIONS!$D$2:$AA$66,11,FALSE)),"")</f>
        <v>0</v>
      </c>
      <c r="O25" s="54">
        <f t="shared" si="9"/>
        <v>0</v>
      </c>
      <c r="P25" s="54">
        <f>(O25*1000)/M25</f>
        <v>0</v>
      </c>
      <c r="Q25" s="55" t="e">
        <f>IF(P25=#REF!,"0",(P25/$P$16))</f>
        <v>#REF!</v>
      </c>
      <c r="S25" s="173">
        <f>E25</f>
        <v>2.2499999999999998E-3</v>
      </c>
      <c r="T25" s="57" t="e">
        <f ca="1">IF(T25=#REF!,"0",$J$4/T25)</f>
        <v>#DIV/0!</v>
      </c>
      <c r="U25" s="57" t="e">
        <f t="shared" si="10"/>
        <v>#VALUE!</v>
      </c>
      <c r="V25" s="305" t="e">
        <f>IF($E$4&gt;10,HLOOKUP($E$4,COMPOSITTIONS!A:V,4,FALSE),#REF!)</f>
        <v>#N/A</v>
      </c>
      <c r="W25" s="278" t="e">
        <f>IF($F$4&lt;&gt;"",(HLOOKUP($F$4,COMPOSITTIONS!$D$2:$AA$66,11,FALSE)),#REF!)</f>
        <v>#REF!</v>
      </c>
      <c r="X25" s="278" t="e">
        <f t="shared" si="11"/>
        <v>#REF!</v>
      </c>
      <c r="Y25" s="57" t="e">
        <f t="shared" si="4"/>
        <v>#REF!</v>
      </c>
      <c r="Z25" s="55" t="e">
        <f>IF(Y25=#REF!,"0",(Y25/$Y$16))</f>
        <v>#REF!</v>
      </c>
      <c r="AB25" s="303" t="str">
        <f>IF($E$6=33,(C25/1000),"")</f>
        <v/>
      </c>
      <c r="AC25" s="282" t="str">
        <f t="shared" si="12"/>
        <v/>
      </c>
      <c r="AD25" s="278" t="str">
        <f t="shared" si="36"/>
        <v/>
      </c>
      <c r="AE25" s="302" t="str">
        <f t="shared" si="5"/>
        <v/>
      </c>
      <c r="AF25" s="278" t="str">
        <f t="shared" si="13"/>
        <v/>
      </c>
      <c r="AH25" s="303" t="str">
        <f>IF($E$7=33,(C25/1000),"")</f>
        <v/>
      </c>
      <c r="AI25" s="206" t="str">
        <f t="shared" si="14"/>
        <v/>
      </c>
      <c r="AJ25" s="278" t="str">
        <f t="shared" si="15"/>
        <v/>
      </c>
      <c r="AK25" s="302" t="str">
        <f t="shared" si="16"/>
        <v/>
      </c>
      <c r="AL25" s="278" t="str">
        <f t="shared" si="17"/>
        <v/>
      </c>
      <c r="AN25" s="303" t="str">
        <f>IF($E$8=33,(C25/1000),"")</f>
        <v/>
      </c>
      <c r="AO25" s="206" t="str">
        <f t="shared" si="18"/>
        <v/>
      </c>
      <c r="AP25" s="278" t="str">
        <f t="shared" si="19"/>
        <v/>
      </c>
      <c r="AQ25" s="302" t="str">
        <f t="shared" si="20"/>
        <v/>
      </c>
      <c r="AR25" s="278" t="str">
        <f t="shared" si="21"/>
        <v/>
      </c>
      <c r="AT25" s="203" t="str">
        <f>IF($E$9=33,(C25/1000),"")</f>
        <v/>
      </c>
      <c r="AU25" s="268" t="str">
        <f t="shared" si="22"/>
        <v/>
      </c>
      <c r="AV25" s="275" t="str">
        <f t="shared" si="23"/>
        <v/>
      </c>
      <c r="AW25" s="292" t="str">
        <f>IF(AT25="","",((AU25*1000)*AV25))</f>
        <v/>
      </c>
      <c r="AX25" s="290" t="str">
        <f t="shared" si="25"/>
        <v/>
      </c>
      <c r="AZ25" s="203" t="str">
        <f>IF($E$10=33,(C25/1000),"")</f>
        <v/>
      </c>
      <c r="BA25" s="267" t="str">
        <f t="shared" si="26"/>
        <v/>
      </c>
      <c r="BB25" s="275" t="str">
        <f t="shared" si="27"/>
        <v/>
      </c>
      <c r="BC25" s="292" t="str">
        <f t="shared" si="28"/>
        <v/>
      </c>
      <c r="BD25" s="290" t="str">
        <f t="shared" si="29"/>
        <v/>
      </c>
      <c r="BF25" s="296" t="str">
        <f>IF($E$11=33,(C25/1000),"")</f>
        <v/>
      </c>
      <c r="BG25" s="267" t="str">
        <f t="shared" si="30"/>
        <v/>
      </c>
      <c r="BH25" s="275" t="str">
        <f t="shared" si="31"/>
        <v/>
      </c>
      <c r="BI25" s="292" t="str">
        <f t="shared" si="32"/>
        <v/>
      </c>
      <c r="BJ25" s="55" t="str">
        <f t="shared" si="33"/>
        <v/>
      </c>
    </row>
    <row r="26" spans="1:62" ht="13.5" customHeight="1" thickBot="1" x14ac:dyDescent="0.3">
      <c r="A26" s="34" t="b">
        <f t="shared" si="6"/>
        <v>0</v>
      </c>
      <c r="B26" s="61">
        <f>COMPOSITTIONS!A13</f>
        <v>34</v>
      </c>
      <c r="C26" s="282">
        <f>COMPOSITTIONS!B13</f>
        <v>2.04</v>
      </c>
      <c r="D26" s="284" t="str">
        <f>COMPOSITTIONS!C13</f>
        <v>Fétuque des prés</v>
      </c>
      <c r="E26" s="276">
        <f t="shared" si="3"/>
        <v>2.0400000000000001E-3</v>
      </c>
      <c r="F26" s="278" t="e">
        <f>(#REF!+O26+AE26+AJ26+AP26+AV26+BB26+BH26+X26)</f>
        <v>#REF!</v>
      </c>
      <c r="G26" s="271" t="e">
        <f t="shared" si="34"/>
        <v>#REF!</v>
      </c>
      <c r="H26" s="275" t="e">
        <f>(BI26+BC26+AW26+AQ26+AK26+AF26+P26)</f>
        <v>#VALUE!</v>
      </c>
      <c r="I26" s="271" t="e">
        <f t="shared" si="35"/>
        <v>#VALUE!</v>
      </c>
      <c r="J26" s="56"/>
      <c r="K26" s="56"/>
      <c r="L26" s="56"/>
      <c r="M26" s="144">
        <f t="shared" si="8"/>
        <v>2.0400000000000001E-3</v>
      </c>
      <c r="N26" s="58">
        <f>IF($F$3&lt;&gt;"",(HLOOKUP($F$3,COMPOSITTIONS!$D$2:$AA$66,12,FALSE)),N8)</f>
        <v>15</v>
      </c>
      <c r="O26" s="54">
        <f t="shared" si="9"/>
        <v>0.75</v>
      </c>
      <c r="P26" s="54">
        <f>(O26*1000)/M26</f>
        <v>367647.0588235294</v>
      </c>
      <c r="Q26" s="55" t="e">
        <f>IF(P26=#REF!,"0",(P26/$P$16))</f>
        <v>#REF!</v>
      </c>
      <c r="S26" s="173">
        <f>E26</f>
        <v>2.0400000000000001E-3</v>
      </c>
      <c r="T26" s="57" t="e">
        <f ca="1">IF(T26=#REF!,"0",$J$4/T26)</f>
        <v>#DIV/0!</v>
      </c>
      <c r="U26" s="57" t="e">
        <f t="shared" si="10"/>
        <v>#VALUE!</v>
      </c>
      <c r="V26" s="305" t="e">
        <f>IF($E$4&gt;10,HLOOKUP($E$4,COMPOSITTIONS!A:V,4,FALSE),#REF!)</f>
        <v>#N/A</v>
      </c>
      <c r="W26" s="278" t="e">
        <f>IF($F$4&lt;&gt;"",(HLOOKUP($F$4,COMPOSITTIONS!$D$2:$AA$66,12,FALSE)),#REF!)</f>
        <v>#REF!</v>
      </c>
      <c r="X26" s="278" t="e">
        <f t="shared" si="11"/>
        <v>#REF!</v>
      </c>
      <c r="Y26" s="57" t="e">
        <f t="shared" si="4"/>
        <v>#REF!</v>
      </c>
      <c r="Z26" s="55" t="e">
        <f>IF(Y26=#REF!,"0",(Y26/$Y$16))</f>
        <v>#REF!</v>
      </c>
      <c r="AB26" s="303" t="str">
        <f>IF($E$6=34,(C26/1000),"")</f>
        <v/>
      </c>
      <c r="AC26" s="282" t="str">
        <f t="shared" si="12"/>
        <v/>
      </c>
      <c r="AD26" s="278" t="str">
        <f t="shared" si="36"/>
        <v/>
      </c>
      <c r="AE26" s="302" t="str">
        <f t="shared" si="5"/>
        <v/>
      </c>
      <c r="AF26" s="278" t="str">
        <f t="shared" si="13"/>
        <v/>
      </c>
      <c r="AH26" s="303" t="str">
        <f>IF($E$7=34,(C26/1000),"")</f>
        <v/>
      </c>
      <c r="AI26" s="206" t="str">
        <f t="shared" si="14"/>
        <v/>
      </c>
      <c r="AJ26" s="278" t="str">
        <f t="shared" si="15"/>
        <v/>
      </c>
      <c r="AK26" s="302" t="str">
        <f t="shared" si="16"/>
        <v/>
      </c>
      <c r="AL26" s="278" t="str">
        <f t="shared" si="17"/>
        <v/>
      </c>
      <c r="AN26" s="303" t="str">
        <f>IF($E$8=34,(C26/1000),"")</f>
        <v/>
      </c>
      <c r="AO26" s="206" t="str">
        <f t="shared" si="18"/>
        <v/>
      </c>
      <c r="AP26" s="278" t="str">
        <f t="shared" si="19"/>
        <v/>
      </c>
      <c r="AQ26" s="302" t="str">
        <f t="shared" si="20"/>
        <v/>
      </c>
      <c r="AR26" s="278" t="str">
        <f t="shared" si="21"/>
        <v/>
      </c>
      <c r="AT26" s="203" t="str">
        <f>IF($E$9=34,(C26/1000),"")</f>
        <v/>
      </c>
      <c r="AU26" s="268" t="str">
        <f t="shared" si="22"/>
        <v/>
      </c>
      <c r="AV26" s="275" t="str">
        <f t="shared" si="23"/>
        <v/>
      </c>
      <c r="AW26" s="292" t="str">
        <f t="shared" si="24"/>
        <v/>
      </c>
      <c r="AX26" s="290" t="str">
        <f t="shared" si="25"/>
        <v/>
      </c>
      <c r="AZ26" s="203" t="str">
        <f>IF($E$10=34,(C26/1000),"")</f>
        <v/>
      </c>
      <c r="BA26" s="267" t="str">
        <f t="shared" si="26"/>
        <v/>
      </c>
      <c r="BB26" s="275" t="str">
        <f t="shared" si="27"/>
        <v/>
      </c>
      <c r="BC26" s="292" t="str">
        <f t="shared" si="28"/>
        <v/>
      </c>
      <c r="BD26" s="290" t="str">
        <f t="shared" si="29"/>
        <v/>
      </c>
      <c r="BF26" s="296" t="str">
        <f>IF($E$11=34,(C26/1000),"")</f>
        <v/>
      </c>
      <c r="BG26" s="267" t="str">
        <f t="shared" si="30"/>
        <v/>
      </c>
      <c r="BH26" s="275" t="str">
        <f t="shared" si="31"/>
        <v/>
      </c>
      <c r="BI26" s="292" t="str">
        <f t="shared" si="32"/>
        <v/>
      </c>
      <c r="BJ26" s="55" t="str">
        <f t="shared" si="33"/>
        <v/>
      </c>
    </row>
    <row r="27" spans="1:62" ht="13.5" customHeight="1" thickBot="1" x14ac:dyDescent="0.3">
      <c r="A27" s="34" t="b">
        <f t="shared" si="6"/>
        <v>0</v>
      </c>
      <c r="B27" s="61">
        <f>COMPOSITTIONS!A14</f>
        <v>35</v>
      </c>
      <c r="C27" s="282">
        <f>COMPOSITTIONS!B14</f>
        <v>2.37</v>
      </c>
      <c r="D27" s="284" t="str">
        <f>COMPOSITTIONS!C14</f>
        <v>Fétuque Elevée</v>
      </c>
      <c r="E27" s="276">
        <f t="shared" si="3"/>
        <v>2.3700000000000001E-3</v>
      </c>
      <c r="F27" s="278" t="e">
        <f>(#REF!+O27+AE27+AJ27+AP27+AV27+BB27+BH27+X27)</f>
        <v>#REF!</v>
      </c>
      <c r="G27" s="271" t="e">
        <f t="shared" si="34"/>
        <v>#REF!</v>
      </c>
      <c r="H27" s="275" t="e">
        <f>(BI27+BC27+AW27+AQ27+AK27+AF27+P27)</f>
        <v>#VALUE!</v>
      </c>
      <c r="I27" s="271" t="e">
        <f t="shared" si="35"/>
        <v>#VALUE!</v>
      </c>
      <c r="J27" s="56"/>
      <c r="K27" s="56"/>
      <c r="L27" s="56"/>
      <c r="M27" s="144">
        <f t="shared" si="8"/>
        <v>2.3700000000000001E-3</v>
      </c>
      <c r="N27" s="58">
        <f>IF($F$3&lt;&gt;"",(HLOOKUP($F$3,COMPOSITTIONS!$D$2:$AA$66,13,FALSE)),#REF!)</f>
        <v>0</v>
      </c>
      <c r="O27" s="54">
        <f t="shared" si="9"/>
        <v>0</v>
      </c>
      <c r="P27" s="54">
        <f>(O27*1000)/M27</f>
        <v>0</v>
      </c>
      <c r="Q27" s="55" t="e">
        <f>IF(P27=#REF!,"0",(P27/$P$16))</f>
        <v>#REF!</v>
      </c>
      <c r="S27" s="173">
        <f>E27</f>
        <v>2.3700000000000001E-3</v>
      </c>
      <c r="T27" s="57" t="e">
        <f ca="1">IF(T27=#REF!,"0",$J$4/T27)</f>
        <v>#DIV/0!</v>
      </c>
      <c r="U27" s="57" t="e">
        <f t="shared" si="10"/>
        <v>#VALUE!</v>
      </c>
      <c r="V27" s="305" t="e">
        <f>IF($E$4&gt;10,HLOOKUP($E$4,COMPOSITTIONS!A:V,4,FALSE),#REF!)</f>
        <v>#N/A</v>
      </c>
      <c r="W27" s="278" t="e">
        <f>IF($F$4&lt;&gt;"",(HLOOKUP($F$4,COMPOSITTIONS!$D$2:$AA$66,13,FALSE)),#REF!)</f>
        <v>#REF!</v>
      </c>
      <c r="X27" s="278" t="e">
        <f t="shared" si="11"/>
        <v>#REF!</v>
      </c>
      <c r="Y27" s="57" t="e">
        <f t="shared" si="4"/>
        <v>#REF!</v>
      </c>
      <c r="Z27" s="55" t="e">
        <f>IF(Y27=#REF!,"0",(Y27/$Y$16))</f>
        <v>#REF!</v>
      </c>
      <c r="AB27" s="303" t="str">
        <f>IF($E$6=35,(C27/1000),"")</f>
        <v/>
      </c>
      <c r="AC27" s="282" t="str">
        <f t="shared" si="12"/>
        <v/>
      </c>
      <c r="AD27" s="278" t="str">
        <f t="shared" si="36"/>
        <v/>
      </c>
      <c r="AE27" s="302" t="str">
        <f t="shared" si="5"/>
        <v/>
      </c>
      <c r="AF27" s="278" t="str">
        <f t="shared" si="13"/>
        <v/>
      </c>
      <c r="AH27" s="303" t="str">
        <f>IF($E$7=35,(C27/1000),"")</f>
        <v/>
      </c>
      <c r="AI27" s="206" t="str">
        <f t="shared" si="14"/>
        <v/>
      </c>
      <c r="AJ27" s="278" t="str">
        <f t="shared" si="15"/>
        <v/>
      </c>
      <c r="AK27" s="302" t="str">
        <f t="shared" si="16"/>
        <v/>
      </c>
      <c r="AL27" s="278" t="str">
        <f t="shared" si="17"/>
        <v/>
      </c>
      <c r="AN27" s="303" t="str">
        <f>IF($E$8=35,(C27/1000),"")</f>
        <v/>
      </c>
      <c r="AO27" s="206" t="str">
        <f t="shared" si="18"/>
        <v/>
      </c>
      <c r="AP27" s="278" t="str">
        <f t="shared" si="19"/>
        <v/>
      </c>
      <c r="AQ27" s="302" t="str">
        <f t="shared" si="20"/>
        <v/>
      </c>
      <c r="AR27" s="278" t="str">
        <f t="shared" si="21"/>
        <v/>
      </c>
      <c r="AT27" s="203" t="str">
        <f>IF($E$9=35,(C27/1000),"")</f>
        <v/>
      </c>
      <c r="AU27" s="268" t="str">
        <f t="shared" si="22"/>
        <v/>
      </c>
      <c r="AV27" s="275" t="str">
        <f t="shared" si="23"/>
        <v/>
      </c>
      <c r="AW27" s="292" t="str">
        <f t="shared" si="24"/>
        <v/>
      </c>
      <c r="AX27" s="290" t="str">
        <f t="shared" si="25"/>
        <v/>
      </c>
      <c r="AZ27" s="203" t="str">
        <f>IF($E$10=35,(C27/1000),"")</f>
        <v/>
      </c>
      <c r="BA27" s="267" t="str">
        <f t="shared" si="26"/>
        <v/>
      </c>
      <c r="BB27" s="275" t="str">
        <f t="shared" si="27"/>
        <v/>
      </c>
      <c r="BC27" s="292" t="str">
        <f t="shared" si="28"/>
        <v/>
      </c>
      <c r="BD27" s="290" t="str">
        <f t="shared" si="29"/>
        <v/>
      </c>
      <c r="BF27" s="296" t="str">
        <f>IF($E$11=35,(C27/1000),"")</f>
        <v/>
      </c>
      <c r="BG27" s="267" t="str">
        <f t="shared" si="30"/>
        <v/>
      </c>
      <c r="BH27" s="275" t="str">
        <f t="shared" si="31"/>
        <v/>
      </c>
      <c r="BI27" s="292" t="str">
        <f t="shared" si="32"/>
        <v/>
      </c>
      <c r="BJ27" s="55" t="str">
        <f t="shared" si="33"/>
        <v/>
      </c>
    </row>
    <row r="28" spans="1:62" ht="13.5" customHeight="1" thickBot="1" x14ac:dyDescent="0.3">
      <c r="A28" s="34" t="b">
        <f t="shared" si="6"/>
        <v>0</v>
      </c>
      <c r="B28" s="61">
        <f>COMPOSITTIONS!A15</f>
        <v>36</v>
      </c>
      <c r="C28" s="282">
        <f>COMPOSITTIONS!B15</f>
        <v>2.1</v>
      </c>
      <c r="D28" s="284" t="str">
        <f>COMPOSITTIONS!C15</f>
        <v>Fétuque rouge</v>
      </c>
      <c r="E28" s="276">
        <f t="shared" si="3"/>
        <v>2.1000000000000003E-3</v>
      </c>
      <c r="F28" s="278" t="e">
        <f>(#REF!+O28+AE28+AJ28+AP28+AV28+BB28+BH28+X28)</f>
        <v>#REF!</v>
      </c>
      <c r="G28" s="271" t="e">
        <f t="shared" si="34"/>
        <v>#REF!</v>
      </c>
      <c r="H28" s="275" t="e">
        <f>(BI28+BC28+AW28+AQ28+AK28+AF28+P28)</f>
        <v>#VALUE!</v>
      </c>
      <c r="I28" s="271" t="e">
        <f t="shared" si="35"/>
        <v>#VALUE!</v>
      </c>
      <c r="J28" s="56"/>
      <c r="K28" s="56"/>
      <c r="L28" s="56"/>
      <c r="M28" s="144">
        <f t="shared" si="8"/>
        <v>2.1000000000000003E-3</v>
      </c>
      <c r="N28" s="58">
        <f>IF($F$3&lt;&gt;"",(HLOOKUP($F$3,COMPOSITTIONS!$D$2:$AA$66,14,FALSE)),#REF!)</f>
        <v>0</v>
      </c>
      <c r="O28" s="54">
        <f t="shared" si="9"/>
        <v>0</v>
      </c>
      <c r="P28" s="54">
        <f>(O28*1000)/M28</f>
        <v>0</v>
      </c>
      <c r="Q28" s="55" t="e">
        <f>IF(P28=#REF!,"0",(P28/$P$16))</f>
        <v>#REF!</v>
      </c>
      <c r="S28" s="173">
        <f>E28</f>
        <v>2.1000000000000003E-3</v>
      </c>
      <c r="T28" s="57" t="e">
        <f ca="1">IF(T28=#REF!,"0",$J$4/T28)</f>
        <v>#DIV/0!</v>
      </c>
      <c r="U28" s="57" t="e">
        <f t="shared" si="10"/>
        <v>#VALUE!</v>
      </c>
      <c r="V28" s="305" t="e">
        <f>IF($E$4&gt;10,HLOOKUP($E$4,COMPOSITTIONS!A:V,4,FALSE),#REF!)</f>
        <v>#N/A</v>
      </c>
      <c r="W28" s="278" t="e">
        <f>IF($F$4&lt;&gt;"",(HLOOKUP($F$4,COMPOSITTIONS!$D$2:$AA$66,14,FALSE)),#REF!)</f>
        <v>#REF!</v>
      </c>
      <c r="X28" s="278" t="e">
        <f t="shared" si="11"/>
        <v>#REF!</v>
      </c>
      <c r="Y28" s="57" t="e">
        <f t="shared" si="4"/>
        <v>#REF!</v>
      </c>
      <c r="Z28" s="55" t="e">
        <f>IF(Y28=#REF!,"0",(Y28/$Y$16))</f>
        <v>#REF!</v>
      </c>
      <c r="AB28" s="303" t="str">
        <f>IF($E$6=36,(C28/1000),"")</f>
        <v/>
      </c>
      <c r="AC28" s="282" t="str">
        <f t="shared" si="12"/>
        <v/>
      </c>
      <c r="AD28" s="278" t="str">
        <f t="shared" si="36"/>
        <v/>
      </c>
      <c r="AE28" s="302" t="str">
        <f t="shared" si="5"/>
        <v/>
      </c>
      <c r="AF28" s="278" t="str">
        <f t="shared" si="13"/>
        <v/>
      </c>
      <c r="AH28" s="303" t="str">
        <f>IF($E$7=36,(C28/1000),"")</f>
        <v/>
      </c>
      <c r="AI28" s="206" t="str">
        <f t="shared" si="14"/>
        <v/>
      </c>
      <c r="AJ28" s="278" t="str">
        <f t="shared" si="15"/>
        <v/>
      </c>
      <c r="AK28" s="302" t="str">
        <f t="shared" si="16"/>
        <v/>
      </c>
      <c r="AL28" s="278" t="str">
        <f t="shared" si="17"/>
        <v/>
      </c>
      <c r="AN28" s="303" t="str">
        <f>IF($E$8=36,(C28/1000),"")</f>
        <v/>
      </c>
      <c r="AO28" s="206" t="str">
        <f t="shared" si="18"/>
        <v/>
      </c>
      <c r="AP28" s="278" t="str">
        <f t="shared" si="19"/>
        <v/>
      </c>
      <c r="AQ28" s="302" t="str">
        <f t="shared" si="20"/>
        <v/>
      </c>
      <c r="AR28" s="278" t="str">
        <f t="shared" si="21"/>
        <v/>
      </c>
      <c r="AT28" s="203" t="str">
        <f>IF($E$9=36,(C28/1000),"")</f>
        <v/>
      </c>
      <c r="AU28" s="268" t="str">
        <f t="shared" si="22"/>
        <v/>
      </c>
      <c r="AV28" s="275" t="str">
        <f t="shared" si="23"/>
        <v/>
      </c>
      <c r="AW28" s="292" t="str">
        <f t="shared" si="24"/>
        <v/>
      </c>
      <c r="AX28" s="290" t="str">
        <f t="shared" si="25"/>
        <v/>
      </c>
      <c r="AZ28" s="203" t="str">
        <f>IF($E$10=36,(C28/1000),"")</f>
        <v/>
      </c>
      <c r="BA28" s="267" t="str">
        <f t="shared" si="26"/>
        <v/>
      </c>
      <c r="BB28" s="275" t="str">
        <f t="shared" si="27"/>
        <v/>
      </c>
      <c r="BC28" s="292" t="str">
        <f t="shared" si="28"/>
        <v/>
      </c>
      <c r="BD28" s="290" t="str">
        <f t="shared" si="29"/>
        <v/>
      </c>
      <c r="BF28" s="296" t="str">
        <f>IF($E$11=36,(C28/1000),"")</f>
        <v/>
      </c>
      <c r="BG28" s="267" t="str">
        <f t="shared" si="30"/>
        <v/>
      </c>
      <c r="BH28" s="275" t="str">
        <f t="shared" si="31"/>
        <v/>
      </c>
      <c r="BI28" s="292" t="str">
        <f t="shared" si="32"/>
        <v/>
      </c>
      <c r="BJ28" s="55" t="str">
        <f t="shared" si="33"/>
        <v/>
      </c>
    </row>
    <row r="29" spans="1:62" ht="13.5" customHeight="1" thickBot="1" x14ac:dyDescent="0.3">
      <c r="A29" s="34" t="b">
        <f t="shared" si="6"/>
        <v>0</v>
      </c>
      <c r="B29" s="61">
        <f>COMPOSITTIONS!A16</f>
        <v>37</v>
      </c>
      <c r="C29" s="282">
        <f>COMPOSITTIONS!B16</f>
        <v>570</v>
      </c>
      <c r="D29" s="284" t="str">
        <f>COMPOSITTIONS!C16</f>
        <v>Feverolle</v>
      </c>
      <c r="E29" s="276">
        <f t="shared" si="3"/>
        <v>0.56999999999999995</v>
      </c>
      <c r="F29" s="278" t="e">
        <f>(#REF!+O29+AE29+AJ29+AP29+AV29+BB29+BH29+X29)</f>
        <v>#REF!</v>
      </c>
      <c r="G29" s="271" t="e">
        <f t="shared" si="34"/>
        <v>#REF!</v>
      </c>
      <c r="H29" s="275" t="e">
        <f>(BI29+BC29+AW29+AQ29+AK29+AF29+P29)</f>
        <v>#VALUE!</v>
      </c>
      <c r="I29" s="271" t="e">
        <f t="shared" si="35"/>
        <v>#VALUE!</v>
      </c>
      <c r="J29" s="56"/>
      <c r="K29" s="56"/>
      <c r="L29" s="56"/>
      <c r="M29" s="144">
        <f t="shared" si="8"/>
        <v>0.56999999999999995</v>
      </c>
      <c r="N29" s="58">
        <f>IF($F$3&lt;&gt;"",(HLOOKUP($F$3,COMPOSITTIONS!$D$2:$AA$66,15,FALSE)),#REF!)</f>
        <v>0</v>
      </c>
      <c r="O29" s="54">
        <f t="shared" si="9"/>
        <v>0</v>
      </c>
      <c r="P29" s="54">
        <f>(O29*1000)/M29</f>
        <v>0</v>
      </c>
      <c r="Q29" s="55" t="e">
        <f>IF(P29=#REF!,"0",(P29/$P$16))</f>
        <v>#REF!</v>
      </c>
      <c r="S29" s="173">
        <f>E29</f>
        <v>0.56999999999999995</v>
      </c>
      <c r="T29" s="57" t="e">
        <f ca="1">IF(T29=#REF!,"0",$J$4/T29)</f>
        <v>#DIV/0!</v>
      </c>
      <c r="U29" s="57" t="e">
        <f t="shared" si="10"/>
        <v>#VALUE!</v>
      </c>
      <c r="V29" s="305" t="e">
        <f>IF($E$4&gt;10,HLOOKUP($E$4,COMPOSITTIONS!A:V,4,FALSE),#REF!)</f>
        <v>#N/A</v>
      </c>
      <c r="W29" s="278" t="e">
        <f>IF($F$4&lt;&gt;"",(HLOOKUP($F$4,COMPOSITTIONS!$D$2:$AA$66,15,FALSE)),#REF!)</f>
        <v>#REF!</v>
      </c>
      <c r="X29" s="278" t="e">
        <f t="shared" si="11"/>
        <v>#REF!</v>
      </c>
      <c r="Y29" s="57" t="e">
        <f t="shared" si="4"/>
        <v>#REF!</v>
      </c>
      <c r="Z29" s="55" t="e">
        <f>IF(Y29=#REF!,"0",(Y29/$Y$16))</f>
        <v>#REF!</v>
      </c>
      <c r="AB29" s="303" t="str">
        <f>IF($E$6=37,(C29/1000),"")</f>
        <v/>
      </c>
      <c r="AC29" s="282" t="str">
        <f t="shared" si="12"/>
        <v/>
      </c>
      <c r="AD29" s="278" t="str">
        <f t="shared" si="36"/>
        <v/>
      </c>
      <c r="AE29" s="302" t="str">
        <f t="shared" si="5"/>
        <v/>
      </c>
      <c r="AF29" s="278" t="str">
        <f t="shared" si="13"/>
        <v/>
      </c>
      <c r="AH29" s="303" t="str">
        <f>IF($E$7=37,(C29/1000),"")</f>
        <v/>
      </c>
      <c r="AI29" s="206" t="str">
        <f t="shared" si="14"/>
        <v/>
      </c>
      <c r="AJ29" s="278" t="str">
        <f t="shared" si="15"/>
        <v/>
      </c>
      <c r="AK29" s="302" t="str">
        <f t="shared" si="16"/>
        <v/>
      </c>
      <c r="AL29" s="278" t="str">
        <f t="shared" si="17"/>
        <v/>
      </c>
      <c r="AN29" s="303" t="str">
        <f>IF($E$8=37,(C29/1000),"")</f>
        <v/>
      </c>
      <c r="AO29" s="206" t="str">
        <f t="shared" si="18"/>
        <v/>
      </c>
      <c r="AP29" s="278" t="str">
        <f t="shared" si="19"/>
        <v/>
      </c>
      <c r="AQ29" s="302" t="str">
        <f t="shared" si="20"/>
        <v/>
      </c>
      <c r="AR29" s="278" t="str">
        <f t="shared" si="21"/>
        <v/>
      </c>
      <c r="AT29" s="203" t="str">
        <f>IF($E$9=37,(C29/1000),"")</f>
        <v/>
      </c>
      <c r="AU29" s="268" t="str">
        <f t="shared" si="22"/>
        <v/>
      </c>
      <c r="AV29" s="275" t="str">
        <f t="shared" si="23"/>
        <v/>
      </c>
      <c r="AW29" s="292" t="str">
        <f t="shared" si="24"/>
        <v/>
      </c>
      <c r="AX29" s="290" t="str">
        <f t="shared" si="25"/>
        <v/>
      </c>
      <c r="AZ29" s="203" t="str">
        <f>IF($E$10=37,(C29/1000),"")</f>
        <v/>
      </c>
      <c r="BA29" s="267" t="str">
        <f t="shared" si="26"/>
        <v/>
      </c>
      <c r="BB29" s="275" t="str">
        <f t="shared" si="27"/>
        <v/>
      </c>
      <c r="BC29" s="292" t="str">
        <f t="shared" si="28"/>
        <v/>
      </c>
      <c r="BD29" s="290" t="str">
        <f t="shared" si="29"/>
        <v/>
      </c>
      <c r="BF29" s="296" t="str">
        <f>IF($E$11=37,(C29/1000),"")</f>
        <v/>
      </c>
      <c r="BG29" s="267" t="str">
        <f t="shared" si="30"/>
        <v/>
      </c>
      <c r="BH29" s="275" t="str">
        <f t="shared" si="31"/>
        <v/>
      </c>
      <c r="BI29" s="292" t="str">
        <f t="shared" si="32"/>
        <v/>
      </c>
      <c r="BJ29" s="55" t="str">
        <f t="shared" si="33"/>
        <v/>
      </c>
    </row>
    <row r="30" spans="1:62" ht="13.5" customHeight="1" thickBot="1" x14ac:dyDescent="0.3">
      <c r="A30" s="34" t="b">
        <f t="shared" si="6"/>
        <v>0</v>
      </c>
      <c r="B30" s="61">
        <f>COMPOSITTIONS!A17</f>
        <v>38</v>
      </c>
      <c r="C30" s="282">
        <f>COMPOSITTIONS!B17</f>
        <v>0.45</v>
      </c>
      <c r="D30" s="284" t="str">
        <f>COMPOSITTIONS!C17</f>
        <v>Fléole des prés</v>
      </c>
      <c r="E30" s="276">
        <f t="shared" si="3"/>
        <v>4.4999999999999999E-4</v>
      </c>
      <c r="F30" s="278" t="e">
        <f>(#REF!+O30+AE30+AJ30+AP30+AV30+BB30+BH30+X30)</f>
        <v>#REF!</v>
      </c>
      <c r="G30" s="271" t="e">
        <f t="shared" si="34"/>
        <v>#REF!</v>
      </c>
      <c r="H30" s="275" t="e">
        <f>(BI30+BC30+AW30+AQ30+AK30+AF30+P30)</f>
        <v>#VALUE!</v>
      </c>
      <c r="I30" s="271" t="e">
        <f t="shared" si="35"/>
        <v>#VALUE!</v>
      </c>
      <c r="J30" s="56"/>
      <c r="K30" s="56"/>
      <c r="L30" s="56"/>
      <c r="M30" s="144">
        <f t="shared" si="8"/>
        <v>4.4999999999999999E-4</v>
      </c>
      <c r="N30" s="58">
        <f>IF($F$3&lt;&gt;"",(HLOOKUP($F$3,COMPOSITTIONS!$D$2:$AA$66,16,FALSE)),#REF!)</f>
        <v>5</v>
      </c>
      <c r="O30" s="54">
        <f t="shared" si="9"/>
        <v>0.25</v>
      </c>
      <c r="P30" s="54">
        <f>(O30*1000)/M30</f>
        <v>555555.55555555562</v>
      </c>
      <c r="Q30" s="55" t="e">
        <f>IF(P30=#REF!,"0",(P30/$P$16))</f>
        <v>#REF!</v>
      </c>
      <c r="S30" s="173">
        <f>E30</f>
        <v>4.4999999999999999E-4</v>
      </c>
      <c r="T30" s="57" t="e">
        <f ca="1">IF(T30=#REF!,"0",$J$4/T30)</f>
        <v>#DIV/0!</v>
      </c>
      <c r="U30" s="57" t="e">
        <f t="shared" si="10"/>
        <v>#VALUE!</v>
      </c>
      <c r="V30" s="305" t="e">
        <f>IF($E$4&gt;10,HLOOKUP($E$4,COMPOSITTIONS!A:V,4,FALSE),#REF!)</f>
        <v>#N/A</v>
      </c>
      <c r="W30" s="278" t="e">
        <f>IF($F$4&lt;&gt;"",(HLOOKUP($F$4,COMPOSITTIONS!$D$2:$AA$66,16,FALSE)),#REF!)</f>
        <v>#REF!</v>
      </c>
      <c r="X30" s="278" t="e">
        <f t="shared" si="11"/>
        <v>#REF!</v>
      </c>
      <c r="Y30" s="57" t="e">
        <f t="shared" si="4"/>
        <v>#REF!</v>
      </c>
      <c r="Z30" s="55" t="e">
        <f>IF(Y30=#REF!,"0",(Y30/$Y$16))</f>
        <v>#REF!</v>
      </c>
      <c r="AB30" s="303" t="str">
        <f>IF($E$6=38,(C30/1000),"")</f>
        <v/>
      </c>
      <c r="AC30" s="282" t="str">
        <f t="shared" si="12"/>
        <v/>
      </c>
      <c r="AD30" s="278" t="str">
        <f t="shared" si="36"/>
        <v/>
      </c>
      <c r="AE30" s="302" t="str">
        <f t="shared" si="5"/>
        <v/>
      </c>
      <c r="AF30" s="278" t="str">
        <f t="shared" si="13"/>
        <v/>
      </c>
      <c r="AH30" s="303" t="str">
        <f>IF($E$7=38,(C30/1000),"")</f>
        <v/>
      </c>
      <c r="AI30" s="206" t="str">
        <f t="shared" si="14"/>
        <v/>
      </c>
      <c r="AJ30" s="278" t="str">
        <f t="shared" si="15"/>
        <v/>
      </c>
      <c r="AK30" s="302" t="str">
        <f t="shared" si="16"/>
        <v/>
      </c>
      <c r="AL30" s="278" t="str">
        <f t="shared" si="17"/>
        <v/>
      </c>
      <c r="AN30" s="303" t="str">
        <f>IF($E$8=38,(C30/1000),"")</f>
        <v/>
      </c>
      <c r="AO30" s="206" t="str">
        <f t="shared" si="18"/>
        <v/>
      </c>
      <c r="AP30" s="278" t="str">
        <f t="shared" si="19"/>
        <v/>
      </c>
      <c r="AQ30" s="302" t="str">
        <f t="shared" si="20"/>
        <v/>
      </c>
      <c r="AR30" s="278" t="str">
        <f t="shared" si="21"/>
        <v/>
      </c>
      <c r="AT30" s="203" t="str">
        <f>IF($E$9=38,(C30/1000),"")</f>
        <v/>
      </c>
      <c r="AU30" s="268" t="str">
        <f t="shared" si="22"/>
        <v/>
      </c>
      <c r="AV30" s="275" t="str">
        <f t="shared" si="23"/>
        <v/>
      </c>
      <c r="AW30" s="292" t="str">
        <f t="shared" si="24"/>
        <v/>
      </c>
      <c r="AX30" s="290" t="str">
        <f t="shared" si="25"/>
        <v/>
      </c>
      <c r="AZ30" s="203" t="str">
        <f>IF($E$10=38,(C30/1000),"")</f>
        <v/>
      </c>
      <c r="BA30" s="267" t="str">
        <f t="shared" si="26"/>
        <v/>
      </c>
      <c r="BB30" s="275" t="str">
        <f t="shared" si="27"/>
        <v/>
      </c>
      <c r="BC30" s="292" t="str">
        <f t="shared" si="28"/>
        <v/>
      </c>
      <c r="BD30" s="290" t="str">
        <f t="shared" si="29"/>
        <v/>
      </c>
      <c r="BF30" s="296" t="str">
        <f>IF($E$11=38,(C30/1000),"")</f>
        <v/>
      </c>
      <c r="BG30" s="267" t="str">
        <f t="shared" si="30"/>
        <v/>
      </c>
      <c r="BH30" s="275" t="str">
        <f t="shared" si="31"/>
        <v/>
      </c>
      <c r="BI30" s="292" t="str">
        <f t="shared" si="32"/>
        <v/>
      </c>
      <c r="BJ30" s="55" t="str">
        <f t="shared" si="33"/>
        <v/>
      </c>
    </row>
    <row r="31" spans="1:62" ht="13.5" customHeight="1" thickBot="1" x14ac:dyDescent="0.3">
      <c r="A31" s="34" t="b">
        <f t="shared" si="6"/>
        <v>0</v>
      </c>
      <c r="B31" s="61">
        <f>COMPOSITTIONS!A18</f>
        <v>39</v>
      </c>
      <c r="C31" s="282">
        <f>COMPOSITTIONS!B18</f>
        <v>200</v>
      </c>
      <c r="D31" s="284" t="str">
        <f>COMPOSITTIONS!C18</f>
        <v>Gesse</v>
      </c>
      <c r="E31" s="276">
        <f t="shared" si="3"/>
        <v>0.2</v>
      </c>
      <c r="F31" s="278" t="e">
        <f>(#REF!+O31+AE31+AJ31+AP31+AV31+BB31+BH31+X31)</f>
        <v>#REF!</v>
      </c>
      <c r="G31" s="271" t="e">
        <f t="shared" si="34"/>
        <v>#REF!</v>
      </c>
      <c r="H31" s="275" t="e">
        <f>(BI31+BC31+AW31+AQ31+AK31+AF31+P31)</f>
        <v>#VALUE!</v>
      </c>
      <c r="I31" s="271" t="e">
        <f t="shared" si="35"/>
        <v>#VALUE!</v>
      </c>
      <c r="J31" s="56"/>
      <c r="K31" s="56"/>
      <c r="L31" s="56"/>
      <c r="M31" s="144">
        <f t="shared" si="8"/>
        <v>0.2</v>
      </c>
      <c r="N31" s="58">
        <f>IF($F$3&lt;&gt;"",(HLOOKUP($F$3,COMPOSITTIONS!$D$2:$AA$66,17,FALSE)),#REF!)</f>
        <v>0</v>
      </c>
      <c r="O31" s="54">
        <f t="shared" si="9"/>
        <v>0</v>
      </c>
      <c r="P31" s="54">
        <f>(O31*1000)/M31</f>
        <v>0</v>
      </c>
      <c r="Q31" s="55" t="e">
        <f>IF(P31=#REF!,"0",(P31/$P$16))</f>
        <v>#REF!</v>
      </c>
      <c r="S31" s="173">
        <f>E31</f>
        <v>0.2</v>
      </c>
      <c r="T31" s="57" t="e">
        <f ca="1">IF(T31=#REF!,"0",$J$4/T31)</f>
        <v>#DIV/0!</v>
      </c>
      <c r="U31" s="57" t="e">
        <f t="shared" si="10"/>
        <v>#VALUE!</v>
      </c>
      <c r="V31" s="305" t="e">
        <f>IF($E$4&gt;10,HLOOKUP($E$4,COMPOSITTIONS!A:V,4,FALSE),#REF!)</f>
        <v>#N/A</v>
      </c>
      <c r="W31" s="278" t="e">
        <f>IF($F$4&lt;&gt;"",(HLOOKUP($F$4,COMPOSITTIONS!$D$2:$AA$66,17,FALSE)),#REF!)</f>
        <v>#REF!</v>
      </c>
      <c r="X31" s="278" t="e">
        <f t="shared" si="11"/>
        <v>#REF!</v>
      </c>
      <c r="Y31" s="57" t="e">
        <f t="shared" si="4"/>
        <v>#REF!</v>
      </c>
      <c r="Z31" s="55" t="e">
        <f>IF(Y31=#REF!,"0",(Y31/$Y$16))</f>
        <v>#REF!</v>
      </c>
      <c r="AB31" s="303" t="str">
        <f>IF($E$6=39,(C31/1000),"")</f>
        <v/>
      </c>
      <c r="AC31" s="282" t="str">
        <f t="shared" si="12"/>
        <v/>
      </c>
      <c r="AD31" s="278" t="str">
        <f t="shared" si="36"/>
        <v/>
      </c>
      <c r="AE31" s="302" t="str">
        <f t="shared" si="5"/>
        <v/>
      </c>
      <c r="AF31" s="278" t="str">
        <f t="shared" si="13"/>
        <v/>
      </c>
      <c r="AH31" s="303" t="str">
        <f>IF($E$7=39,(C31/1000),"")</f>
        <v/>
      </c>
      <c r="AI31" s="206" t="str">
        <f t="shared" si="14"/>
        <v/>
      </c>
      <c r="AJ31" s="278" t="str">
        <f t="shared" si="15"/>
        <v/>
      </c>
      <c r="AK31" s="302" t="str">
        <f t="shared" si="16"/>
        <v/>
      </c>
      <c r="AL31" s="278" t="str">
        <f t="shared" si="17"/>
        <v/>
      </c>
      <c r="AN31" s="303" t="str">
        <f>IF($E$8=39,(C31/1000),"")</f>
        <v/>
      </c>
      <c r="AO31" s="206" t="str">
        <f t="shared" si="18"/>
        <v/>
      </c>
      <c r="AP31" s="278" t="str">
        <f t="shared" si="19"/>
        <v/>
      </c>
      <c r="AQ31" s="302" t="str">
        <f t="shared" si="20"/>
        <v/>
      </c>
      <c r="AR31" s="278" t="str">
        <f t="shared" si="21"/>
        <v/>
      </c>
      <c r="AT31" s="203" t="str">
        <f>IF($E$9=39,(C31/1000),"")</f>
        <v/>
      </c>
      <c r="AU31" s="268" t="str">
        <f t="shared" si="22"/>
        <v/>
      </c>
      <c r="AV31" s="275" t="str">
        <f t="shared" si="23"/>
        <v/>
      </c>
      <c r="AW31" s="292" t="str">
        <f t="shared" si="24"/>
        <v/>
      </c>
      <c r="AX31" s="290" t="str">
        <f t="shared" si="25"/>
        <v/>
      </c>
      <c r="AZ31" s="203" t="str">
        <f>IF($E$10=39,(C31/1000),"")</f>
        <v/>
      </c>
      <c r="BA31" s="267" t="str">
        <f t="shared" si="26"/>
        <v/>
      </c>
      <c r="BB31" s="275" t="str">
        <f t="shared" si="27"/>
        <v/>
      </c>
      <c r="BC31" s="292" t="str">
        <f t="shared" si="28"/>
        <v/>
      </c>
      <c r="BD31" s="290" t="str">
        <f t="shared" si="29"/>
        <v/>
      </c>
      <c r="BF31" s="296" t="str">
        <f>IF($E$11=39,(C31/1000),"")</f>
        <v/>
      </c>
      <c r="BG31" s="267" t="str">
        <f t="shared" si="30"/>
        <v/>
      </c>
      <c r="BH31" s="275" t="str">
        <f t="shared" si="31"/>
        <v/>
      </c>
      <c r="BI31" s="292" t="str">
        <f t="shared" si="32"/>
        <v/>
      </c>
      <c r="BJ31" s="55" t="str">
        <f t="shared" si="33"/>
        <v/>
      </c>
    </row>
    <row r="32" spans="1:62" ht="13.5" customHeight="1" thickBot="1" x14ac:dyDescent="0.3">
      <c r="A32" s="34" t="b">
        <f t="shared" si="6"/>
        <v>0</v>
      </c>
      <c r="B32" s="61">
        <f>COMPOSITTIONS!A19</f>
        <v>40</v>
      </c>
      <c r="C32" s="282">
        <f>COMPOSITTIONS!B19</f>
        <v>23</v>
      </c>
      <c r="D32" s="284" t="str">
        <f>COMPOSITTIONS!C19</f>
        <v>Lentille noire</v>
      </c>
      <c r="E32" s="276">
        <f t="shared" si="3"/>
        <v>2.3E-2</v>
      </c>
      <c r="F32" s="278" t="e">
        <f>(#REF!+O32+AE32+AJ32+AP32+AV32+BB32+BH32+X32)</f>
        <v>#REF!</v>
      </c>
      <c r="G32" s="271" t="e">
        <f t="shared" si="34"/>
        <v>#REF!</v>
      </c>
      <c r="H32" s="275" t="e">
        <f>(BI32+BC32+AW32+AQ32+AK32+AF32+P32)</f>
        <v>#VALUE!</v>
      </c>
      <c r="I32" s="271" t="e">
        <f t="shared" si="35"/>
        <v>#VALUE!</v>
      </c>
      <c r="J32" s="56"/>
      <c r="K32" s="56"/>
      <c r="L32" s="56"/>
      <c r="M32" s="144">
        <f t="shared" si="8"/>
        <v>2.3E-2</v>
      </c>
      <c r="N32" s="58">
        <f>IF($F$3&lt;&gt;"",(HLOOKUP($F$3,COMPOSITTIONS!$D$2:$AA$66,18,FALSE)),#REF!)</f>
        <v>0</v>
      </c>
      <c r="O32" s="54">
        <f t="shared" si="9"/>
        <v>0</v>
      </c>
      <c r="P32" s="54">
        <f>(O32*1000)/M32</f>
        <v>0</v>
      </c>
      <c r="Q32" s="55" t="e">
        <f>IF(P32=#REF!,"0",(P32/$P$16))</f>
        <v>#REF!</v>
      </c>
      <c r="S32" s="173">
        <f>E32</f>
        <v>2.3E-2</v>
      </c>
      <c r="T32" s="57" t="e">
        <f ca="1">IF(T32=#REF!,"0",$J$4/T32)</f>
        <v>#DIV/0!</v>
      </c>
      <c r="U32" s="57" t="e">
        <f t="shared" si="10"/>
        <v>#VALUE!</v>
      </c>
      <c r="V32" s="305" t="e">
        <f>IF($E$4&gt;10,HLOOKUP($E$4,COMPOSITTIONS!A:V,4,FALSE),#REF!)</f>
        <v>#N/A</v>
      </c>
      <c r="W32" s="278" t="e">
        <f>IF($F$4&lt;&gt;"",(HLOOKUP($F$4,COMPOSITTIONS!$D$2:$AA$66,18,FALSE)),#REF!)</f>
        <v>#REF!</v>
      </c>
      <c r="X32" s="278" t="e">
        <f t="shared" si="11"/>
        <v>#REF!</v>
      </c>
      <c r="Y32" s="57" t="e">
        <f t="shared" si="4"/>
        <v>#REF!</v>
      </c>
      <c r="Z32" s="55" t="e">
        <f>IF(Y32=#REF!,"0",(Y32/$Y$16))</f>
        <v>#REF!</v>
      </c>
      <c r="AB32" s="303" t="str">
        <f>IF($E$6=40,(C32/1000),"")</f>
        <v/>
      </c>
      <c r="AC32" s="282" t="str">
        <f t="shared" si="12"/>
        <v/>
      </c>
      <c r="AD32" s="278" t="str">
        <f t="shared" si="36"/>
        <v/>
      </c>
      <c r="AE32" s="302" t="str">
        <f t="shared" si="5"/>
        <v/>
      </c>
      <c r="AF32" s="278" t="str">
        <f t="shared" si="13"/>
        <v/>
      </c>
      <c r="AH32" s="303" t="str">
        <f>IF($E$7=40,(C32/1000),"")</f>
        <v/>
      </c>
      <c r="AI32" s="206" t="str">
        <f t="shared" si="14"/>
        <v/>
      </c>
      <c r="AJ32" s="278" t="str">
        <f t="shared" si="15"/>
        <v/>
      </c>
      <c r="AK32" s="302" t="str">
        <f t="shared" si="16"/>
        <v/>
      </c>
      <c r="AL32" s="278" t="str">
        <f t="shared" si="17"/>
        <v/>
      </c>
      <c r="AN32" s="303" t="str">
        <f>IF($E$8=40,(C32/1000),"")</f>
        <v/>
      </c>
      <c r="AO32" s="206" t="str">
        <f t="shared" si="18"/>
        <v/>
      </c>
      <c r="AP32" s="278" t="str">
        <f t="shared" si="19"/>
        <v/>
      </c>
      <c r="AQ32" s="302" t="str">
        <f t="shared" si="20"/>
        <v/>
      </c>
      <c r="AR32" s="278" t="str">
        <f t="shared" si="21"/>
        <v/>
      </c>
      <c r="AT32" s="203" t="str">
        <f>IF($E$9=40,(C32/1000),"")</f>
        <v/>
      </c>
      <c r="AU32" s="268" t="str">
        <f t="shared" si="22"/>
        <v/>
      </c>
      <c r="AV32" s="275" t="str">
        <f t="shared" si="23"/>
        <v/>
      </c>
      <c r="AW32" s="292"/>
      <c r="AX32" s="290" t="str">
        <f t="shared" si="25"/>
        <v/>
      </c>
      <c r="AZ32" s="203" t="str">
        <f>IF($E$10=40,(C32/1000),"")</f>
        <v/>
      </c>
      <c r="BA32" s="267" t="str">
        <f t="shared" si="26"/>
        <v/>
      </c>
      <c r="BB32" s="275" t="str">
        <f t="shared" si="27"/>
        <v/>
      </c>
      <c r="BC32" s="292" t="str">
        <f t="shared" si="28"/>
        <v/>
      </c>
      <c r="BD32" s="290" t="str">
        <f t="shared" si="29"/>
        <v/>
      </c>
      <c r="BF32" s="296" t="str">
        <f>IF($E$11=40,(C32/1000),"")</f>
        <v/>
      </c>
      <c r="BG32" s="267" t="str">
        <f t="shared" si="30"/>
        <v/>
      </c>
      <c r="BH32" s="275" t="str">
        <f t="shared" si="31"/>
        <v/>
      </c>
      <c r="BI32" s="292" t="str">
        <f t="shared" si="32"/>
        <v/>
      </c>
      <c r="BJ32" s="55" t="str">
        <f t="shared" si="33"/>
        <v/>
      </c>
    </row>
    <row r="33" spans="1:62" ht="13.5" customHeight="1" thickBot="1" x14ac:dyDescent="0.3">
      <c r="A33" s="34" t="b">
        <f t="shared" si="6"/>
        <v>0</v>
      </c>
      <c r="B33" s="61">
        <f>COMPOSITTIONS!A20</f>
        <v>41</v>
      </c>
      <c r="C33" s="282">
        <f>COMPOSITTIONS!B20</f>
        <v>2</v>
      </c>
      <c r="D33" s="284" t="str">
        <f>COMPOSITTIONS!C20</f>
        <v>Lin</v>
      </c>
      <c r="E33" s="276">
        <f t="shared" si="3"/>
        <v>2E-3</v>
      </c>
      <c r="F33" s="278" t="e">
        <f>(#REF!+O33+AE33+AJ33+AP33+AV33+BB33+BH33+X33)</f>
        <v>#REF!</v>
      </c>
      <c r="G33" s="271" t="e">
        <f t="shared" si="34"/>
        <v>#REF!</v>
      </c>
      <c r="H33" s="275" t="e">
        <f>(BI33+BC33+AW33+AQ33+AK33+AF33+P33)</f>
        <v>#VALUE!</v>
      </c>
      <c r="I33" s="271" t="e">
        <f t="shared" si="35"/>
        <v>#VALUE!</v>
      </c>
      <c r="J33" s="56"/>
      <c r="K33" s="56"/>
      <c r="L33" s="56"/>
      <c r="M33" s="144">
        <f t="shared" si="8"/>
        <v>2E-3</v>
      </c>
      <c r="N33" s="58">
        <f>IF($F$3&lt;&gt;"",(HLOOKUP($F$3,COMPOSITTIONS!$D$2:$AA$66,19,FALSE)),#REF!)</f>
        <v>0</v>
      </c>
      <c r="O33" s="54">
        <f t="shared" si="9"/>
        <v>0</v>
      </c>
      <c r="P33" s="54">
        <f>(O33*1000)/M33</f>
        <v>0</v>
      </c>
      <c r="Q33" s="55" t="e">
        <f>IF(P33=#REF!,"0",(P33/$P$16))</f>
        <v>#REF!</v>
      </c>
      <c r="S33" s="173">
        <f>E33</f>
        <v>2E-3</v>
      </c>
      <c r="T33" s="57" t="e">
        <f ca="1">IF(T33=#REF!,"0",$J$4/T33)</f>
        <v>#DIV/0!</v>
      </c>
      <c r="U33" s="57" t="e">
        <f t="shared" si="10"/>
        <v>#VALUE!</v>
      </c>
      <c r="V33" s="305" t="e">
        <f>IF($E$4&gt;10,HLOOKUP($E$4,COMPOSITTIONS!A:V,4,FALSE),#REF!)</f>
        <v>#N/A</v>
      </c>
      <c r="W33" s="278" t="e">
        <f>IF($F$4&lt;&gt;"",(HLOOKUP($F$4,COMPOSITTIONS!$D$2:$AA$66,19,FALSE)),#REF!)</f>
        <v>#REF!</v>
      </c>
      <c r="X33" s="278" t="e">
        <f t="shared" si="11"/>
        <v>#REF!</v>
      </c>
      <c r="Y33" s="57" t="e">
        <f t="shared" si="4"/>
        <v>#REF!</v>
      </c>
      <c r="Z33" s="55" t="e">
        <f>IF(Y33=#REF!,"0",(Y33/$Y$16))</f>
        <v>#REF!</v>
      </c>
      <c r="AB33" s="303" t="str">
        <f>IF($E$6=41,(C33/1000),"")</f>
        <v/>
      </c>
      <c r="AC33" s="282" t="str">
        <f t="shared" si="12"/>
        <v/>
      </c>
      <c r="AD33" s="278" t="str">
        <f t="shared" si="36"/>
        <v/>
      </c>
      <c r="AE33" s="302" t="str">
        <f t="shared" si="5"/>
        <v/>
      </c>
      <c r="AF33" s="278" t="str">
        <f t="shared" si="13"/>
        <v/>
      </c>
      <c r="AH33" s="303" t="str">
        <f>IF($E$7=41,(C33/1000),"")</f>
        <v/>
      </c>
      <c r="AI33" s="206" t="str">
        <f t="shared" si="14"/>
        <v/>
      </c>
      <c r="AJ33" s="278" t="str">
        <f t="shared" si="15"/>
        <v/>
      </c>
      <c r="AK33" s="302" t="str">
        <f t="shared" si="16"/>
        <v/>
      </c>
      <c r="AL33" s="278" t="str">
        <f t="shared" si="17"/>
        <v/>
      </c>
      <c r="AN33" s="303" t="str">
        <f>IF($E$8=41,(C33/1000),"")</f>
        <v/>
      </c>
      <c r="AO33" s="206" t="str">
        <f t="shared" si="18"/>
        <v/>
      </c>
      <c r="AP33" s="278" t="str">
        <f t="shared" si="19"/>
        <v/>
      </c>
      <c r="AQ33" s="302" t="str">
        <f t="shared" si="20"/>
        <v/>
      </c>
      <c r="AR33" s="278" t="str">
        <f t="shared" si="21"/>
        <v/>
      </c>
      <c r="AT33" s="203" t="str">
        <f>IF($E$9=41,(C33/1000),"")</f>
        <v/>
      </c>
      <c r="AU33" s="268" t="str">
        <f t="shared" si="22"/>
        <v/>
      </c>
      <c r="AV33" s="275" t="str">
        <f t="shared" si="23"/>
        <v/>
      </c>
      <c r="AW33" s="292" t="str">
        <f t="shared" si="24"/>
        <v/>
      </c>
      <c r="AX33" s="290" t="str">
        <f t="shared" si="25"/>
        <v/>
      </c>
      <c r="AZ33" s="203" t="str">
        <f>IF($E$10=41,(C33/1000),"")</f>
        <v/>
      </c>
      <c r="BA33" s="267" t="str">
        <f t="shared" si="26"/>
        <v/>
      </c>
      <c r="BB33" s="275" t="str">
        <f t="shared" si="27"/>
        <v/>
      </c>
      <c r="BC33" s="292" t="str">
        <f t="shared" si="28"/>
        <v/>
      </c>
      <c r="BD33" s="290" t="str">
        <f t="shared" si="29"/>
        <v/>
      </c>
      <c r="BF33" s="296" t="str">
        <f>IF($E$11=41,(C33/1000),"")</f>
        <v/>
      </c>
      <c r="BG33" s="267" t="str">
        <f t="shared" si="30"/>
        <v/>
      </c>
      <c r="BH33" s="275" t="str">
        <f t="shared" si="31"/>
        <v/>
      </c>
      <c r="BI33" s="292" t="str">
        <f t="shared" si="32"/>
        <v/>
      </c>
      <c r="BJ33" s="55" t="str">
        <f t="shared" si="33"/>
        <v/>
      </c>
    </row>
    <row r="34" spans="1:62" ht="13.5" customHeight="1" thickBot="1" x14ac:dyDescent="0.3">
      <c r="A34" s="34" t="b">
        <f t="shared" si="6"/>
        <v>0</v>
      </c>
      <c r="B34" s="61">
        <f>COMPOSITTIONS!A21</f>
        <v>42</v>
      </c>
      <c r="C34" s="282">
        <f>COMPOSITTIONS!B21</f>
        <v>1.2</v>
      </c>
      <c r="D34" s="284" t="str">
        <f>COMPOSITTIONS!C21</f>
        <v>Lotier</v>
      </c>
      <c r="E34" s="276">
        <f t="shared" si="3"/>
        <v>1.1999999999999999E-3</v>
      </c>
      <c r="F34" s="278" t="e">
        <f>(#REF!+O34+AE34+AJ34+AP34+AV34+BB34+BH34+X34)</f>
        <v>#REF!</v>
      </c>
      <c r="G34" s="271" t="e">
        <f t="shared" si="34"/>
        <v>#REF!</v>
      </c>
      <c r="H34" s="275" t="e">
        <f>(BI34+BC34+AW34+AQ34+AK34+AF34+P34)</f>
        <v>#VALUE!</v>
      </c>
      <c r="I34" s="271" t="e">
        <f t="shared" si="35"/>
        <v>#VALUE!</v>
      </c>
      <c r="J34" s="56"/>
      <c r="K34" s="56"/>
      <c r="L34" s="56"/>
      <c r="M34" s="144">
        <f t="shared" si="8"/>
        <v>1.1999999999999999E-3</v>
      </c>
      <c r="N34" s="58">
        <f>IF($F$3&lt;&gt;"",(HLOOKUP($F$3,COMPOSITTIONS!$D$2:$AA$66,20,FALSE)),#REF!)</f>
        <v>0</v>
      </c>
      <c r="O34" s="54">
        <f t="shared" si="9"/>
        <v>0</v>
      </c>
      <c r="P34" s="54">
        <f>(O34*1000)/M34</f>
        <v>0</v>
      </c>
      <c r="Q34" s="55" t="e">
        <f>IF(P34=#REF!,"0",(P34/$P$16))</f>
        <v>#REF!</v>
      </c>
      <c r="S34" s="173">
        <f>E34</f>
        <v>1.1999999999999999E-3</v>
      </c>
      <c r="T34" s="57" t="e">
        <f ca="1">IF(T34=#REF!,"0",$J$4/T34)</f>
        <v>#DIV/0!</v>
      </c>
      <c r="U34" s="57" t="e">
        <f t="shared" si="10"/>
        <v>#VALUE!</v>
      </c>
      <c r="V34" s="305" t="e">
        <f>IF($E$4&gt;10,HLOOKUP($E$4,COMPOSITTIONS!A:V,4,FALSE),#REF!)</f>
        <v>#N/A</v>
      </c>
      <c r="W34" s="278" t="e">
        <f>IF($F$4&lt;&gt;"",(HLOOKUP($F$4,COMPOSITTIONS!$D$2:$AA$66,20,FALSE)),#REF!)</f>
        <v>#REF!</v>
      </c>
      <c r="X34" s="278" t="e">
        <f t="shared" si="11"/>
        <v>#REF!</v>
      </c>
      <c r="Y34" s="57" t="e">
        <f t="shared" si="4"/>
        <v>#REF!</v>
      </c>
      <c r="Z34" s="55" t="e">
        <f>IF(Y34=#REF!,"0",(Y34/$Y$16))</f>
        <v>#REF!</v>
      </c>
      <c r="AB34" s="303" t="str">
        <f>IF($E$6=42,(C34/1000),"")</f>
        <v/>
      </c>
      <c r="AC34" s="282" t="str">
        <f t="shared" si="12"/>
        <v/>
      </c>
      <c r="AD34" s="278" t="str">
        <f t="shared" si="36"/>
        <v/>
      </c>
      <c r="AE34" s="302" t="str">
        <f t="shared" si="5"/>
        <v/>
      </c>
      <c r="AF34" s="278" t="str">
        <f t="shared" si="13"/>
        <v/>
      </c>
      <c r="AH34" s="303" t="str">
        <f>IF($E$7=42,(C34/1000),"")</f>
        <v/>
      </c>
      <c r="AI34" s="206" t="str">
        <f t="shared" si="14"/>
        <v/>
      </c>
      <c r="AJ34" s="278" t="str">
        <f t="shared" si="15"/>
        <v/>
      </c>
      <c r="AK34" s="302" t="str">
        <f t="shared" si="16"/>
        <v/>
      </c>
      <c r="AL34" s="278" t="str">
        <f t="shared" si="17"/>
        <v/>
      </c>
      <c r="AN34" s="303" t="str">
        <f>IF($E$8=42,(C34/1000),"")</f>
        <v/>
      </c>
      <c r="AO34" s="206" t="str">
        <f t="shared" si="18"/>
        <v/>
      </c>
      <c r="AP34" s="278" t="str">
        <f t="shared" si="19"/>
        <v/>
      </c>
      <c r="AQ34" s="302" t="str">
        <f t="shared" si="20"/>
        <v/>
      </c>
      <c r="AR34" s="278" t="str">
        <f t="shared" si="21"/>
        <v/>
      </c>
      <c r="AT34" s="203" t="str">
        <f>IF($E$9=42,(C34/1000),"")</f>
        <v/>
      </c>
      <c r="AU34" s="268" t="str">
        <f t="shared" si="22"/>
        <v/>
      </c>
      <c r="AV34" s="275" t="str">
        <f t="shared" si="23"/>
        <v/>
      </c>
      <c r="AW34" s="292" t="str">
        <f t="shared" si="24"/>
        <v/>
      </c>
      <c r="AX34" s="290" t="str">
        <f t="shared" si="25"/>
        <v/>
      </c>
      <c r="AZ34" s="203" t="str">
        <f>IF($E$10=42,(C34/1000),"")</f>
        <v/>
      </c>
      <c r="BA34" s="267" t="str">
        <f t="shared" si="26"/>
        <v/>
      </c>
      <c r="BB34" s="275" t="str">
        <f t="shared" si="27"/>
        <v/>
      </c>
      <c r="BC34" s="292" t="str">
        <f t="shared" si="28"/>
        <v/>
      </c>
      <c r="BD34" s="290" t="str">
        <f t="shared" si="29"/>
        <v/>
      </c>
      <c r="BF34" s="296" t="str">
        <f>IF($E$11=42,(C34/1000),"")</f>
        <v/>
      </c>
      <c r="BG34" s="267" t="str">
        <f t="shared" si="30"/>
        <v/>
      </c>
      <c r="BH34" s="275" t="str">
        <f t="shared" si="31"/>
        <v/>
      </c>
      <c r="BI34" s="292" t="str">
        <f t="shared" si="32"/>
        <v/>
      </c>
      <c r="BJ34" s="55" t="str">
        <f t="shared" si="33"/>
        <v/>
      </c>
    </row>
    <row r="35" spans="1:62" ht="13.5" customHeight="1" thickBot="1" x14ac:dyDescent="0.3">
      <c r="A35" s="34" t="b">
        <f t="shared" si="6"/>
        <v>0</v>
      </c>
      <c r="B35" s="61">
        <f>COMPOSITTIONS!A22</f>
        <v>43</v>
      </c>
      <c r="C35" s="282">
        <f>COMPOSITTIONS!B22</f>
        <v>2.2000000000000002</v>
      </c>
      <c r="D35" s="284" t="str">
        <f>COMPOSITTIONS!C22</f>
        <v>Luzerne</v>
      </c>
      <c r="E35" s="276">
        <f t="shared" si="3"/>
        <v>2.2000000000000001E-3</v>
      </c>
      <c r="F35" s="278" t="e">
        <f>(#REF!+O35+AE35+AJ35+AP35+AV35+BB35+BH35+X35)</f>
        <v>#REF!</v>
      </c>
      <c r="G35" s="271" t="e">
        <f t="shared" si="34"/>
        <v>#REF!</v>
      </c>
      <c r="H35" s="275" t="e">
        <f>(BI35+BC35+AW35+AQ35+AK35+AF35+P35)</f>
        <v>#VALUE!</v>
      </c>
      <c r="I35" s="271" t="e">
        <f t="shared" si="35"/>
        <v>#VALUE!</v>
      </c>
      <c r="J35" s="56"/>
      <c r="K35" s="56"/>
      <c r="L35" s="56"/>
      <c r="M35" s="144">
        <f t="shared" si="8"/>
        <v>2.2000000000000001E-3</v>
      </c>
      <c r="N35" s="58">
        <f>IF($F$3&lt;&gt;"",(HLOOKUP($F$3,COMPOSITTIONS!$D$2:$AA$66,21,FALSE)),#REF!)</f>
        <v>0</v>
      </c>
      <c r="O35" s="54">
        <f t="shared" si="9"/>
        <v>0</v>
      </c>
      <c r="P35" s="54">
        <f>(O35*1000)/M35</f>
        <v>0</v>
      </c>
      <c r="Q35" s="55" t="e">
        <f>IF(P35=#REF!,"0",(P35/$P$16))</f>
        <v>#REF!</v>
      </c>
      <c r="S35" s="173">
        <f>E35</f>
        <v>2.2000000000000001E-3</v>
      </c>
      <c r="T35" s="57" t="e">
        <f ca="1">IF(T35=#REF!,"0",$J$4/T35)</f>
        <v>#DIV/0!</v>
      </c>
      <c r="U35" s="57" t="e">
        <f t="shared" si="10"/>
        <v>#VALUE!</v>
      </c>
      <c r="V35" s="305" t="e">
        <f>IF($E$4&gt;10,HLOOKUP($E$4,COMPOSITTIONS!A:V,4,FALSE),#REF!)</f>
        <v>#N/A</v>
      </c>
      <c r="W35" s="278" t="e">
        <f>IF($F$4&lt;&gt;"",(HLOOKUP($F$4,COMPOSITTIONS!$D$2:$AA$66,21,FALSE)),#REF!)</f>
        <v>#REF!</v>
      </c>
      <c r="X35" s="278" t="e">
        <f t="shared" si="11"/>
        <v>#REF!</v>
      </c>
      <c r="Y35" s="57" t="e">
        <f t="shared" si="4"/>
        <v>#REF!</v>
      </c>
      <c r="Z35" s="55" t="e">
        <f>IF(Y35=#REF!,"0",(Y35/$Y$16))</f>
        <v>#REF!</v>
      </c>
      <c r="AB35" s="303" t="str">
        <f>IF($E$6=43,(C35/1000),"")</f>
        <v/>
      </c>
      <c r="AC35" s="282" t="str">
        <f t="shared" si="12"/>
        <v/>
      </c>
      <c r="AD35" s="278" t="str">
        <f t="shared" si="36"/>
        <v/>
      </c>
      <c r="AE35" s="302" t="str">
        <f t="shared" si="5"/>
        <v/>
      </c>
      <c r="AF35" s="278" t="str">
        <f t="shared" si="13"/>
        <v/>
      </c>
      <c r="AH35" s="303" t="str">
        <f>IF($E$7=43,(C35/1000),"")</f>
        <v/>
      </c>
      <c r="AI35" s="206" t="str">
        <f t="shared" si="14"/>
        <v/>
      </c>
      <c r="AJ35" s="278" t="str">
        <f t="shared" si="15"/>
        <v/>
      </c>
      <c r="AK35" s="302" t="str">
        <f t="shared" si="16"/>
        <v/>
      </c>
      <c r="AL35" s="278" t="str">
        <f t="shared" si="17"/>
        <v/>
      </c>
      <c r="AN35" s="303" t="str">
        <f>IF($E$8=43,(C35/1000),"")</f>
        <v/>
      </c>
      <c r="AO35" s="206" t="str">
        <f t="shared" si="18"/>
        <v/>
      </c>
      <c r="AP35" s="278" t="str">
        <f t="shared" si="19"/>
        <v/>
      </c>
      <c r="AQ35" s="302" t="str">
        <f t="shared" si="20"/>
        <v/>
      </c>
      <c r="AR35" s="278" t="str">
        <f t="shared" si="21"/>
        <v/>
      </c>
      <c r="AT35" s="203" t="str">
        <f>IF($E$9=43,(C35/1000),"")</f>
        <v/>
      </c>
      <c r="AU35" s="268" t="str">
        <f t="shared" si="22"/>
        <v/>
      </c>
      <c r="AV35" s="275" t="str">
        <f t="shared" si="23"/>
        <v/>
      </c>
      <c r="AW35" s="292" t="str">
        <f t="shared" si="24"/>
        <v/>
      </c>
      <c r="AX35" s="290" t="str">
        <f t="shared" si="25"/>
        <v/>
      </c>
      <c r="AZ35" s="203" t="str">
        <f>IF($E$10=43,(C35/1000),"")</f>
        <v/>
      </c>
      <c r="BA35" s="267" t="str">
        <f t="shared" si="26"/>
        <v/>
      </c>
      <c r="BB35" s="275" t="str">
        <f t="shared" si="27"/>
        <v/>
      </c>
      <c r="BC35" s="292" t="str">
        <f t="shared" si="28"/>
        <v/>
      </c>
      <c r="BD35" s="290" t="str">
        <f t="shared" si="29"/>
        <v/>
      </c>
      <c r="BF35" s="296" t="str">
        <f>IF($E$11=43,(C35/1000),"")</f>
        <v/>
      </c>
      <c r="BG35" s="267" t="str">
        <f t="shared" si="30"/>
        <v/>
      </c>
      <c r="BH35" s="275" t="str">
        <f t="shared" si="31"/>
        <v/>
      </c>
      <c r="BI35" s="292" t="str">
        <f t="shared" si="32"/>
        <v/>
      </c>
      <c r="BJ35" s="55" t="str">
        <f t="shared" si="33"/>
        <v/>
      </c>
    </row>
    <row r="36" spans="1:62" ht="13.5" customHeight="1" thickBot="1" x14ac:dyDescent="0.3">
      <c r="A36" s="34" t="b">
        <f t="shared" si="6"/>
        <v>0</v>
      </c>
      <c r="B36" s="61">
        <f>COMPOSITTIONS!A23</f>
        <v>44</v>
      </c>
      <c r="C36" s="282">
        <f>COMPOSITTIONS!B23</f>
        <v>330</v>
      </c>
      <c r="D36" s="284" t="str">
        <f>COMPOSITTIONS!C23</f>
        <v>Mais</v>
      </c>
      <c r="E36" s="276">
        <f t="shared" si="3"/>
        <v>0.33</v>
      </c>
      <c r="F36" s="278" t="e">
        <f>(#REF!+O36+AE36+AJ36+AP36+AV36+BB36+BH36+X36)</f>
        <v>#REF!</v>
      </c>
      <c r="G36" s="271" t="e">
        <f t="shared" si="34"/>
        <v>#REF!</v>
      </c>
      <c r="H36" s="275" t="e">
        <f>(BI36+BC36+AW36+AQ36+AK36+AF36+P36)</f>
        <v>#VALUE!</v>
      </c>
      <c r="I36" s="271" t="e">
        <f t="shared" si="35"/>
        <v>#VALUE!</v>
      </c>
      <c r="J36" s="56"/>
      <c r="K36" s="56"/>
      <c r="L36" s="56"/>
      <c r="M36" s="144">
        <f t="shared" si="8"/>
        <v>0.33</v>
      </c>
      <c r="N36" s="58">
        <f>IF($F$3&lt;&gt;"",(HLOOKUP($F$3,COMPOSITTIONS!$D$2:$AA$66,22,FALSE)),#REF!)</f>
        <v>0</v>
      </c>
      <c r="O36" s="54">
        <f t="shared" si="9"/>
        <v>0</v>
      </c>
      <c r="P36" s="54">
        <f>(O36*1000)/M36</f>
        <v>0</v>
      </c>
      <c r="Q36" s="55" t="e">
        <f>IF(P36=#REF!,"0",(P36/$P$16))</f>
        <v>#REF!</v>
      </c>
      <c r="S36" s="173">
        <f>E36</f>
        <v>0.33</v>
      </c>
      <c r="T36" s="57" t="e">
        <f ca="1">IF(T36=#REF!,"0",$J$4/T36)</f>
        <v>#DIV/0!</v>
      </c>
      <c r="U36" s="57" t="e">
        <f t="shared" si="10"/>
        <v>#VALUE!</v>
      </c>
      <c r="V36" s="305" t="e">
        <f>IF($E$4&gt;10,HLOOKUP($E$4,COMPOSITTIONS!A:V,4,FALSE),#REF!)</f>
        <v>#N/A</v>
      </c>
      <c r="W36" s="278" t="e">
        <f>IF($F$4&lt;&gt;"",(HLOOKUP($F$4,COMPOSITTIONS!$D$2:$AA$66,22,FALSE)),#REF!)</f>
        <v>#REF!</v>
      </c>
      <c r="X36" s="278" t="e">
        <f t="shared" si="11"/>
        <v>#REF!</v>
      </c>
      <c r="Y36" s="57" t="e">
        <f t="shared" si="4"/>
        <v>#REF!</v>
      </c>
      <c r="Z36" s="55" t="e">
        <f>IF(Y36=#REF!,"0",(Y36/$Y$16))</f>
        <v>#REF!</v>
      </c>
      <c r="AB36" s="303" t="str">
        <f>IF($E$6=44,(C36/1000),"")</f>
        <v/>
      </c>
      <c r="AC36" s="282" t="str">
        <f t="shared" si="12"/>
        <v/>
      </c>
      <c r="AD36" s="278" t="str">
        <f t="shared" si="36"/>
        <v/>
      </c>
      <c r="AE36" s="302" t="str">
        <f t="shared" si="5"/>
        <v/>
      </c>
      <c r="AF36" s="278" t="str">
        <f t="shared" si="13"/>
        <v/>
      </c>
      <c r="AH36" s="303" t="str">
        <f>IF($E$7=44,(C36/1000),"")</f>
        <v/>
      </c>
      <c r="AI36" s="206" t="str">
        <f t="shared" si="14"/>
        <v/>
      </c>
      <c r="AJ36" s="278" t="str">
        <f t="shared" si="15"/>
        <v/>
      </c>
      <c r="AK36" s="302" t="str">
        <f t="shared" si="16"/>
        <v/>
      </c>
      <c r="AL36" s="278" t="str">
        <f t="shared" si="17"/>
        <v/>
      </c>
      <c r="AN36" s="303" t="str">
        <f>IF($E$8=44,(C36/1000),"")</f>
        <v/>
      </c>
      <c r="AO36" s="206" t="str">
        <f t="shared" si="18"/>
        <v/>
      </c>
      <c r="AP36" s="278" t="str">
        <f t="shared" si="19"/>
        <v/>
      </c>
      <c r="AQ36" s="302" t="str">
        <f t="shared" si="20"/>
        <v/>
      </c>
      <c r="AR36" s="278" t="str">
        <f t="shared" si="21"/>
        <v/>
      </c>
      <c r="AT36" s="203" t="str">
        <f>IF($E$9=44,(C36/1000),"")</f>
        <v/>
      </c>
      <c r="AU36" s="268" t="str">
        <f t="shared" si="22"/>
        <v/>
      </c>
      <c r="AV36" s="275" t="str">
        <f t="shared" si="23"/>
        <v/>
      </c>
      <c r="AW36" s="292" t="str">
        <f t="shared" si="24"/>
        <v/>
      </c>
      <c r="AX36" s="290" t="str">
        <f t="shared" si="25"/>
        <v/>
      </c>
      <c r="AZ36" s="203" t="str">
        <f>IF($E$10=44,(C36/1000),"")</f>
        <v/>
      </c>
      <c r="BA36" s="267" t="str">
        <f t="shared" si="26"/>
        <v/>
      </c>
      <c r="BB36" s="275" t="str">
        <f t="shared" si="27"/>
        <v/>
      </c>
      <c r="BC36" s="292" t="str">
        <f t="shared" si="28"/>
        <v/>
      </c>
      <c r="BD36" s="290" t="str">
        <f t="shared" si="29"/>
        <v/>
      </c>
      <c r="BF36" s="296" t="str">
        <f>IF($E$11=44,(C36/1000),"")</f>
        <v/>
      </c>
      <c r="BG36" s="267" t="str">
        <f t="shared" si="30"/>
        <v/>
      </c>
      <c r="BH36" s="275" t="str">
        <f t="shared" si="31"/>
        <v/>
      </c>
      <c r="BI36" s="292" t="str">
        <f t="shared" si="32"/>
        <v/>
      </c>
      <c r="BJ36" s="55" t="str">
        <f t="shared" si="33"/>
        <v/>
      </c>
    </row>
    <row r="37" spans="1:62" ht="13.5" customHeight="1" thickBot="1" x14ac:dyDescent="0.3">
      <c r="A37" s="34" t="b">
        <f t="shared" si="6"/>
        <v>0</v>
      </c>
      <c r="B37" s="61">
        <f>COMPOSITTIONS!A24</f>
        <v>45</v>
      </c>
      <c r="C37" s="282">
        <f>COMPOSITTIONS!B24</f>
        <v>1.8</v>
      </c>
      <c r="D37" s="284" t="str">
        <f>COMPOSITTIONS!C24</f>
        <v>Melilot</v>
      </c>
      <c r="E37" s="276">
        <f t="shared" si="3"/>
        <v>1.8E-3</v>
      </c>
      <c r="F37" s="278" t="e">
        <f>(#REF!+O37+AE37+AJ37+AP37+AV37+BB37+BH37+X37)</f>
        <v>#REF!</v>
      </c>
      <c r="G37" s="271" t="e">
        <f t="shared" si="34"/>
        <v>#REF!</v>
      </c>
      <c r="H37" s="275" t="e">
        <f>(BI37+BC37+AW37+AQ37+AK37+AF37+P37)</f>
        <v>#VALUE!</v>
      </c>
      <c r="I37" s="271" t="e">
        <f t="shared" si="35"/>
        <v>#VALUE!</v>
      </c>
      <c r="J37" s="56"/>
      <c r="K37" s="56"/>
      <c r="L37" s="56"/>
      <c r="M37" s="144">
        <f t="shared" si="8"/>
        <v>1.8E-3</v>
      </c>
      <c r="N37" s="58">
        <f>IF($F$3&lt;&gt;"",(HLOOKUP($F$3,COMPOSITTIONS!$D$2:$AA$66,23,FALSE)),#REF!)</f>
        <v>0</v>
      </c>
      <c r="O37" s="54">
        <f t="shared" si="9"/>
        <v>0</v>
      </c>
      <c r="P37" s="54">
        <f>(O37*1000)/M37</f>
        <v>0</v>
      </c>
      <c r="Q37" s="55" t="e">
        <f>IF(P37=#REF!,"0",(P37/$P$16))</f>
        <v>#REF!</v>
      </c>
      <c r="S37" s="173">
        <f>E37</f>
        <v>1.8E-3</v>
      </c>
      <c r="T37" s="57" t="e">
        <f ca="1">IF(T37=#REF!,"0",$J$4/T37)</f>
        <v>#DIV/0!</v>
      </c>
      <c r="U37" s="57" t="e">
        <f t="shared" si="10"/>
        <v>#VALUE!</v>
      </c>
      <c r="V37" s="305" t="e">
        <f>IF($E$4&gt;10,HLOOKUP($E$4,COMPOSITTIONS!A:V,4,FALSE),#REF!)</f>
        <v>#N/A</v>
      </c>
      <c r="W37" s="278" t="e">
        <f>IF($F$4&lt;&gt;"",(HLOOKUP($F$4,COMPOSITTIONS!$D$2:$AA$66,23,FALSE)),#REF!)</f>
        <v>#REF!</v>
      </c>
      <c r="X37" s="278" t="e">
        <f t="shared" si="11"/>
        <v>#REF!</v>
      </c>
      <c r="Y37" s="57" t="e">
        <f t="shared" si="4"/>
        <v>#REF!</v>
      </c>
      <c r="Z37" s="55" t="e">
        <f>IF(Y37=#REF!,"0",(Y37/$Y$16))</f>
        <v>#REF!</v>
      </c>
      <c r="AB37" s="303" t="str">
        <f>IF($E$6=45,(C37/1000),"")</f>
        <v/>
      </c>
      <c r="AC37" s="282" t="str">
        <f t="shared" si="12"/>
        <v/>
      </c>
      <c r="AD37" s="278" t="str">
        <f t="shared" si="36"/>
        <v/>
      </c>
      <c r="AE37" s="302" t="str">
        <f t="shared" si="5"/>
        <v/>
      </c>
      <c r="AF37" s="278" t="str">
        <f t="shared" si="13"/>
        <v/>
      </c>
      <c r="AH37" s="303" t="str">
        <f>IF($E$7=45,(C37/1000),"")</f>
        <v/>
      </c>
      <c r="AI37" s="206" t="str">
        <f t="shared" si="14"/>
        <v/>
      </c>
      <c r="AJ37" s="278" t="str">
        <f t="shared" si="15"/>
        <v/>
      </c>
      <c r="AK37" s="302" t="str">
        <f t="shared" si="16"/>
        <v/>
      </c>
      <c r="AL37" s="278" t="str">
        <f t="shared" si="17"/>
        <v/>
      </c>
      <c r="AN37" s="303" t="str">
        <f>IF($E$8=45,(C37/1000),"")</f>
        <v/>
      </c>
      <c r="AO37" s="206" t="str">
        <f t="shared" si="18"/>
        <v/>
      </c>
      <c r="AP37" s="278" t="str">
        <f t="shared" si="19"/>
        <v/>
      </c>
      <c r="AQ37" s="302" t="str">
        <f t="shared" si="20"/>
        <v/>
      </c>
      <c r="AR37" s="278" t="str">
        <f t="shared" si="21"/>
        <v/>
      </c>
      <c r="AT37" s="203" t="str">
        <f>IF($E$9=45,(C37/1000),"")</f>
        <v/>
      </c>
      <c r="AU37" s="268" t="str">
        <f t="shared" si="22"/>
        <v/>
      </c>
      <c r="AV37" s="275" t="str">
        <f t="shared" si="23"/>
        <v/>
      </c>
      <c r="AW37" s="292" t="str">
        <f t="shared" si="24"/>
        <v/>
      </c>
      <c r="AX37" s="290" t="str">
        <f t="shared" si="25"/>
        <v/>
      </c>
      <c r="AZ37" s="203" t="str">
        <f>IF($E$10=45,(C37/1000),"")</f>
        <v/>
      </c>
      <c r="BA37" s="267" t="str">
        <f t="shared" si="26"/>
        <v/>
      </c>
      <c r="BB37" s="275" t="str">
        <f t="shared" si="27"/>
        <v/>
      </c>
      <c r="BC37" s="292" t="str">
        <f t="shared" si="28"/>
        <v/>
      </c>
      <c r="BD37" s="290" t="str">
        <f t="shared" si="29"/>
        <v/>
      </c>
      <c r="BF37" s="296" t="str">
        <f>IF($E$11=45,(C37/1000),"")</f>
        <v/>
      </c>
      <c r="BG37" s="267" t="str">
        <f t="shared" si="30"/>
        <v/>
      </c>
      <c r="BH37" s="275" t="str">
        <f t="shared" si="31"/>
        <v/>
      </c>
      <c r="BI37" s="292" t="str">
        <f t="shared" si="32"/>
        <v/>
      </c>
      <c r="BJ37" s="55" t="str">
        <f t="shared" si="33"/>
        <v/>
      </c>
    </row>
    <row r="38" spans="1:62" ht="13.5" customHeight="1" thickBot="1" x14ac:dyDescent="0.3">
      <c r="A38" s="34" t="b">
        <f t="shared" si="6"/>
        <v>0</v>
      </c>
      <c r="B38" s="61">
        <f>COMPOSITTIONS!A25</f>
        <v>46</v>
      </c>
      <c r="C38" s="282">
        <f>COMPOSITTIONS!B25</f>
        <v>1.8</v>
      </c>
      <c r="D38" s="284" t="str">
        <f>COMPOSITTIONS!C25</f>
        <v>Minette</v>
      </c>
      <c r="E38" s="276">
        <f t="shared" si="3"/>
        <v>1.8E-3</v>
      </c>
      <c r="F38" s="278" t="e">
        <f>(#REF!+O38+AE38+AJ38+AP38+AV38+BB38+BH38+X38)</f>
        <v>#REF!</v>
      </c>
      <c r="G38" s="271" t="e">
        <f t="shared" si="34"/>
        <v>#REF!</v>
      </c>
      <c r="H38" s="275" t="e">
        <f>(BI38+BC38+AW38+AQ38+AK38+AF38+P38)</f>
        <v>#VALUE!</v>
      </c>
      <c r="I38" s="271" t="e">
        <f t="shared" si="35"/>
        <v>#VALUE!</v>
      </c>
      <c r="J38" s="56"/>
      <c r="K38" s="56"/>
      <c r="L38" s="56"/>
      <c r="M38" s="144">
        <f t="shared" si="8"/>
        <v>1.8E-3</v>
      </c>
      <c r="N38" s="58">
        <f>IF($F$3&lt;&gt;"",(HLOOKUP($F$3,COMPOSITTIONS!$D$2:$AA$66,24,FALSE)),#REF!)</f>
        <v>0</v>
      </c>
      <c r="O38" s="54">
        <f t="shared" si="9"/>
        <v>0</v>
      </c>
      <c r="P38" s="54">
        <f>(O38*1000)/M38</f>
        <v>0</v>
      </c>
      <c r="Q38" s="55" t="e">
        <f>IF(P38=#REF!,"0",(P38/$P$16))</f>
        <v>#REF!</v>
      </c>
      <c r="S38" s="173">
        <f>E38</f>
        <v>1.8E-3</v>
      </c>
      <c r="T38" s="57" t="e">
        <f ca="1">IF(T38=#REF!,"0",$J$4/T38)</f>
        <v>#DIV/0!</v>
      </c>
      <c r="U38" s="57" t="e">
        <f t="shared" si="10"/>
        <v>#VALUE!</v>
      </c>
      <c r="V38" s="305" t="e">
        <f>IF($E$4&gt;10,HLOOKUP($E$4,COMPOSITTIONS!A:V,4,FALSE),#REF!)</f>
        <v>#N/A</v>
      </c>
      <c r="W38" s="278" t="e">
        <f>IF($F$4&lt;&gt;"",(HLOOKUP($F$4,COMPOSITTIONS!$D$2:$AA$66,24,FALSE)),#REF!)</f>
        <v>#REF!</v>
      </c>
      <c r="X38" s="278" t="e">
        <f t="shared" si="11"/>
        <v>#REF!</v>
      </c>
      <c r="Y38" s="57" t="e">
        <f t="shared" si="4"/>
        <v>#REF!</v>
      </c>
      <c r="Z38" s="55" t="e">
        <f>IF(Y38=#REF!,"0",(Y38/$Y$16))</f>
        <v>#REF!</v>
      </c>
      <c r="AB38" s="303" t="str">
        <f>IF($E$6=46,(C38/1000),"")</f>
        <v/>
      </c>
      <c r="AC38" s="282" t="str">
        <f t="shared" si="12"/>
        <v/>
      </c>
      <c r="AD38" s="278" t="str">
        <f t="shared" si="36"/>
        <v/>
      </c>
      <c r="AE38" s="302" t="str">
        <f t="shared" si="5"/>
        <v/>
      </c>
      <c r="AF38" s="278" t="str">
        <f t="shared" si="13"/>
        <v/>
      </c>
      <c r="AH38" s="303" t="str">
        <f>IF($E$7=46,(C38/1000),"")</f>
        <v/>
      </c>
      <c r="AI38" s="206" t="str">
        <f t="shared" si="14"/>
        <v/>
      </c>
      <c r="AJ38" s="278" t="str">
        <f t="shared" si="15"/>
        <v/>
      </c>
      <c r="AK38" s="302" t="str">
        <f t="shared" si="16"/>
        <v/>
      </c>
      <c r="AL38" s="278" t="str">
        <f t="shared" si="17"/>
        <v/>
      </c>
      <c r="AN38" s="303" t="str">
        <f>IF($E$8=46,(C38/1000),"")</f>
        <v/>
      </c>
      <c r="AO38" s="206" t="str">
        <f t="shared" si="18"/>
        <v/>
      </c>
      <c r="AP38" s="278" t="str">
        <f t="shared" si="19"/>
        <v/>
      </c>
      <c r="AQ38" s="302" t="str">
        <f t="shared" si="20"/>
        <v/>
      </c>
      <c r="AR38" s="278" t="str">
        <f t="shared" si="21"/>
        <v/>
      </c>
      <c r="AT38" s="203" t="str">
        <f>IF($E$9=46,(C38/1000),"")</f>
        <v/>
      </c>
      <c r="AU38" s="268" t="str">
        <f t="shared" si="22"/>
        <v/>
      </c>
      <c r="AV38" s="275" t="str">
        <f t="shared" si="23"/>
        <v/>
      </c>
      <c r="AW38" s="292" t="str">
        <f t="shared" si="24"/>
        <v/>
      </c>
      <c r="AX38" s="290" t="str">
        <f t="shared" si="25"/>
        <v/>
      </c>
      <c r="AZ38" s="203" t="str">
        <f>IF($E$10=46,(C38/1000),"")</f>
        <v/>
      </c>
      <c r="BA38" s="267" t="str">
        <f t="shared" si="26"/>
        <v/>
      </c>
      <c r="BB38" s="275" t="str">
        <f t="shared" si="27"/>
        <v/>
      </c>
      <c r="BC38" s="292" t="str">
        <f t="shared" si="28"/>
        <v/>
      </c>
      <c r="BD38" s="290" t="str">
        <f t="shared" si="29"/>
        <v/>
      </c>
      <c r="BF38" s="296" t="str">
        <f>IF($E$11=46,(C38/1000),"")</f>
        <v/>
      </c>
      <c r="BG38" s="267" t="str">
        <f t="shared" si="30"/>
        <v/>
      </c>
      <c r="BH38" s="275" t="str">
        <f t="shared" si="31"/>
        <v/>
      </c>
      <c r="BI38" s="292" t="str">
        <f t="shared" si="32"/>
        <v/>
      </c>
      <c r="BJ38" s="55" t="str">
        <f t="shared" si="33"/>
        <v/>
      </c>
    </row>
    <row r="39" spans="1:62" ht="13.5" customHeight="1" thickBot="1" x14ac:dyDescent="0.3">
      <c r="A39" s="34" t="b">
        <f t="shared" si="6"/>
        <v>0</v>
      </c>
      <c r="B39" s="61">
        <f>COMPOSITTIONS!A26</f>
        <v>47</v>
      </c>
      <c r="C39" s="282">
        <f>COMPOSITTIONS!B26</f>
        <v>2.5</v>
      </c>
      <c r="D39" s="284" t="str">
        <f>COMPOSITTIONS!C26</f>
        <v>Moha</v>
      </c>
      <c r="E39" s="276">
        <f t="shared" si="3"/>
        <v>2.5000000000000001E-3</v>
      </c>
      <c r="F39" s="278" t="e">
        <f>(#REF!+O39+AE39+AJ39+AP39+AV39+BB39+BH39+X39)</f>
        <v>#REF!</v>
      </c>
      <c r="G39" s="271" t="e">
        <f t="shared" si="34"/>
        <v>#REF!</v>
      </c>
      <c r="H39" s="275" t="e">
        <f>(BI39+BC39+AW39+AQ39+AK39+AF39+P39)</f>
        <v>#VALUE!</v>
      </c>
      <c r="I39" s="271" t="e">
        <f t="shared" si="35"/>
        <v>#VALUE!</v>
      </c>
      <c r="J39" s="56"/>
      <c r="K39" s="56"/>
      <c r="L39" s="56"/>
      <c r="M39" s="144">
        <f t="shared" si="8"/>
        <v>2.5000000000000001E-3</v>
      </c>
      <c r="N39" s="58">
        <f>IF($F$3&lt;&gt;"",(HLOOKUP($F$3,COMPOSITTIONS!$D$2:$AA$66,25,FALSE)),#REF!)</f>
        <v>0</v>
      </c>
      <c r="O39" s="54">
        <f t="shared" si="9"/>
        <v>0</v>
      </c>
      <c r="P39" s="54">
        <f>(O39*1000)/M39</f>
        <v>0</v>
      </c>
      <c r="Q39" s="55" t="e">
        <f>IF(P39=#REF!,"0",(P39/$P$16))</f>
        <v>#REF!</v>
      </c>
      <c r="S39" s="173">
        <f>E39</f>
        <v>2.5000000000000001E-3</v>
      </c>
      <c r="T39" s="57" t="e">
        <f ca="1">IF(T39=#REF!,"0",$J$4/T39)</f>
        <v>#DIV/0!</v>
      </c>
      <c r="U39" s="57" t="e">
        <f t="shared" si="10"/>
        <v>#VALUE!</v>
      </c>
      <c r="V39" s="305" t="e">
        <f>IF($E$4&gt;10,HLOOKUP($E$4,COMPOSITTIONS!A:V,4,FALSE),#REF!)</f>
        <v>#N/A</v>
      </c>
      <c r="W39" s="278" t="e">
        <f>IF($F$4&lt;&gt;"",(HLOOKUP($F$4,COMPOSITTIONS!$D$2:$AA$66,25,FALSE)),#REF!)</f>
        <v>#REF!</v>
      </c>
      <c r="X39" s="278" t="e">
        <f t="shared" si="11"/>
        <v>#REF!</v>
      </c>
      <c r="Y39" s="57" t="e">
        <f t="shared" si="4"/>
        <v>#REF!</v>
      </c>
      <c r="Z39" s="55" t="e">
        <f>IF(Y39=#REF!,"0",(Y39/$Y$16))</f>
        <v>#REF!</v>
      </c>
      <c r="AB39" s="303" t="str">
        <f>IF($E$6=47,(C39/1000),"")</f>
        <v/>
      </c>
      <c r="AC39" s="282" t="str">
        <f t="shared" si="12"/>
        <v/>
      </c>
      <c r="AD39" s="278" t="str">
        <f t="shared" si="36"/>
        <v/>
      </c>
      <c r="AE39" s="302" t="str">
        <f t="shared" si="5"/>
        <v/>
      </c>
      <c r="AF39" s="278" t="str">
        <f t="shared" si="13"/>
        <v/>
      </c>
      <c r="AH39" s="303" t="str">
        <f>IF($E$7=47,(C39/1000),"")</f>
        <v/>
      </c>
      <c r="AI39" s="206" t="str">
        <f t="shared" si="14"/>
        <v/>
      </c>
      <c r="AJ39" s="278" t="str">
        <f t="shared" si="15"/>
        <v/>
      </c>
      <c r="AK39" s="302" t="str">
        <f t="shared" si="16"/>
        <v/>
      </c>
      <c r="AL39" s="278" t="str">
        <f t="shared" si="17"/>
        <v/>
      </c>
      <c r="AN39" s="303" t="str">
        <f>IF($E$8=47,(C39/1000),"")</f>
        <v/>
      </c>
      <c r="AO39" s="206" t="str">
        <f t="shared" si="18"/>
        <v/>
      </c>
      <c r="AP39" s="278" t="str">
        <f t="shared" si="19"/>
        <v/>
      </c>
      <c r="AQ39" s="302" t="str">
        <f t="shared" si="20"/>
        <v/>
      </c>
      <c r="AR39" s="278" t="str">
        <f t="shared" si="21"/>
        <v/>
      </c>
      <c r="AT39" s="203" t="str">
        <f>IF($E$9=47,(C39/1000),"")</f>
        <v/>
      </c>
      <c r="AU39" s="268" t="str">
        <f t="shared" si="22"/>
        <v/>
      </c>
      <c r="AV39" s="275" t="str">
        <f t="shared" si="23"/>
        <v/>
      </c>
      <c r="AW39" s="292" t="str">
        <f t="shared" si="24"/>
        <v/>
      </c>
      <c r="AX39" s="290" t="str">
        <f t="shared" si="25"/>
        <v/>
      </c>
      <c r="AZ39" s="203" t="str">
        <f>IF($E$10=47,(C39/1000),"")</f>
        <v/>
      </c>
      <c r="BA39" s="267" t="str">
        <f t="shared" si="26"/>
        <v/>
      </c>
      <c r="BB39" s="275" t="str">
        <f t="shared" si="27"/>
        <v/>
      </c>
      <c r="BC39" s="292" t="str">
        <f t="shared" si="28"/>
        <v/>
      </c>
      <c r="BD39" s="290" t="str">
        <f t="shared" si="29"/>
        <v/>
      </c>
      <c r="BF39" s="296" t="str">
        <f>IF($E$11=47,(C39/1000),"")</f>
        <v/>
      </c>
      <c r="BG39" s="267" t="str">
        <f t="shared" si="30"/>
        <v/>
      </c>
      <c r="BH39" s="275" t="str">
        <f t="shared" si="31"/>
        <v/>
      </c>
      <c r="BI39" s="292" t="str">
        <f t="shared" si="32"/>
        <v/>
      </c>
      <c r="BJ39" s="55" t="str">
        <f t="shared" si="33"/>
        <v/>
      </c>
    </row>
    <row r="40" spans="1:62" ht="13.5" customHeight="1" thickBot="1" x14ac:dyDescent="0.3">
      <c r="A40" s="34" t="b">
        <f t="shared" si="6"/>
        <v>0</v>
      </c>
      <c r="B40" s="61">
        <f>COMPOSITTIONS!A27</f>
        <v>48</v>
      </c>
      <c r="C40" s="282">
        <f>COMPOSITTIONS!B27</f>
        <v>7</v>
      </c>
      <c r="D40" s="284" t="str">
        <f>COMPOSITTIONS!C27</f>
        <v>Moutarde blanche</v>
      </c>
      <c r="E40" s="276">
        <f t="shared" si="3"/>
        <v>7.0000000000000001E-3</v>
      </c>
      <c r="F40" s="278" t="e">
        <f>(#REF!+O40+AE40+AJ40+AP40+AV40+BB40+BH40+X40)</f>
        <v>#REF!</v>
      </c>
      <c r="G40" s="271" t="e">
        <f t="shared" si="34"/>
        <v>#REF!</v>
      </c>
      <c r="H40" s="275" t="e">
        <f>(BI40+BC40+AW40+AQ40+AK40+AF40+P40)</f>
        <v>#VALUE!</v>
      </c>
      <c r="I40" s="271" t="e">
        <f t="shared" si="35"/>
        <v>#VALUE!</v>
      </c>
      <c r="J40" s="56"/>
      <c r="K40" s="56"/>
      <c r="L40" s="56"/>
      <c r="M40" s="144">
        <f t="shared" si="8"/>
        <v>7.0000000000000001E-3</v>
      </c>
      <c r="N40" s="58">
        <f>IF($F$3&lt;&gt;"",(HLOOKUP($F$3,COMPOSITTIONS!$D$2:$AA$66,26,FALSE)),#REF!)</f>
        <v>0</v>
      </c>
      <c r="O40" s="54">
        <f t="shared" si="9"/>
        <v>0</v>
      </c>
      <c r="P40" s="54">
        <f>(O40*1000)/M40</f>
        <v>0</v>
      </c>
      <c r="Q40" s="55" t="e">
        <f>IF(P40=#REF!,"0",(P40/$P$16))</f>
        <v>#REF!</v>
      </c>
      <c r="S40" s="173">
        <f>E40</f>
        <v>7.0000000000000001E-3</v>
      </c>
      <c r="T40" s="57" t="e">
        <f ca="1">IF(T40=#REF!,"0",$J$4/T40)</f>
        <v>#DIV/0!</v>
      </c>
      <c r="U40" s="57" t="e">
        <f t="shared" si="10"/>
        <v>#VALUE!</v>
      </c>
      <c r="V40" s="305" t="e">
        <f>IF($E$4&gt;10,HLOOKUP($E$4,COMPOSITTIONS!A:V,4,FALSE),#REF!)</f>
        <v>#N/A</v>
      </c>
      <c r="W40" s="278" t="e">
        <f>IF($F$4&lt;&gt;"",(HLOOKUP($F$4,COMPOSITTIONS!$D$2:$AA$66,26,FALSE)),#REF!)</f>
        <v>#REF!</v>
      </c>
      <c r="X40" s="278" t="e">
        <f t="shared" si="11"/>
        <v>#REF!</v>
      </c>
      <c r="Y40" s="57" t="e">
        <f t="shared" si="4"/>
        <v>#REF!</v>
      </c>
      <c r="Z40" s="55" t="e">
        <f>IF(Y40=#REF!,"0",(Y40/$Y$16))</f>
        <v>#REF!</v>
      </c>
      <c r="AB40" s="303" t="str">
        <f>IF($E$6=48,(C40/1000),"")</f>
        <v/>
      </c>
      <c r="AC40" s="282" t="str">
        <f t="shared" si="12"/>
        <v/>
      </c>
      <c r="AD40" s="278" t="str">
        <f t="shared" si="36"/>
        <v/>
      </c>
      <c r="AE40" s="302" t="str">
        <f t="shared" si="5"/>
        <v/>
      </c>
      <c r="AF40" s="278" t="str">
        <f t="shared" si="13"/>
        <v/>
      </c>
      <c r="AH40" s="303" t="str">
        <f>IF($E$7=48,(C40/1000),"")</f>
        <v/>
      </c>
      <c r="AI40" s="206" t="str">
        <f t="shared" si="14"/>
        <v/>
      </c>
      <c r="AJ40" s="278" t="str">
        <f t="shared" si="15"/>
        <v/>
      </c>
      <c r="AK40" s="302" t="str">
        <f t="shared" si="16"/>
        <v/>
      </c>
      <c r="AL40" s="278" t="str">
        <f t="shared" si="17"/>
        <v/>
      </c>
      <c r="AN40" s="303" t="str">
        <f>IF($E$8=48,(C40/1000),"")</f>
        <v/>
      </c>
      <c r="AO40" s="206" t="str">
        <f t="shared" si="18"/>
        <v/>
      </c>
      <c r="AP40" s="278" t="str">
        <f t="shared" si="19"/>
        <v/>
      </c>
      <c r="AQ40" s="302" t="str">
        <f t="shared" si="20"/>
        <v/>
      </c>
      <c r="AR40" s="278" t="str">
        <f t="shared" si="21"/>
        <v/>
      </c>
      <c r="AT40" s="203" t="str">
        <f>IF($E$9=48,(C40/1000),"")</f>
        <v/>
      </c>
      <c r="AU40" s="268" t="str">
        <f t="shared" si="22"/>
        <v/>
      </c>
      <c r="AV40" s="275" t="str">
        <f t="shared" si="23"/>
        <v/>
      </c>
      <c r="AW40" s="292" t="str">
        <f t="shared" si="24"/>
        <v/>
      </c>
      <c r="AX40" s="290" t="str">
        <f t="shared" si="25"/>
        <v/>
      </c>
      <c r="AZ40" s="203" t="str">
        <f>IF($E$10=48,(C40/1000),"")</f>
        <v/>
      </c>
      <c r="BA40" s="267" t="str">
        <f t="shared" si="26"/>
        <v/>
      </c>
      <c r="BB40" s="275" t="str">
        <f t="shared" si="27"/>
        <v/>
      </c>
      <c r="BC40" s="292" t="str">
        <f t="shared" si="28"/>
        <v/>
      </c>
      <c r="BD40" s="290" t="str">
        <f t="shared" si="29"/>
        <v/>
      </c>
      <c r="BF40" s="296" t="str">
        <f>IF($E$11=48,(C40/1000),"")</f>
        <v/>
      </c>
      <c r="BG40" s="267" t="str">
        <f t="shared" si="30"/>
        <v/>
      </c>
      <c r="BH40" s="275" t="str">
        <f t="shared" si="31"/>
        <v/>
      </c>
      <c r="BI40" s="292" t="str">
        <f t="shared" si="32"/>
        <v/>
      </c>
      <c r="BJ40" s="55" t="str">
        <f t="shared" si="33"/>
        <v/>
      </c>
    </row>
    <row r="41" spans="1:62" ht="13.5" customHeight="1" thickBot="1" x14ac:dyDescent="0.3">
      <c r="A41" s="34" t="b">
        <f t="shared" si="6"/>
        <v>0</v>
      </c>
      <c r="B41" s="61">
        <f>COMPOSITTIONS!A28</f>
        <v>49</v>
      </c>
      <c r="C41" s="282">
        <f>COMPOSITTIONS!B28</f>
        <v>5</v>
      </c>
      <c r="D41" s="284" t="str">
        <f>COMPOSITTIONS!C28</f>
        <v>Navette Fourragére</v>
      </c>
      <c r="E41" s="276">
        <f t="shared" si="3"/>
        <v>5.0000000000000001E-3</v>
      </c>
      <c r="F41" s="278" t="e">
        <f>(#REF!+O41+AE41+AJ41+AP41+AV41+BB41+BH41+X41)</f>
        <v>#REF!</v>
      </c>
      <c r="G41" s="271" t="e">
        <f t="shared" si="34"/>
        <v>#REF!</v>
      </c>
      <c r="H41" s="275" t="e">
        <f>(BI41+BC41+AW41+AQ41+AK41+AF41+P41)</f>
        <v>#VALUE!</v>
      </c>
      <c r="I41" s="271" t="e">
        <f t="shared" si="35"/>
        <v>#VALUE!</v>
      </c>
      <c r="J41" s="56"/>
      <c r="K41" s="56"/>
      <c r="L41" s="56"/>
      <c r="M41" s="144">
        <f t="shared" si="8"/>
        <v>5.0000000000000001E-3</v>
      </c>
      <c r="N41" s="58">
        <f>IF($F$3&lt;&gt;"",(HLOOKUP($F$3,COMPOSITTIONS!$D$2:$AA$66,27,FALSE)),#REF!)</f>
        <v>0</v>
      </c>
      <c r="O41" s="54">
        <f t="shared" si="9"/>
        <v>0</v>
      </c>
      <c r="P41" s="54">
        <f>(O41*1000)/M41</f>
        <v>0</v>
      </c>
      <c r="Q41" s="55" t="e">
        <f>IF(P41=#REF!,"0",(P41/$P$16))</f>
        <v>#REF!</v>
      </c>
      <c r="S41" s="173">
        <f>E41</f>
        <v>5.0000000000000001E-3</v>
      </c>
      <c r="T41" s="57" t="e">
        <f ca="1">IF(T41=#REF!,"0",$J$4/T41)</f>
        <v>#DIV/0!</v>
      </c>
      <c r="U41" s="57" t="e">
        <f t="shared" si="10"/>
        <v>#VALUE!</v>
      </c>
      <c r="V41" s="305" t="e">
        <f>IF($E$4&gt;10,HLOOKUP($E$4,COMPOSITTIONS!A:V,4,FALSE),#REF!)</f>
        <v>#N/A</v>
      </c>
      <c r="W41" s="278" t="e">
        <f>IF($F$4&lt;&gt;"",(HLOOKUP($F$4,COMPOSITTIONS!$D$2:$AA$66,27,FALSE)),#REF!)</f>
        <v>#REF!</v>
      </c>
      <c r="X41" s="278" t="e">
        <f t="shared" si="11"/>
        <v>#REF!</v>
      </c>
      <c r="Y41" s="57" t="e">
        <f t="shared" si="4"/>
        <v>#REF!</v>
      </c>
      <c r="Z41" s="55" t="e">
        <f>IF(Y41=#REF!,"0",(Y41/$Y$16))</f>
        <v>#REF!</v>
      </c>
      <c r="AB41" s="303" t="str">
        <f>IF($E$6=49,(C41/1000),"")</f>
        <v/>
      </c>
      <c r="AC41" s="282" t="str">
        <f t="shared" si="12"/>
        <v/>
      </c>
      <c r="AD41" s="278" t="str">
        <f t="shared" si="36"/>
        <v/>
      </c>
      <c r="AE41" s="302" t="str">
        <f t="shared" si="5"/>
        <v/>
      </c>
      <c r="AF41" s="278" t="str">
        <f t="shared" si="13"/>
        <v/>
      </c>
      <c r="AH41" s="303" t="str">
        <f>IF($E$7=49,(C41/1000),"")</f>
        <v/>
      </c>
      <c r="AI41" s="206" t="str">
        <f t="shared" si="14"/>
        <v/>
      </c>
      <c r="AJ41" s="278" t="str">
        <f t="shared" si="15"/>
        <v/>
      </c>
      <c r="AK41" s="302" t="str">
        <f t="shared" si="16"/>
        <v/>
      </c>
      <c r="AL41" s="278" t="str">
        <f t="shared" si="17"/>
        <v/>
      </c>
      <c r="AN41" s="303" t="str">
        <f>IF($E$8=49,(C41/1000),"")</f>
        <v/>
      </c>
      <c r="AO41" s="206" t="str">
        <f t="shared" si="18"/>
        <v/>
      </c>
      <c r="AP41" s="278" t="str">
        <f t="shared" si="19"/>
        <v/>
      </c>
      <c r="AQ41" s="302" t="str">
        <f t="shared" si="20"/>
        <v/>
      </c>
      <c r="AR41" s="278" t="str">
        <f t="shared" si="21"/>
        <v/>
      </c>
      <c r="AT41" s="203" t="str">
        <f>IF($E$9=49,(C41/1000),"")</f>
        <v/>
      </c>
      <c r="AU41" s="268" t="str">
        <f t="shared" si="22"/>
        <v/>
      </c>
      <c r="AV41" s="275" t="str">
        <f t="shared" si="23"/>
        <v/>
      </c>
      <c r="AW41" s="292" t="str">
        <f t="shared" si="24"/>
        <v/>
      </c>
      <c r="AX41" s="290" t="str">
        <f t="shared" si="25"/>
        <v/>
      </c>
      <c r="AZ41" s="203" t="str">
        <f>IF($E$10=49,(C41/1000),"")</f>
        <v/>
      </c>
      <c r="BA41" s="267" t="str">
        <f t="shared" si="26"/>
        <v/>
      </c>
      <c r="BB41" s="275" t="str">
        <f t="shared" si="27"/>
        <v/>
      </c>
      <c r="BC41" s="292" t="str">
        <f t="shared" si="28"/>
        <v/>
      </c>
      <c r="BD41" s="290" t="str">
        <f t="shared" si="29"/>
        <v/>
      </c>
      <c r="BF41" s="296" t="str">
        <f>IF($E$11=49,(C41/1000),"")</f>
        <v/>
      </c>
      <c r="BG41" s="267" t="str">
        <f t="shared" si="30"/>
        <v/>
      </c>
      <c r="BH41" s="275" t="str">
        <f t="shared" si="31"/>
        <v/>
      </c>
      <c r="BI41" s="292" t="str">
        <f t="shared" si="32"/>
        <v/>
      </c>
      <c r="BJ41" s="55" t="str">
        <f t="shared" si="33"/>
        <v/>
      </c>
    </row>
    <row r="42" spans="1:62" ht="13.5" customHeight="1" thickBot="1" x14ac:dyDescent="0.3">
      <c r="A42" s="34" t="b">
        <f t="shared" si="6"/>
        <v>0</v>
      </c>
      <c r="B42" s="61">
        <f>COMPOSITTIONS!A29</f>
        <v>50</v>
      </c>
      <c r="C42" s="282">
        <f>COMPOSITTIONS!B29</f>
        <v>3.2</v>
      </c>
      <c r="D42" s="284" t="str">
        <f>COMPOSITTIONS!C29</f>
        <v>Nyger</v>
      </c>
      <c r="E42" s="276">
        <f t="shared" si="3"/>
        <v>3.2000000000000002E-3</v>
      </c>
      <c r="F42" s="278" t="e">
        <f>(#REF!+O42+AE42+AJ42+AP42+AV42+BB42+BH42+X42)</f>
        <v>#REF!</v>
      </c>
      <c r="G42" s="271" t="e">
        <f t="shared" si="34"/>
        <v>#REF!</v>
      </c>
      <c r="H42" s="275" t="e">
        <f>(BI42+BC42+AW42+AQ42+AK42+AF42+P42)</f>
        <v>#VALUE!</v>
      </c>
      <c r="I42" s="271" t="e">
        <f t="shared" si="35"/>
        <v>#VALUE!</v>
      </c>
      <c r="J42" s="56"/>
      <c r="K42" s="56"/>
      <c r="L42" s="56"/>
      <c r="M42" s="144">
        <f t="shared" si="8"/>
        <v>3.2000000000000002E-3</v>
      </c>
      <c r="N42" s="58">
        <f>IF($F$3&lt;&gt;"",(HLOOKUP($F$3,COMPOSITTIONS!$D$2:$AA$66,28,FALSE)),#REF!)</f>
        <v>0</v>
      </c>
      <c r="O42" s="54">
        <f t="shared" si="9"/>
        <v>0</v>
      </c>
      <c r="P42" s="54">
        <f>(O42*1000)/M42</f>
        <v>0</v>
      </c>
      <c r="Q42" s="55" t="e">
        <f>IF(P42=#REF!,"0",(P42/$P$16))</f>
        <v>#REF!</v>
      </c>
      <c r="S42" s="173">
        <f>E42</f>
        <v>3.2000000000000002E-3</v>
      </c>
      <c r="T42" s="57" t="e">
        <f ca="1">IF(T42=#REF!,"0",$J$4/T42)</f>
        <v>#DIV/0!</v>
      </c>
      <c r="U42" s="57" t="e">
        <f t="shared" si="10"/>
        <v>#VALUE!</v>
      </c>
      <c r="V42" s="305" t="e">
        <f>IF($E$4&gt;10,HLOOKUP($E$4,COMPOSITTIONS!A:V,4,FALSE),#REF!)</f>
        <v>#N/A</v>
      </c>
      <c r="W42" s="278" t="e">
        <f>IF($F$4&lt;&gt;"",(HLOOKUP($F$4,COMPOSITTIONS!$D$2:$AA$66,28,FALSE)),#REF!)</f>
        <v>#REF!</v>
      </c>
      <c r="X42" s="278" t="e">
        <f t="shared" si="11"/>
        <v>#REF!</v>
      </c>
      <c r="Y42" s="57" t="e">
        <f t="shared" si="4"/>
        <v>#REF!</v>
      </c>
      <c r="Z42" s="55" t="e">
        <f>IF(Y42=#REF!,"0",(Y42/$Y$16))</f>
        <v>#REF!</v>
      </c>
      <c r="AB42" s="303" t="str">
        <f>IF($E$6=50,(C42/1000),"")</f>
        <v/>
      </c>
      <c r="AC42" s="282" t="str">
        <f t="shared" si="12"/>
        <v/>
      </c>
      <c r="AD42" s="278" t="str">
        <f t="shared" si="36"/>
        <v/>
      </c>
      <c r="AE42" s="302" t="str">
        <f t="shared" si="5"/>
        <v/>
      </c>
      <c r="AF42" s="278" t="str">
        <f t="shared" si="13"/>
        <v/>
      </c>
      <c r="AH42" s="303" t="str">
        <f>IF($E$7=50,(C42/1000),"")</f>
        <v/>
      </c>
      <c r="AI42" s="206" t="str">
        <f t="shared" si="14"/>
        <v/>
      </c>
      <c r="AJ42" s="278" t="str">
        <f t="shared" si="15"/>
        <v/>
      </c>
      <c r="AK42" s="302" t="str">
        <f t="shared" si="16"/>
        <v/>
      </c>
      <c r="AL42" s="278" t="str">
        <f t="shared" si="17"/>
        <v/>
      </c>
      <c r="AN42" s="303" t="str">
        <f>IF($E$8=50,(C42/1000),"")</f>
        <v/>
      </c>
      <c r="AO42" s="206" t="str">
        <f t="shared" si="18"/>
        <v/>
      </c>
      <c r="AP42" s="278" t="str">
        <f t="shared" si="19"/>
        <v/>
      </c>
      <c r="AQ42" s="302" t="str">
        <f t="shared" si="20"/>
        <v/>
      </c>
      <c r="AR42" s="278" t="str">
        <f t="shared" si="21"/>
        <v/>
      </c>
      <c r="AT42" s="203" t="str">
        <f>IF($E$9=50,(C42/1000),"")</f>
        <v/>
      </c>
      <c r="AU42" s="268" t="str">
        <f t="shared" si="22"/>
        <v/>
      </c>
      <c r="AV42" s="275" t="str">
        <f t="shared" si="23"/>
        <v/>
      </c>
      <c r="AW42" s="292" t="str">
        <f t="shared" si="24"/>
        <v/>
      </c>
      <c r="AX42" s="290" t="str">
        <f t="shared" si="25"/>
        <v/>
      </c>
      <c r="AZ42" s="203" t="str">
        <f>IF($E$10=50,(C42/1000),"")</f>
        <v/>
      </c>
      <c r="BA42" s="267" t="str">
        <f t="shared" si="26"/>
        <v/>
      </c>
      <c r="BB42" s="275" t="str">
        <f t="shared" si="27"/>
        <v/>
      </c>
      <c r="BC42" s="292" t="str">
        <f t="shared" si="28"/>
        <v/>
      </c>
      <c r="BD42" s="290" t="str">
        <f t="shared" si="29"/>
        <v/>
      </c>
      <c r="BF42" s="296" t="str">
        <f>IF($E$11=50,(C42/1000),"")</f>
        <v/>
      </c>
      <c r="BG42" s="267" t="str">
        <f t="shared" si="30"/>
        <v/>
      </c>
      <c r="BH42" s="275" t="str">
        <f t="shared" si="31"/>
        <v/>
      </c>
      <c r="BI42" s="292" t="str">
        <f t="shared" si="32"/>
        <v/>
      </c>
      <c r="BJ42" s="55" t="str">
        <f t="shared" si="33"/>
        <v/>
      </c>
    </row>
    <row r="43" spans="1:62" ht="13.5" customHeight="1" thickBot="1" x14ac:dyDescent="0.3">
      <c r="A43" s="34" t="b">
        <f t="shared" si="6"/>
        <v>0</v>
      </c>
      <c r="B43" s="61">
        <f>COMPOSITTIONS!A30</f>
        <v>51</v>
      </c>
      <c r="C43" s="282">
        <f>COMPOSITTIONS!B30</f>
        <v>0.28999999999999998</v>
      </c>
      <c r="D43" s="284" t="str">
        <f>COMPOSITTIONS!C30</f>
        <v>Pâturin des prés</v>
      </c>
      <c r="E43" s="276">
        <f t="shared" si="3"/>
        <v>2.9E-4</v>
      </c>
      <c r="F43" s="278" t="e">
        <f>(#REF!+O43+AE43+AJ43+AP43+AV43+BB43+BH43+X43)</f>
        <v>#REF!</v>
      </c>
      <c r="G43" s="271" t="e">
        <f t="shared" si="34"/>
        <v>#REF!</v>
      </c>
      <c r="H43" s="275" t="e">
        <f>(BI43+BC43+AW43+AQ43+AK43+AF43+P43)</f>
        <v>#VALUE!</v>
      </c>
      <c r="I43" s="271" t="e">
        <f t="shared" si="35"/>
        <v>#VALUE!</v>
      </c>
      <c r="J43" s="56"/>
      <c r="K43" s="56"/>
      <c r="L43" s="56"/>
      <c r="M43" s="144">
        <f t="shared" si="8"/>
        <v>2.9E-4</v>
      </c>
      <c r="N43" s="58">
        <f>IF($F$3&lt;&gt;"",(HLOOKUP($F$3,COMPOSITTIONS!$D$2:$AA$66,29,FALSE)),#REF!)</f>
        <v>0</v>
      </c>
      <c r="O43" s="54">
        <f t="shared" si="9"/>
        <v>0</v>
      </c>
      <c r="P43" s="54">
        <f>(O43*1000)/M43</f>
        <v>0</v>
      </c>
      <c r="Q43" s="55" t="e">
        <f>IF(P43=#REF!,"0",(P43/$P$16))</f>
        <v>#REF!</v>
      </c>
      <c r="S43" s="173">
        <f>E43</f>
        <v>2.9E-4</v>
      </c>
      <c r="T43" s="57" t="e">
        <f ca="1">IF(T43=#REF!,"0",$J$4/T43)</f>
        <v>#DIV/0!</v>
      </c>
      <c r="U43" s="57" t="e">
        <f t="shared" si="10"/>
        <v>#VALUE!</v>
      </c>
      <c r="V43" s="305" t="e">
        <f>IF($E$4&gt;10,HLOOKUP($E$4,COMPOSITTIONS!A:V,4,FALSE),#REF!)</f>
        <v>#N/A</v>
      </c>
      <c r="W43" s="278" t="e">
        <f>IF($F$4&lt;&gt;"",(HLOOKUP($F$4,COMPOSITTIONS!$D$2:$AA$66,29,FALSE)),#REF!)</f>
        <v>#REF!</v>
      </c>
      <c r="X43" s="278" t="e">
        <f t="shared" si="11"/>
        <v>#REF!</v>
      </c>
      <c r="Y43" s="57" t="e">
        <f t="shared" si="4"/>
        <v>#REF!</v>
      </c>
      <c r="Z43" s="55" t="e">
        <f>IF(Y43=#REF!,"0",(Y43/$Y$16))</f>
        <v>#REF!</v>
      </c>
      <c r="AB43" s="303" t="str">
        <f>IF($E$6=51,(C43/1000),"")</f>
        <v/>
      </c>
      <c r="AC43" s="282" t="str">
        <f t="shared" si="12"/>
        <v/>
      </c>
      <c r="AD43" s="278" t="str">
        <f t="shared" si="36"/>
        <v/>
      </c>
      <c r="AE43" s="302" t="str">
        <f t="shared" si="5"/>
        <v/>
      </c>
      <c r="AF43" s="278" t="str">
        <f t="shared" si="13"/>
        <v/>
      </c>
      <c r="AH43" s="303" t="str">
        <f>IF($E$7=51,(C43/1000),"")</f>
        <v/>
      </c>
      <c r="AI43" s="206" t="str">
        <f t="shared" si="14"/>
        <v/>
      </c>
      <c r="AJ43" s="278" t="str">
        <f t="shared" si="15"/>
        <v/>
      </c>
      <c r="AK43" s="302" t="str">
        <f t="shared" si="16"/>
        <v/>
      </c>
      <c r="AL43" s="278" t="str">
        <f t="shared" si="17"/>
        <v/>
      </c>
      <c r="AN43" s="303" t="str">
        <f>IF($E$8=51,(C43/1000),"")</f>
        <v/>
      </c>
      <c r="AO43" s="206" t="str">
        <f t="shared" si="18"/>
        <v/>
      </c>
      <c r="AP43" s="278" t="str">
        <f t="shared" si="19"/>
        <v/>
      </c>
      <c r="AQ43" s="302" t="str">
        <f t="shared" si="20"/>
        <v/>
      </c>
      <c r="AR43" s="278" t="str">
        <f t="shared" si="21"/>
        <v/>
      </c>
      <c r="AT43" s="203" t="str">
        <f>IF($E$9=51,(C43/1000),"")</f>
        <v/>
      </c>
      <c r="AU43" s="268" t="str">
        <f t="shared" si="22"/>
        <v/>
      </c>
      <c r="AV43" s="275" t="str">
        <f t="shared" si="23"/>
        <v/>
      </c>
      <c r="AW43" s="292" t="str">
        <f t="shared" si="24"/>
        <v/>
      </c>
      <c r="AX43" s="290" t="str">
        <f t="shared" si="25"/>
        <v/>
      </c>
      <c r="AZ43" s="203" t="str">
        <f>IF($E$10=51,(C43/1000),"")</f>
        <v/>
      </c>
      <c r="BA43" s="267" t="str">
        <f t="shared" si="26"/>
        <v/>
      </c>
      <c r="BB43" s="275" t="str">
        <f t="shared" si="27"/>
        <v/>
      </c>
      <c r="BC43" s="292" t="str">
        <f t="shared" si="28"/>
        <v/>
      </c>
      <c r="BD43" s="290" t="str">
        <f t="shared" si="29"/>
        <v/>
      </c>
      <c r="BF43" s="296" t="str">
        <f>IF($E$11=51,(C43/1000),"")</f>
        <v/>
      </c>
      <c r="BG43" s="267" t="str">
        <f t="shared" si="30"/>
        <v/>
      </c>
      <c r="BH43" s="275" t="str">
        <f t="shared" si="31"/>
        <v/>
      </c>
      <c r="BI43" s="292" t="str">
        <f t="shared" si="32"/>
        <v/>
      </c>
      <c r="BJ43" s="55" t="str">
        <f t="shared" si="33"/>
        <v/>
      </c>
    </row>
    <row r="44" spans="1:62" ht="13.5" customHeight="1" thickBot="1" x14ac:dyDescent="0.3">
      <c r="A44" s="34" t="b">
        <f t="shared" si="6"/>
        <v>0</v>
      </c>
      <c r="B44" s="61">
        <f>COMPOSITTIONS!A31</f>
        <v>52</v>
      </c>
      <c r="C44" s="282">
        <f>COMPOSITTIONS!B31</f>
        <v>1.8</v>
      </c>
      <c r="D44" s="284" t="str">
        <f>COMPOSITTIONS!C31</f>
        <v>Phacélie</v>
      </c>
      <c r="E44" s="276">
        <f t="shared" si="3"/>
        <v>1.8E-3</v>
      </c>
      <c r="F44" s="278" t="e">
        <f>(#REF!+O44+AE44+AJ44+AP44+AV44+BB44+BH44+X44)</f>
        <v>#REF!</v>
      </c>
      <c r="G44" s="271" t="e">
        <f t="shared" si="34"/>
        <v>#REF!</v>
      </c>
      <c r="H44" s="275" t="e">
        <f>(BI44+BC44+AW44+AQ44+AK44+AF44+P44)</f>
        <v>#VALUE!</v>
      </c>
      <c r="I44" s="271" t="e">
        <f t="shared" si="35"/>
        <v>#VALUE!</v>
      </c>
      <c r="J44" s="56"/>
      <c r="K44" s="56"/>
      <c r="L44" s="56"/>
      <c r="M44" s="144">
        <f t="shared" si="8"/>
        <v>1.8E-3</v>
      </c>
      <c r="N44" s="58">
        <f>IF($F$3&lt;&gt;"",(HLOOKUP($F$3,COMPOSITTIONS!$D$2:$AA$66,30,FALSE)),#REF!)</f>
        <v>0</v>
      </c>
      <c r="O44" s="54">
        <f t="shared" si="9"/>
        <v>0</v>
      </c>
      <c r="P44" s="54">
        <f>(O44*1000)/M44</f>
        <v>0</v>
      </c>
      <c r="Q44" s="55" t="e">
        <f>IF(P44=#REF!,"0",(P44/$P$16))</f>
        <v>#REF!</v>
      </c>
      <c r="S44" s="173">
        <f>E44</f>
        <v>1.8E-3</v>
      </c>
      <c r="T44" s="57" t="e">
        <f ca="1">IF(T44=#REF!,"0",$J$4/T44)</f>
        <v>#DIV/0!</v>
      </c>
      <c r="U44" s="57" t="e">
        <f t="shared" si="10"/>
        <v>#VALUE!</v>
      </c>
      <c r="V44" s="305" t="e">
        <f>IF($E$4&gt;10,HLOOKUP($E$4,COMPOSITTIONS!A:V,4,FALSE),#REF!)</f>
        <v>#N/A</v>
      </c>
      <c r="W44" s="278" t="e">
        <f>IF($F$4&lt;&gt;"",(HLOOKUP($F$4,COMPOSITTIONS!$D$2:$AA$66,30,FALSE)),#REF!)</f>
        <v>#REF!</v>
      </c>
      <c r="X44" s="278" t="e">
        <f t="shared" si="11"/>
        <v>#REF!</v>
      </c>
      <c r="Y44" s="57" t="e">
        <f t="shared" si="4"/>
        <v>#REF!</v>
      </c>
      <c r="Z44" s="55" t="e">
        <f>IF(Y44=#REF!,"0",(Y44/$Y$16))</f>
        <v>#REF!</v>
      </c>
      <c r="AB44" s="303" t="str">
        <f>IF($E$6=52,(C44/1000),"")</f>
        <v/>
      </c>
      <c r="AC44" s="282" t="str">
        <f t="shared" si="12"/>
        <v/>
      </c>
      <c r="AD44" s="278" t="str">
        <f t="shared" si="36"/>
        <v/>
      </c>
      <c r="AE44" s="302" t="str">
        <f t="shared" si="5"/>
        <v/>
      </c>
      <c r="AF44" s="278" t="str">
        <f t="shared" si="13"/>
        <v/>
      </c>
      <c r="AH44" s="303" t="str">
        <f>IF($E$7=52,(C44/1000),"")</f>
        <v/>
      </c>
      <c r="AI44" s="206" t="str">
        <f t="shared" si="14"/>
        <v/>
      </c>
      <c r="AJ44" s="278" t="str">
        <f t="shared" si="15"/>
        <v/>
      </c>
      <c r="AK44" s="302" t="str">
        <f t="shared" si="16"/>
        <v/>
      </c>
      <c r="AL44" s="278" t="str">
        <f t="shared" si="17"/>
        <v/>
      </c>
      <c r="AN44" s="303" t="str">
        <f>IF($E$8=52,(C44/1000),"")</f>
        <v/>
      </c>
      <c r="AO44" s="206" t="str">
        <f t="shared" si="18"/>
        <v/>
      </c>
      <c r="AP44" s="278" t="str">
        <f t="shared" si="19"/>
        <v/>
      </c>
      <c r="AQ44" s="302" t="str">
        <f t="shared" si="20"/>
        <v/>
      </c>
      <c r="AR44" s="278" t="str">
        <f t="shared" si="21"/>
        <v/>
      </c>
      <c r="AT44" s="203" t="str">
        <f>IF($E$9=52,(C44/1000),"")</f>
        <v/>
      </c>
      <c r="AU44" s="268" t="str">
        <f t="shared" si="22"/>
        <v/>
      </c>
      <c r="AV44" s="275" t="str">
        <f t="shared" si="23"/>
        <v/>
      </c>
      <c r="AW44" s="292" t="str">
        <f t="shared" si="24"/>
        <v/>
      </c>
      <c r="AX44" s="290" t="str">
        <f t="shared" si="25"/>
        <v/>
      </c>
      <c r="AZ44" s="203" t="str">
        <f>IF($E$10=52,(C44/1000),"")</f>
        <v/>
      </c>
      <c r="BA44" s="268" t="str">
        <f t="shared" si="26"/>
        <v/>
      </c>
      <c r="BB44" s="275" t="str">
        <f t="shared" si="27"/>
        <v/>
      </c>
      <c r="BC44" s="292" t="str">
        <f t="shared" si="28"/>
        <v/>
      </c>
      <c r="BD44" s="290" t="str">
        <f t="shared" si="29"/>
        <v/>
      </c>
      <c r="BF44" s="296" t="str">
        <f>IF($E$11=52,(C44/1000),"")</f>
        <v/>
      </c>
      <c r="BG44" s="267" t="str">
        <f t="shared" si="30"/>
        <v/>
      </c>
      <c r="BH44" s="275" t="str">
        <f t="shared" si="31"/>
        <v/>
      </c>
      <c r="BI44" s="292" t="str">
        <f t="shared" si="32"/>
        <v/>
      </c>
      <c r="BJ44" s="55" t="str">
        <f t="shared" si="33"/>
        <v/>
      </c>
    </row>
    <row r="45" spans="1:62" ht="13.5" customHeight="1" thickBot="1" x14ac:dyDescent="0.3">
      <c r="A45" s="34" t="b">
        <f t="shared" si="6"/>
        <v>0</v>
      </c>
      <c r="B45" s="61">
        <f>COMPOSITTIONS!A32</f>
        <v>53</v>
      </c>
      <c r="C45" s="282">
        <f>COMPOSITTIONS!B32</f>
        <v>1.65</v>
      </c>
      <c r="D45" s="284" t="str">
        <f>COMPOSITTIONS!C32</f>
        <v>Plantain</v>
      </c>
      <c r="E45" s="276">
        <f t="shared" si="3"/>
        <v>1.65E-3</v>
      </c>
      <c r="F45" s="278" t="e">
        <f>(#REF!+O45+AE45+AJ45+AP45+AV45+BB45+BH45+X45)</f>
        <v>#REF!</v>
      </c>
      <c r="G45" s="271" t="e">
        <f t="shared" si="34"/>
        <v>#REF!</v>
      </c>
      <c r="H45" s="275" t="e">
        <f>(BI45+BC45+AW45+AQ45+AK45+AF45+P45)</f>
        <v>#VALUE!</v>
      </c>
      <c r="I45" s="271" t="e">
        <f t="shared" si="35"/>
        <v>#VALUE!</v>
      </c>
      <c r="J45" s="56"/>
      <c r="K45" s="56"/>
      <c r="L45" s="56"/>
      <c r="M45" s="144">
        <f t="shared" si="8"/>
        <v>1.65E-3</v>
      </c>
      <c r="N45" s="58">
        <f>IF($F$3&lt;&gt;"",(HLOOKUP($F$3,COMPOSITTIONS!$D$2:$AA$66,31,FALSE)),#REF!)</f>
        <v>0</v>
      </c>
      <c r="O45" s="54">
        <f t="shared" si="9"/>
        <v>0</v>
      </c>
      <c r="P45" s="54">
        <f>(O45*1000)/M45</f>
        <v>0</v>
      </c>
      <c r="Q45" s="55" t="e">
        <f>IF(P45=#REF!,"0",(P45/$P$16))</f>
        <v>#REF!</v>
      </c>
      <c r="S45" s="173">
        <f>E45</f>
        <v>1.65E-3</v>
      </c>
      <c r="T45" s="57" t="e">
        <f ca="1">IF(T45=#REF!,"0",$J$4/T45)</f>
        <v>#DIV/0!</v>
      </c>
      <c r="U45" s="57" t="e">
        <f t="shared" si="10"/>
        <v>#VALUE!</v>
      </c>
      <c r="V45" s="305" t="e">
        <f>IF($E$4&gt;10,HLOOKUP($E$4,COMPOSITTIONS!A:V,4,FALSE),#REF!)</f>
        <v>#N/A</v>
      </c>
      <c r="W45" s="278" t="e">
        <f>IF($F$4&lt;&gt;"",(HLOOKUP($F$4,COMPOSITTIONS!$D$2:$AA$66,31,FALSE)),#REF!)</f>
        <v>#REF!</v>
      </c>
      <c r="X45" s="278" t="e">
        <f t="shared" si="11"/>
        <v>#REF!</v>
      </c>
      <c r="Y45" s="57" t="e">
        <f t="shared" si="4"/>
        <v>#REF!</v>
      </c>
      <c r="Z45" s="55" t="e">
        <f>IF(Y45=#REF!,"0",(Y45/$Y$16))</f>
        <v>#REF!</v>
      </c>
      <c r="AB45" s="303" t="str">
        <f>IF($E$6=53,(C45/1000),"")</f>
        <v/>
      </c>
      <c r="AC45" s="282" t="str">
        <f t="shared" si="12"/>
        <v/>
      </c>
      <c r="AD45" s="278" t="str">
        <f t="shared" si="36"/>
        <v/>
      </c>
      <c r="AE45" s="302" t="str">
        <f t="shared" si="5"/>
        <v/>
      </c>
      <c r="AF45" s="278" t="str">
        <f t="shared" si="13"/>
        <v/>
      </c>
      <c r="AH45" s="303" t="str">
        <f>IF($E$7=53,(C45/1000),"")</f>
        <v/>
      </c>
      <c r="AI45" s="206" t="str">
        <f t="shared" si="14"/>
        <v/>
      </c>
      <c r="AJ45" s="278" t="str">
        <f t="shared" si="15"/>
        <v/>
      </c>
      <c r="AK45" s="302" t="str">
        <f t="shared" si="16"/>
        <v/>
      </c>
      <c r="AL45" s="278" t="str">
        <f t="shared" si="17"/>
        <v/>
      </c>
      <c r="AN45" s="303" t="str">
        <f>IF($E$8=53,(C45/1000),"")</f>
        <v/>
      </c>
      <c r="AO45" s="206" t="str">
        <f t="shared" si="18"/>
        <v/>
      </c>
      <c r="AP45" s="278" t="str">
        <f t="shared" si="19"/>
        <v/>
      </c>
      <c r="AQ45" s="302" t="str">
        <f t="shared" si="20"/>
        <v/>
      </c>
      <c r="AR45" s="278" t="str">
        <f t="shared" si="21"/>
        <v/>
      </c>
      <c r="AT45" s="203" t="str">
        <f>IF($E$9=53,(C45/1000),"")</f>
        <v/>
      </c>
      <c r="AU45" s="268" t="str">
        <f t="shared" si="22"/>
        <v/>
      </c>
      <c r="AV45" s="275" t="str">
        <f t="shared" si="23"/>
        <v/>
      </c>
      <c r="AW45" s="292" t="str">
        <f t="shared" si="24"/>
        <v/>
      </c>
      <c r="AX45" s="290" t="str">
        <f t="shared" si="25"/>
        <v/>
      </c>
      <c r="AZ45" s="203" t="str">
        <f>IF($E$10=53,(C45/1000),"")</f>
        <v/>
      </c>
      <c r="BA45" s="268" t="str">
        <f t="shared" si="26"/>
        <v/>
      </c>
      <c r="BB45" s="275" t="str">
        <f t="shared" si="27"/>
        <v/>
      </c>
      <c r="BC45" s="292" t="str">
        <f t="shared" si="28"/>
        <v/>
      </c>
      <c r="BD45" s="290" t="str">
        <f t="shared" si="29"/>
        <v/>
      </c>
      <c r="BF45" s="296" t="str">
        <f>IF($E$11=53,(C45/1000),"")</f>
        <v/>
      </c>
      <c r="BG45" s="267" t="str">
        <f t="shared" si="30"/>
        <v/>
      </c>
      <c r="BH45" s="275" t="str">
        <f t="shared" si="31"/>
        <v/>
      </c>
      <c r="BI45" s="292" t="str">
        <f t="shared" si="32"/>
        <v/>
      </c>
      <c r="BJ45" s="55" t="str">
        <f t="shared" si="33"/>
        <v/>
      </c>
    </row>
    <row r="46" spans="1:62" ht="13.5" customHeight="1" thickBot="1" x14ac:dyDescent="0.3">
      <c r="A46" s="34" t="b">
        <f t="shared" si="6"/>
        <v>0</v>
      </c>
      <c r="B46" s="61">
        <f>COMPOSITTIONS!A33</f>
        <v>54</v>
      </c>
      <c r="C46" s="282">
        <f>COMPOSITTIONS!B33</f>
        <v>240</v>
      </c>
      <c r="D46" s="284" t="str">
        <f>COMPOSITTIONS!C33</f>
        <v>Pois fourrager de printemps</v>
      </c>
      <c r="E46" s="276">
        <f t="shared" si="3"/>
        <v>0.24</v>
      </c>
      <c r="F46" s="278" t="e">
        <f>(#REF!+O46+AE46+AJ46+AP46+AV46+BB46+BH46+X46)</f>
        <v>#REF!</v>
      </c>
      <c r="G46" s="271" t="e">
        <f t="shared" si="34"/>
        <v>#REF!</v>
      </c>
      <c r="H46" s="275" t="e">
        <f>(BI46+BC46+AW46+AQ46+AK46+AF46+P46)</f>
        <v>#VALUE!</v>
      </c>
      <c r="I46" s="271" t="e">
        <f t="shared" si="35"/>
        <v>#VALUE!</v>
      </c>
      <c r="J46" s="56"/>
      <c r="K46" s="56"/>
      <c r="L46" s="56"/>
      <c r="M46" s="144">
        <f t="shared" si="8"/>
        <v>0.24</v>
      </c>
      <c r="N46" s="58">
        <f>IF($F$3&lt;&gt;"",(HLOOKUP($F$3,COMPOSITTIONS!$D$2:$AA$66,32,FALSE)),#REF!)</f>
        <v>0</v>
      </c>
      <c r="O46" s="54">
        <f t="shared" si="9"/>
        <v>0</v>
      </c>
      <c r="P46" s="54">
        <f>(O46*1000)/M46</f>
        <v>0</v>
      </c>
      <c r="Q46" s="55" t="e">
        <f>IF(P46=#REF!,"0",(P46/$P$16))</f>
        <v>#REF!</v>
      </c>
      <c r="S46" s="173">
        <f>E46</f>
        <v>0.24</v>
      </c>
      <c r="T46" s="57" t="e">
        <f ca="1">IF(T46=#REF!,"0",$J$4/T46)</f>
        <v>#DIV/0!</v>
      </c>
      <c r="U46" s="57" t="e">
        <f t="shared" si="10"/>
        <v>#VALUE!</v>
      </c>
      <c r="V46" s="305" t="e">
        <f>IF($E$4&gt;10,HLOOKUP($E$4,COMPOSITTIONS!A:V,4,FALSE),#REF!)</f>
        <v>#N/A</v>
      </c>
      <c r="W46" s="278" t="e">
        <f>IF($F$4&lt;&gt;"",(HLOOKUP($F$4,COMPOSITTIONS!$D$2:$AA$66,32,FALSE)),#REF!)</f>
        <v>#REF!</v>
      </c>
      <c r="X46" s="278" t="e">
        <f t="shared" si="11"/>
        <v>#REF!</v>
      </c>
      <c r="Y46" s="57" t="e">
        <f t="shared" si="4"/>
        <v>#REF!</v>
      </c>
      <c r="Z46" s="55" t="e">
        <f>IF(Y46=#REF!,"0",(Y46/$Y$16))</f>
        <v>#REF!</v>
      </c>
      <c r="AB46" s="303" t="str">
        <f>IF($E$6=54,(C46/1000),"")</f>
        <v/>
      </c>
      <c r="AC46" s="282" t="str">
        <f t="shared" si="12"/>
        <v/>
      </c>
      <c r="AD46" s="278" t="str">
        <f t="shared" si="36"/>
        <v/>
      </c>
      <c r="AE46" s="302" t="str">
        <f t="shared" si="5"/>
        <v/>
      </c>
      <c r="AF46" s="278" t="str">
        <f t="shared" si="13"/>
        <v/>
      </c>
      <c r="AH46" s="303" t="str">
        <f>IF($E$7=54,(C46/1000),"")</f>
        <v/>
      </c>
      <c r="AI46" s="206" t="str">
        <f t="shared" si="14"/>
        <v/>
      </c>
      <c r="AJ46" s="278" t="str">
        <f t="shared" si="15"/>
        <v/>
      </c>
      <c r="AK46" s="302" t="str">
        <f t="shared" si="16"/>
        <v/>
      </c>
      <c r="AL46" s="278" t="str">
        <f t="shared" si="17"/>
        <v/>
      </c>
      <c r="AN46" s="303" t="str">
        <f>IF($E$8=54,(C46/1000),"")</f>
        <v/>
      </c>
      <c r="AO46" s="206" t="str">
        <f t="shared" si="18"/>
        <v/>
      </c>
      <c r="AP46" s="278" t="str">
        <f t="shared" si="19"/>
        <v/>
      </c>
      <c r="AQ46" s="302" t="str">
        <f t="shared" si="20"/>
        <v/>
      </c>
      <c r="AR46" s="278" t="str">
        <f t="shared" si="21"/>
        <v/>
      </c>
      <c r="AT46" s="203" t="str">
        <f>IF($E$9=54,(C46/1000),"")</f>
        <v/>
      </c>
      <c r="AU46" s="268" t="str">
        <f t="shared" si="22"/>
        <v/>
      </c>
      <c r="AV46" s="275" t="str">
        <f t="shared" si="23"/>
        <v/>
      </c>
      <c r="AW46" s="292" t="str">
        <f t="shared" si="24"/>
        <v/>
      </c>
      <c r="AX46" s="290" t="str">
        <f t="shared" si="25"/>
        <v/>
      </c>
      <c r="AZ46" s="203" t="str">
        <f>IF($E$10=54,(C46/1000),"")</f>
        <v/>
      </c>
      <c r="BA46" s="268" t="str">
        <f t="shared" si="26"/>
        <v/>
      </c>
      <c r="BB46" s="275" t="str">
        <f t="shared" si="27"/>
        <v/>
      </c>
      <c r="BC46" s="292" t="str">
        <f t="shared" si="28"/>
        <v/>
      </c>
      <c r="BD46" s="290" t="str">
        <f t="shared" si="29"/>
        <v/>
      </c>
      <c r="BF46" s="296" t="str">
        <f>IF($E$11=54,(C46/1000),"")</f>
        <v/>
      </c>
      <c r="BG46" s="267" t="str">
        <f t="shared" si="30"/>
        <v/>
      </c>
      <c r="BH46" s="275" t="str">
        <f t="shared" si="31"/>
        <v/>
      </c>
      <c r="BI46" s="292" t="str">
        <f t="shared" si="32"/>
        <v/>
      </c>
      <c r="BJ46" s="55" t="str">
        <f t="shared" si="33"/>
        <v/>
      </c>
    </row>
    <row r="47" spans="1:62" ht="13.5" customHeight="1" thickBot="1" x14ac:dyDescent="0.3">
      <c r="A47" s="34" t="b">
        <f t="shared" si="6"/>
        <v>0</v>
      </c>
      <c r="B47" s="61">
        <f>COMPOSITTIONS!A34</f>
        <v>55</v>
      </c>
      <c r="C47" s="282">
        <f>COMPOSITTIONS!B34</f>
        <v>180</v>
      </c>
      <c r="D47" s="284" t="str">
        <f>COMPOSITTIONS!C34</f>
        <v>Pois fourrager d'hiver</v>
      </c>
      <c r="E47" s="276">
        <f t="shared" si="3"/>
        <v>0.18</v>
      </c>
      <c r="F47" s="278" t="e">
        <f>(#REF!+O47+AE47+AJ47+AP47+AV47+BB47+BH47+X47)</f>
        <v>#REF!</v>
      </c>
      <c r="G47" s="271" t="e">
        <f t="shared" si="34"/>
        <v>#REF!</v>
      </c>
      <c r="H47" s="275" t="e">
        <f>(BI47+BC47+AW47+AQ47+AK47+AF47+P47)</f>
        <v>#VALUE!</v>
      </c>
      <c r="I47" s="271" t="e">
        <f t="shared" si="35"/>
        <v>#VALUE!</v>
      </c>
      <c r="J47" s="56"/>
      <c r="K47" s="56"/>
      <c r="L47" s="56"/>
      <c r="M47" s="144">
        <f t="shared" si="8"/>
        <v>0.18</v>
      </c>
      <c r="N47" s="58">
        <f>IF($F$3&lt;&gt;"",(HLOOKUP($F$3,COMPOSITTIONS!$D$2:$AA$66,33,FALSE)),#REF!)</f>
        <v>0</v>
      </c>
      <c r="O47" s="54">
        <f t="shared" si="9"/>
        <v>0</v>
      </c>
      <c r="P47" s="54">
        <f>(O47*1000)/M47</f>
        <v>0</v>
      </c>
      <c r="Q47" s="55" t="e">
        <f>IF(P47=#REF!,"0",(P47/$P$16))</f>
        <v>#REF!</v>
      </c>
      <c r="S47" s="173">
        <f>E47</f>
        <v>0.18</v>
      </c>
      <c r="T47" s="57" t="e">
        <f ca="1">IF(T47=#REF!,"0",$J$4/T47)</f>
        <v>#DIV/0!</v>
      </c>
      <c r="U47" s="57" t="e">
        <f t="shared" si="10"/>
        <v>#VALUE!</v>
      </c>
      <c r="V47" s="305" t="e">
        <f>IF($E$4&gt;10,HLOOKUP($E$4,COMPOSITTIONS!A:V,4,FALSE),#REF!)</f>
        <v>#N/A</v>
      </c>
      <c r="W47" s="278" t="e">
        <f>IF($F$4&lt;&gt;"",(HLOOKUP($F$4,COMPOSITTIONS!$D$2:$AA$66,33,FALSE)),#REF!)</f>
        <v>#REF!</v>
      </c>
      <c r="X47" s="278" t="e">
        <f t="shared" si="11"/>
        <v>#REF!</v>
      </c>
      <c r="Y47" s="57" t="e">
        <f t="shared" si="4"/>
        <v>#REF!</v>
      </c>
      <c r="Z47" s="55" t="e">
        <f>IF(Y47=#REF!,"0",(Y47/$Y$16))</f>
        <v>#REF!</v>
      </c>
      <c r="AB47" s="303" t="str">
        <f>IF($E$6=55,(C47/1000),"")</f>
        <v/>
      </c>
      <c r="AC47" s="282" t="str">
        <f t="shared" si="12"/>
        <v/>
      </c>
      <c r="AD47" s="278" t="str">
        <f t="shared" si="36"/>
        <v/>
      </c>
      <c r="AE47" s="302" t="str">
        <f t="shared" si="5"/>
        <v/>
      </c>
      <c r="AF47" s="278" t="str">
        <f t="shared" si="13"/>
        <v/>
      </c>
      <c r="AH47" s="303" t="str">
        <f>IF($E$7=55,(C47/1000),"")</f>
        <v/>
      </c>
      <c r="AI47" s="206" t="str">
        <f t="shared" si="14"/>
        <v/>
      </c>
      <c r="AJ47" s="278" t="str">
        <f t="shared" si="15"/>
        <v/>
      </c>
      <c r="AK47" s="302" t="str">
        <f t="shared" si="16"/>
        <v/>
      </c>
      <c r="AL47" s="278" t="str">
        <f t="shared" si="17"/>
        <v/>
      </c>
      <c r="AN47" s="303" t="str">
        <f>IF($E$8=55,(C47/1000),"")</f>
        <v/>
      </c>
      <c r="AO47" s="206" t="str">
        <f t="shared" si="18"/>
        <v/>
      </c>
      <c r="AP47" s="278" t="str">
        <f t="shared" si="19"/>
        <v/>
      </c>
      <c r="AQ47" s="302" t="str">
        <f t="shared" si="20"/>
        <v/>
      </c>
      <c r="AR47" s="278" t="str">
        <f t="shared" si="21"/>
        <v/>
      </c>
      <c r="AT47" s="203" t="str">
        <f>IF($E$9=55,(C47/1000),"")</f>
        <v/>
      </c>
      <c r="AU47" s="268" t="str">
        <f t="shared" si="22"/>
        <v/>
      </c>
      <c r="AV47" s="275" t="str">
        <f t="shared" si="23"/>
        <v/>
      </c>
      <c r="AW47" s="292" t="str">
        <f t="shared" si="24"/>
        <v/>
      </c>
      <c r="AX47" s="290" t="str">
        <f t="shared" si="25"/>
        <v/>
      </c>
      <c r="AZ47" s="203" t="str">
        <f>IF($E$10=55,(C47/1000),"")</f>
        <v/>
      </c>
      <c r="BA47" s="268" t="str">
        <f t="shared" si="26"/>
        <v/>
      </c>
      <c r="BB47" s="275" t="str">
        <f t="shared" si="27"/>
        <v/>
      </c>
      <c r="BC47" s="292" t="str">
        <f t="shared" si="28"/>
        <v/>
      </c>
      <c r="BD47" s="290" t="str">
        <f t="shared" si="29"/>
        <v/>
      </c>
      <c r="BF47" s="296" t="str">
        <f>IF($E$11=55,(C47/1000),"")</f>
        <v/>
      </c>
      <c r="BG47" s="267" t="str">
        <f t="shared" si="30"/>
        <v/>
      </c>
      <c r="BH47" s="275" t="str">
        <f t="shared" si="31"/>
        <v/>
      </c>
      <c r="BI47" s="292" t="str">
        <f t="shared" si="32"/>
        <v/>
      </c>
      <c r="BJ47" s="55" t="str">
        <f t="shared" si="33"/>
        <v/>
      </c>
    </row>
    <row r="48" spans="1:62" ht="13.5" customHeight="1" thickBot="1" x14ac:dyDescent="0.3">
      <c r="A48" s="34" t="b">
        <f t="shared" si="6"/>
        <v>0</v>
      </c>
      <c r="B48" s="61">
        <f>COMPOSITTIONS!A35</f>
        <v>56</v>
      </c>
      <c r="C48" s="282">
        <f>COMPOSITTIONS!B35</f>
        <v>8</v>
      </c>
      <c r="D48" s="284" t="str">
        <f>COMPOSITTIONS!C35</f>
        <v>Radis chinois</v>
      </c>
      <c r="E48" s="276">
        <f t="shared" si="3"/>
        <v>8.0000000000000002E-3</v>
      </c>
      <c r="F48" s="278" t="e">
        <f>(#REF!+O48+AE48+AJ48+AP48+AV48+BB48+BH48+X48)</f>
        <v>#REF!</v>
      </c>
      <c r="G48" s="271" t="e">
        <f t="shared" si="34"/>
        <v>#REF!</v>
      </c>
      <c r="H48" s="275" t="e">
        <f>(BI48+BC48+AW48+AQ48+AK48+AF48+P48)</f>
        <v>#VALUE!</v>
      </c>
      <c r="I48" s="271" t="e">
        <f t="shared" si="35"/>
        <v>#VALUE!</v>
      </c>
      <c r="J48" s="56"/>
      <c r="K48" s="56"/>
      <c r="L48" s="56"/>
      <c r="M48" s="144">
        <f t="shared" si="8"/>
        <v>8.0000000000000002E-3</v>
      </c>
      <c r="N48" s="58">
        <f>IF($F$3&lt;&gt;"",(HLOOKUP($F$3,COMPOSITTIONS!$D$2:$AA$66,34,FALSE)),#REF!)</f>
        <v>0</v>
      </c>
      <c r="O48" s="54">
        <f t="shared" si="9"/>
        <v>0</v>
      </c>
      <c r="P48" s="54">
        <f>(O48*1000)/M48</f>
        <v>0</v>
      </c>
      <c r="Q48" s="55" t="e">
        <f>IF(P48=#REF!,"0",(P48/$P$16))</f>
        <v>#REF!</v>
      </c>
      <c r="S48" s="173">
        <f>E48</f>
        <v>8.0000000000000002E-3</v>
      </c>
      <c r="T48" s="57" t="e">
        <f ca="1">IF(T48=#REF!,"0",$J$4/T48)</f>
        <v>#DIV/0!</v>
      </c>
      <c r="U48" s="57" t="e">
        <f t="shared" si="10"/>
        <v>#VALUE!</v>
      </c>
      <c r="V48" s="305" t="e">
        <f>IF($E$4&gt;10,HLOOKUP($E$4,COMPOSITTIONS!A:V,4,FALSE),#REF!)</f>
        <v>#N/A</v>
      </c>
      <c r="W48" s="278" t="e">
        <f>IF($F$4&lt;&gt;"",(HLOOKUP($F$4,COMPOSITTIONS!$D$2:$AA$66,34,FALSE)),#REF!)</f>
        <v>#REF!</v>
      </c>
      <c r="X48" s="278" t="e">
        <f t="shared" si="11"/>
        <v>#REF!</v>
      </c>
      <c r="Y48" s="57" t="e">
        <f t="shared" si="4"/>
        <v>#REF!</v>
      </c>
      <c r="Z48" s="55" t="e">
        <f>IF(Y48=#REF!,"0",(Y48/$Y$16))</f>
        <v>#REF!</v>
      </c>
      <c r="AB48" s="303" t="str">
        <f>IF($E$6=56,(C48/1000),"")</f>
        <v/>
      </c>
      <c r="AC48" s="282" t="str">
        <f t="shared" si="12"/>
        <v/>
      </c>
      <c r="AD48" s="278" t="str">
        <f t="shared" si="36"/>
        <v/>
      </c>
      <c r="AE48" s="302" t="str">
        <f t="shared" si="5"/>
        <v/>
      </c>
      <c r="AF48" s="278" t="str">
        <f t="shared" si="13"/>
        <v/>
      </c>
      <c r="AH48" s="303" t="str">
        <f>IF($E$7=56,(C48/1000),"")</f>
        <v/>
      </c>
      <c r="AI48" s="206" t="str">
        <f t="shared" si="14"/>
        <v/>
      </c>
      <c r="AJ48" s="278" t="str">
        <f t="shared" si="15"/>
        <v/>
      </c>
      <c r="AK48" s="302" t="str">
        <f t="shared" si="16"/>
        <v/>
      </c>
      <c r="AL48" s="278" t="str">
        <f t="shared" si="17"/>
        <v/>
      </c>
      <c r="AN48" s="303" t="str">
        <f>IF($E$8=56,(C48/1000),"")</f>
        <v/>
      </c>
      <c r="AO48" s="206" t="str">
        <f t="shared" si="18"/>
        <v/>
      </c>
      <c r="AP48" s="278" t="str">
        <f t="shared" si="19"/>
        <v/>
      </c>
      <c r="AQ48" s="302" t="str">
        <f t="shared" si="20"/>
        <v/>
      </c>
      <c r="AR48" s="278" t="str">
        <f t="shared" si="21"/>
        <v/>
      </c>
      <c r="AT48" s="203" t="str">
        <f>IF($E$9=56,(C48/1000),"")</f>
        <v/>
      </c>
      <c r="AU48" s="268" t="str">
        <f t="shared" si="22"/>
        <v/>
      </c>
      <c r="AV48" s="275" t="str">
        <f t="shared" si="23"/>
        <v/>
      </c>
      <c r="AW48" s="292" t="str">
        <f t="shared" si="24"/>
        <v/>
      </c>
      <c r="AX48" s="290" t="str">
        <f t="shared" si="25"/>
        <v/>
      </c>
      <c r="AZ48" s="203" t="str">
        <f>IF($E$10=56,(C48/1000),"")</f>
        <v/>
      </c>
      <c r="BA48" s="268" t="str">
        <f t="shared" si="26"/>
        <v/>
      </c>
      <c r="BB48" s="275" t="str">
        <f t="shared" si="27"/>
        <v/>
      </c>
      <c r="BC48" s="292" t="str">
        <f t="shared" si="28"/>
        <v/>
      </c>
      <c r="BD48" s="290" t="str">
        <f t="shared" si="29"/>
        <v/>
      </c>
      <c r="BF48" s="296" t="str">
        <f>IF($E$11=56,(C48/1000),"")</f>
        <v/>
      </c>
      <c r="BG48" s="267" t="str">
        <f t="shared" si="30"/>
        <v/>
      </c>
      <c r="BH48" s="275" t="str">
        <f t="shared" si="31"/>
        <v/>
      </c>
      <c r="BI48" s="292" t="str">
        <f t="shared" si="32"/>
        <v/>
      </c>
      <c r="BJ48" s="55" t="str">
        <f t="shared" si="33"/>
        <v/>
      </c>
    </row>
    <row r="49" spans="1:62" ht="13.5" customHeight="1" thickBot="1" x14ac:dyDescent="0.3">
      <c r="A49" s="34" t="b">
        <f t="shared" si="6"/>
        <v>0</v>
      </c>
      <c r="B49" s="61">
        <f>COMPOSITTIONS!A36</f>
        <v>57</v>
      </c>
      <c r="C49" s="282">
        <f>COMPOSITTIONS!B36</f>
        <v>9</v>
      </c>
      <c r="D49" s="284" t="str">
        <f>COMPOSITTIONS!C36</f>
        <v>Radis fourrager</v>
      </c>
      <c r="E49" s="276">
        <f t="shared" si="3"/>
        <v>8.9999999999999993E-3</v>
      </c>
      <c r="F49" s="278" t="e">
        <f>(#REF!+O49+AE49+AJ49+AP49+AV49+BB49+BH49+X49)</f>
        <v>#REF!</v>
      </c>
      <c r="G49" s="271" t="e">
        <f t="shared" si="34"/>
        <v>#REF!</v>
      </c>
      <c r="H49" s="275" t="e">
        <f>(BI49+BC49+AW49+AQ49+AK49+AF49+P49)</f>
        <v>#VALUE!</v>
      </c>
      <c r="I49" s="271" t="e">
        <f t="shared" si="35"/>
        <v>#VALUE!</v>
      </c>
      <c r="J49" s="56"/>
      <c r="K49" s="56"/>
      <c r="L49" s="56"/>
      <c r="M49" s="144">
        <f t="shared" si="8"/>
        <v>8.9999999999999993E-3</v>
      </c>
      <c r="N49" s="58">
        <f>IF($F$3&lt;&gt;"",(HLOOKUP($F$3,COMPOSITTIONS!$D$2:$AA$66,35,FALSE)),#REF!)</f>
        <v>0</v>
      </c>
      <c r="O49" s="54">
        <f t="shared" si="9"/>
        <v>0</v>
      </c>
      <c r="P49" s="54">
        <f>(O49*1000)/M49</f>
        <v>0</v>
      </c>
      <c r="Q49" s="55" t="e">
        <f>IF(P49=#REF!,"0",(P49/$P$16))</f>
        <v>#REF!</v>
      </c>
      <c r="S49" s="173">
        <f>E49</f>
        <v>8.9999999999999993E-3</v>
      </c>
      <c r="T49" s="57" t="e">
        <f ca="1">IF(T49=#REF!,"0",$J$4/T49)</f>
        <v>#DIV/0!</v>
      </c>
      <c r="U49" s="57" t="e">
        <f t="shared" si="10"/>
        <v>#VALUE!</v>
      </c>
      <c r="V49" s="305" t="e">
        <f>IF($E$4&gt;10,HLOOKUP($E$4,COMPOSITTIONS!A:V,4,FALSE),#REF!)</f>
        <v>#N/A</v>
      </c>
      <c r="W49" s="278" t="e">
        <f>IF($F$4&lt;&gt;"",(HLOOKUP($F$4,COMPOSITTIONS!$D$2:$AA$66,35,FALSE)),#REF!)</f>
        <v>#REF!</v>
      </c>
      <c r="X49" s="278" t="e">
        <f t="shared" si="11"/>
        <v>#REF!</v>
      </c>
      <c r="Y49" s="57" t="e">
        <f t="shared" si="4"/>
        <v>#REF!</v>
      </c>
      <c r="Z49" s="55" t="e">
        <f>IF(Y49=#REF!,"0",(Y49/$Y$16))</f>
        <v>#REF!</v>
      </c>
      <c r="AB49" s="303" t="str">
        <f>IF($E$6=57,(C49/1000),"")</f>
        <v/>
      </c>
      <c r="AC49" s="282" t="str">
        <f t="shared" si="12"/>
        <v/>
      </c>
      <c r="AD49" s="278" t="str">
        <f t="shared" si="36"/>
        <v/>
      </c>
      <c r="AE49" s="302" t="str">
        <f t="shared" si="5"/>
        <v/>
      </c>
      <c r="AF49" s="278" t="str">
        <f t="shared" si="13"/>
        <v/>
      </c>
      <c r="AH49" s="303" t="str">
        <f>IF($E$7=57,(C49/1000),"")</f>
        <v/>
      </c>
      <c r="AI49" s="206" t="str">
        <f t="shared" si="14"/>
        <v/>
      </c>
      <c r="AJ49" s="278" t="str">
        <f t="shared" si="15"/>
        <v/>
      </c>
      <c r="AK49" s="302" t="str">
        <f t="shared" si="16"/>
        <v/>
      </c>
      <c r="AL49" s="278" t="str">
        <f t="shared" si="17"/>
        <v/>
      </c>
      <c r="AN49" s="303" t="str">
        <f>IF($E$8=57,(C49/1000),"")</f>
        <v/>
      </c>
      <c r="AO49" s="206" t="str">
        <f t="shared" si="18"/>
        <v/>
      </c>
      <c r="AP49" s="278" t="str">
        <f t="shared" si="19"/>
        <v/>
      </c>
      <c r="AQ49" s="302" t="str">
        <f t="shared" si="20"/>
        <v/>
      </c>
      <c r="AR49" s="278" t="str">
        <f t="shared" si="21"/>
        <v/>
      </c>
      <c r="AT49" s="203" t="str">
        <f>IF($E$9=57,(C49/1000),"")</f>
        <v/>
      </c>
      <c r="AU49" s="268" t="str">
        <f t="shared" si="22"/>
        <v/>
      </c>
      <c r="AV49" s="275" t="str">
        <f t="shared" si="23"/>
        <v/>
      </c>
      <c r="AW49" s="292" t="str">
        <f t="shared" si="24"/>
        <v/>
      </c>
      <c r="AX49" s="290" t="str">
        <f t="shared" si="25"/>
        <v/>
      </c>
      <c r="AZ49" s="203" t="str">
        <f>IF($E$10=57,(C49/1000),"")</f>
        <v/>
      </c>
      <c r="BA49" s="268" t="str">
        <f t="shared" si="26"/>
        <v/>
      </c>
      <c r="BB49" s="275" t="str">
        <f t="shared" si="27"/>
        <v/>
      </c>
      <c r="BC49" s="292" t="str">
        <f t="shared" si="28"/>
        <v/>
      </c>
      <c r="BD49" s="290" t="str">
        <f t="shared" si="29"/>
        <v/>
      </c>
      <c r="BF49" s="296" t="str">
        <f>IF($E$11=57,(C49/1000),"")</f>
        <v/>
      </c>
      <c r="BG49" s="267" t="str">
        <f t="shared" si="30"/>
        <v/>
      </c>
      <c r="BH49" s="275" t="str">
        <f t="shared" si="31"/>
        <v/>
      </c>
      <c r="BI49" s="292" t="str">
        <f t="shared" si="32"/>
        <v/>
      </c>
      <c r="BJ49" s="55" t="str">
        <f t="shared" si="33"/>
        <v/>
      </c>
    </row>
    <row r="50" spans="1:62" ht="13.5" customHeight="1" thickBot="1" x14ac:dyDescent="0.3">
      <c r="A50" s="34" t="b">
        <f t="shared" si="6"/>
        <v>0</v>
      </c>
      <c r="B50" s="61">
        <f>COMPOSITTIONS!A37</f>
        <v>58</v>
      </c>
      <c r="C50" s="282">
        <f>COMPOSITTIONS!B37</f>
        <v>1.9</v>
      </c>
      <c r="D50" s="284" t="str">
        <f>COMPOSITTIONS!C37</f>
        <v>RGA 2n</v>
      </c>
      <c r="E50" s="276">
        <f t="shared" si="3"/>
        <v>1.9E-3</v>
      </c>
      <c r="F50" s="278" t="e">
        <f>(#REF!+O50+AE50+AJ50+AP50+AV50+BB50+BH50+X50)</f>
        <v>#REF!</v>
      </c>
      <c r="G50" s="271" t="e">
        <f t="shared" si="34"/>
        <v>#REF!</v>
      </c>
      <c r="H50" s="275" t="e">
        <f>(BI50+BC50+AW50+AQ50+AK50+AF50+P50)</f>
        <v>#VALUE!</v>
      </c>
      <c r="I50" s="271" t="e">
        <f t="shared" si="35"/>
        <v>#VALUE!</v>
      </c>
      <c r="J50" s="56"/>
      <c r="K50" s="56"/>
      <c r="L50" s="56"/>
      <c r="M50" s="144">
        <f t="shared" si="8"/>
        <v>1.9E-3</v>
      </c>
      <c r="N50" s="58">
        <f>IF($F$3&lt;&gt;"",(HLOOKUP($F$3,COMPOSITTIONS!$D$2:$AA$66,36,FALSE)),#REF!)</f>
        <v>25</v>
      </c>
      <c r="O50" s="54">
        <f t="shared" si="9"/>
        <v>1.25</v>
      </c>
      <c r="P50" s="54">
        <f>(O50*1000)/M50</f>
        <v>657894.73684210528</v>
      </c>
      <c r="Q50" s="55" t="e">
        <f>IF(P50=#REF!,"0",(P50/$P$16))</f>
        <v>#REF!</v>
      </c>
      <c r="S50" s="173">
        <f>E50</f>
        <v>1.9E-3</v>
      </c>
      <c r="T50" s="57" t="e">
        <f ca="1">IF(T50=#REF!,"0",$J$4/T50)</f>
        <v>#DIV/0!</v>
      </c>
      <c r="U50" s="57" t="e">
        <f t="shared" si="10"/>
        <v>#VALUE!</v>
      </c>
      <c r="V50" s="305" t="e">
        <f>IF($E$4&gt;10,HLOOKUP($E$4,COMPOSITTIONS!A:V,4,FALSE),#REF!)</f>
        <v>#N/A</v>
      </c>
      <c r="W50" s="278" t="e">
        <f>IF($F$4&lt;&gt;"",(HLOOKUP($F$4,COMPOSITTIONS!$D$2:$AA$66,36,FALSE)),#REF!)</f>
        <v>#REF!</v>
      </c>
      <c r="X50" s="278" t="e">
        <f t="shared" si="11"/>
        <v>#REF!</v>
      </c>
      <c r="Y50" s="57" t="e">
        <f t="shared" si="4"/>
        <v>#REF!</v>
      </c>
      <c r="Z50" s="55" t="e">
        <f>IF(Y50=#REF!,"0",(Y50/$Y$16))</f>
        <v>#REF!</v>
      </c>
      <c r="AB50" s="303" t="str">
        <f>IF($E$6=58,(C50/1000),"")</f>
        <v/>
      </c>
      <c r="AC50" s="282" t="str">
        <f t="shared" si="12"/>
        <v/>
      </c>
      <c r="AD50" s="278" t="str">
        <f t="shared" si="36"/>
        <v/>
      </c>
      <c r="AE50" s="302" t="str">
        <f t="shared" si="5"/>
        <v/>
      </c>
      <c r="AF50" s="278" t="str">
        <f t="shared" si="13"/>
        <v/>
      </c>
      <c r="AH50" s="303" t="str">
        <f>IF($E$7=58,(C50/1000),"")</f>
        <v/>
      </c>
      <c r="AI50" s="206" t="str">
        <f t="shared" si="14"/>
        <v/>
      </c>
      <c r="AJ50" s="278" t="str">
        <f t="shared" si="15"/>
        <v/>
      </c>
      <c r="AK50" s="302" t="str">
        <f t="shared" si="16"/>
        <v/>
      </c>
      <c r="AL50" s="278" t="str">
        <f t="shared" si="17"/>
        <v/>
      </c>
      <c r="AN50" s="303" t="str">
        <f>IF($E$8=58,(C50/1000),"")</f>
        <v/>
      </c>
      <c r="AO50" s="206" t="str">
        <f t="shared" si="18"/>
        <v/>
      </c>
      <c r="AP50" s="278" t="str">
        <f t="shared" si="19"/>
        <v/>
      </c>
      <c r="AQ50" s="302" t="str">
        <f t="shared" si="20"/>
        <v/>
      </c>
      <c r="AR50" s="278" t="str">
        <f t="shared" si="21"/>
        <v/>
      </c>
      <c r="AT50" s="203" t="str">
        <f>IF($E$9=58,(C50/1000),"")</f>
        <v/>
      </c>
      <c r="AU50" s="268" t="str">
        <f t="shared" si="22"/>
        <v/>
      </c>
      <c r="AV50" s="275" t="str">
        <f t="shared" si="23"/>
        <v/>
      </c>
      <c r="AW50" s="292" t="str">
        <f t="shared" si="24"/>
        <v/>
      </c>
      <c r="AX50" s="290" t="str">
        <f t="shared" si="25"/>
        <v/>
      </c>
      <c r="AZ50" s="203" t="str">
        <f>IF($E$10=58,(C50/1000),"")</f>
        <v/>
      </c>
      <c r="BA50" s="268" t="str">
        <f t="shared" si="26"/>
        <v/>
      </c>
      <c r="BB50" s="275" t="str">
        <f t="shared" si="27"/>
        <v/>
      </c>
      <c r="BC50" s="292" t="str">
        <f t="shared" si="28"/>
        <v/>
      </c>
      <c r="BD50" s="290" t="str">
        <f t="shared" si="29"/>
        <v/>
      </c>
      <c r="BF50" s="296" t="str">
        <f>IF($E$11=58,(C50/1000),"")</f>
        <v/>
      </c>
      <c r="BG50" s="267" t="str">
        <f t="shared" si="30"/>
        <v/>
      </c>
      <c r="BH50" s="275" t="str">
        <f t="shared" si="31"/>
        <v/>
      </c>
      <c r="BI50" s="292" t="str">
        <f t="shared" si="32"/>
        <v/>
      </c>
      <c r="BJ50" s="55" t="str">
        <f t="shared" si="33"/>
        <v/>
      </c>
    </row>
    <row r="51" spans="1:62" ht="13.5" customHeight="1" thickBot="1" x14ac:dyDescent="0.3">
      <c r="A51" s="34" t="b">
        <f t="shared" si="6"/>
        <v>0</v>
      </c>
      <c r="B51" s="61">
        <f>COMPOSITTIONS!A38</f>
        <v>59</v>
      </c>
      <c r="C51" s="282">
        <f>COMPOSITTIONS!B38</f>
        <v>3.12</v>
      </c>
      <c r="D51" s="284" t="str">
        <f>COMPOSITTIONS!C38</f>
        <v>RGA 4n</v>
      </c>
      <c r="E51" s="276">
        <f t="shared" si="3"/>
        <v>3.1199999999999999E-3</v>
      </c>
      <c r="F51" s="278" t="e">
        <f>(#REF!+O51+AE51+AJ51+AP51+AV51+BB51+BH51+X51)</f>
        <v>#REF!</v>
      </c>
      <c r="G51" s="271" t="e">
        <f t="shared" si="34"/>
        <v>#REF!</v>
      </c>
      <c r="H51" s="275" t="e">
        <f>(BI51+BC51+AW51+AQ51+AK51+AF51+P51)</f>
        <v>#VALUE!</v>
      </c>
      <c r="I51" s="271" t="e">
        <f t="shared" si="35"/>
        <v>#VALUE!</v>
      </c>
      <c r="J51" s="56"/>
      <c r="K51" s="56"/>
      <c r="L51" s="56"/>
      <c r="M51" s="144">
        <f t="shared" si="8"/>
        <v>3.1199999999999999E-3</v>
      </c>
      <c r="N51" s="58">
        <f>IF($F$3&lt;&gt;"",(HLOOKUP($F$3,COMPOSITTIONS!$D$2:$AA$66,37,FALSE)),#REF!)</f>
        <v>15</v>
      </c>
      <c r="O51" s="54">
        <f t="shared" si="9"/>
        <v>0.75</v>
      </c>
      <c r="P51" s="54">
        <f>(O51*1000)/M51</f>
        <v>240384.61538461538</v>
      </c>
      <c r="Q51" s="55" t="e">
        <f>IF(P51=#REF!,"0",(P51/$P$16))</f>
        <v>#REF!</v>
      </c>
      <c r="S51" s="173">
        <f>E51</f>
        <v>3.1199999999999999E-3</v>
      </c>
      <c r="T51" s="57" t="e">
        <f ca="1">IF(T51=#REF!,"0",$J$4/T51)</f>
        <v>#DIV/0!</v>
      </c>
      <c r="U51" s="57" t="e">
        <f t="shared" si="10"/>
        <v>#VALUE!</v>
      </c>
      <c r="V51" s="305" t="e">
        <f>IF($E$4&gt;10,HLOOKUP($E$4,COMPOSITTIONS!A:V,4,FALSE),#REF!)</f>
        <v>#N/A</v>
      </c>
      <c r="W51" s="278" t="e">
        <f>IF($F$4&lt;&gt;"",(HLOOKUP($F$4,COMPOSITTIONS!$D$2:$AA$66,37,FALSE)),#REF!)</f>
        <v>#REF!</v>
      </c>
      <c r="X51" s="278" t="e">
        <f t="shared" si="11"/>
        <v>#REF!</v>
      </c>
      <c r="Y51" s="57" t="e">
        <f t="shared" si="4"/>
        <v>#REF!</v>
      </c>
      <c r="Z51" s="55" t="e">
        <f>IF(Y51=#REF!,"0",(Y51/$Y$16))</f>
        <v>#REF!</v>
      </c>
      <c r="AB51" s="303" t="str">
        <f>IF($E$6=59,(C51/1000),"")</f>
        <v/>
      </c>
      <c r="AC51" s="282" t="str">
        <f t="shared" si="12"/>
        <v/>
      </c>
      <c r="AD51" s="278" t="str">
        <f t="shared" si="36"/>
        <v/>
      </c>
      <c r="AE51" s="302" t="str">
        <f t="shared" si="5"/>
        <v/>
      </c>
      <c r="AF51" s="278" t="str">
        <f t="shared" si="13"/>
        <v/>
      </c>
      <c r="AH51" s="303" t="str">
        <f>IF($E$7=59,(C51/1000),"")</f>
        <v/>
      </c>
      <c r="AI51" s="206" t="str">
        <f t="shared" si="14"/>
        <v/>
      </c>
      <c r="AJ51" s="278" t="str">
        <f t="shared" si="15"/>
        <v/>
      </c>
      <c r="AK51" s="302" t="str">
        <f t="shared" si="16"/>
        <v/>
      </c>
      <c r="AL51" s="278" t="str">
        <f t="shared" si="17"/>
        <v/>
      </c>
      <c r="AN51" s="303" t="str">
        <f>IF($E$8=59,(C51/1000),"")</f>
        <v/>
      </c>
      <c r="AO51" s="206" t="str">
        <f t="shared" si="18"/>
        <v/>
      </c>
      <c r="AP51" s="278" t="str">
        <f t="shared" si="19"/>
        <v/>
      </c>
      <c r="AQ51" s="302" t="str">
        <f t="shared" si="20"/>
        <v/>
      </c>
      <c r="AR51" s="278" t="str">
        <f t="shared" si="21"/>
        <v/>
      </c>
      <c r="AT51" s="203" t="str">
        <f>IF($E$9=59,(C51/1000),"")</f>
        <v/>
      </c>
      <c r="AU51" s="268" t="str">
        <f t="shared" si="22"/>
        <v/>
      </c>
      <c r="AV51" s="275" t="str">
        <f t="shared" si="23"/>
        <v/>
      </c>
      <c r="AW51" s="292" t="str">
        <f t="shared" si="24"/>
        <v/>
      </c>
      <c r="AX51" s="290" t="str">
        <f t="shared" si="25"/>
        <v/>
      </c>
      <c r="AZ51" s="203" t="str">
        <f>IF($E$10=59,(C51/1000),"")</f>
        <v/>
      </c>
      <c r="BA51" s="268" t="str">
        <f t="shared" si="26"/>
        <v/>
      </c>
      <c r="BB51" s="275" t="str">
        <f t="shared" si="27"/>
        <v/>
      </c>
      <c r="BC51" s="292" t="str">
        <f t="shared" si="28"/>
        <v/>
      </c>
      <c r="BD51" s="290" t="str">
        <f t="shared" si="29"/>
        <v/>
      </c>
      <c r="BF51" s="296" t="str">
        <f>IF($E$11=59,(C51/1000),"")</f>
        <v/>
      </c>
      <c r="BG51" s="267" t="str">
        <f t="shared" si="30"/>
        <v/>
      </c>
      <c r="BH51" s="275" t="str">
        <f t="shared" si="31"/>
        <v/>
      </c>
      <c r="BI51" s="292" t="str">
        <f t="shared" si="32"/>
        <v/>
      </c>
      <c r="BJ51" s="55" t="str">
        <f t="shared" si="33"/>
        <v/>
      </c>
    </row>
    <row r="52" spans="1:62" ht="13.5" customHeight="1" thickBot="1" x14ac:dyDescent="0.3">
      <c r="A52" s="34" t="b">
        <f t="shared" si="6"/>
        <v>0</v>
      </c>
      <c r="B52" s="61">
        <f>COMPOSITTIONS!A39</f>
        <v>60</v>
      </c>
      <c r="C52" s="282">
        <f>COMPOSITTIONS!B39</f>
        <v>2.15</v>
      </c>
      <c r="D52" s="284" t="str">
        <f>COMPOSITTIONS!C39</f>
        <v>RGH 2n</v>
      </c>
      <c r="E52" s="276">
        <f t="shared" si="3"/>
        <v>2.15E-3</v>
      </c>
      <c r="F52" s="278" t="e">
        <f>(#REF!+O52+AE52+AJ52+AP52+AV52+BB52+BH52+X52)</f>
        <v>#REF!</v>
      </c>
      <c r="G52" s="271" t="e">
        <f t="shared" si="34"/>
        <v>#REF!</v>
      </c>
      <c r="H52" s="275" t="e">
        <f>(BI52+BC52+AW52+AQ52+AK52+AF52+P52)</f>
        <v>#VALUE!</v>
      </c>
      <c r="I52" s="271" t="e">
        <f t="shared" si="35"/>
        <v>#VALUE!</v>
      </c>
      <c r="J52" s="56"/>
      <c r="K52" s="56"/>
      <c r="L52" s="56"/>
      <c r="M52" s="144">
        <f t="shared" si="8"/>
        <v>2.15E-3</v>
      </c>
      <c r="N52" s="58">
        <f>IF($F$3&lt;&gt;"",(HLOOKUP($F$3,COMPOSITTIONS!$D$2:$AA$66,38,FALSE)),#REF!)</f>
        <v>0</v>
      </c>
      <c r="O52" s="54">
        <f t="shared" si="9"/>
        <v>0</v>
      </c>
      <c r="P52" s="54">
        <f>(O52*1000)/M52</f>
        <v>0</v>
      </c>
      <c r="Q52" s="55" t="e">
        <f>IF(P52=#REF!,"0",(P52/$P$16))</f>
        <v>#REF!</v>
      </c>
      <c r="S52" s="173">
        <f>E52</f>
        <v>2.15E-3</v>
      </c>
      <c r="T52" s="57" t="e">
        <f ca="1">IF(T52=#REF!,"0",$J$4/T52)</f>
        <v>#DIV/0!</v>
      </c>
      <c r="U52" s="57" t="e">
        <f t="shared" si="10"/>
        <v>#VALUE!</v>
      </c>
      <c r="V52" s="305" t="e">
        <f>IF($E$4&gt;10,HLOOKUP($E$4,COMPOSITTIONS!A:V,4,FALSE),#REF!)</f>
        <v>#N/A</v>
      </c>
      <c r="W52" s="278" t="e">
        <f>IF($F$4&lt;&gt;"",(HLOOKUP($F$4,COMPOSITTIONS!$D$2:$AA$66,38,FALSE)),#REF!)</f>
        <v>#REF!</v>
      </c>
      <c r="X52" s="278" t="e">
        <f t="shared" si="11"/>
        <v>#REF!</v>
      </c>
      <c r="Y52" s="57" t="e">
        <f t="shared" si="4"/>
        <v>#REF!</v>
      </c>
      <c r="Z52" s="55" t="e">
        <f>IF(Y52=#REF!,"0",(Y52/$Y$16))</f>
        <v>#REF!</v>
      </c>
      <c r="AB52" s="303" t="str">
        <f>IF($E$6=60,(C52/1000),"")</f>
        <v/>
      </c>
      <c r="AC52" s="282" t="str">
        <f t="shared" si="12"/>
        <v/>
      </c>
      <c r="AD52" s="278" t="str">
        <f t="shared" si="36"/>
        <v/>
      </c>
      <c r="AE52" s="302" t="str">
        <f t="shared" si="5"/>
        <v/>
      </c>
      <c r="AF52" s="278" t="str">
        <f t="shared" si="13"/>
        <v/>
      </c>
      <c r="AH52" s="303" t="str">
        <f>IF($E$7=60,(C52/1000),"")</f>
        <v/>
      </c>
      <c r="AI52" s="206" t="str">
        <f t="shared" si="14"/>
        <v/>
      </c>
      <c r="AJ52" s="278" t="str">
        <f t="shared" si="15"/>
        <v/>
      </c>
      <c r="AK52" s="302" t="str">
        <f t="shared" si="16"/>
        <v/>
      </c>
      <c r="AL52" s="278" t="str">
        <f t="shared" si="17"/>
        <v/>
      </c>
      <c r="AN52" s="303" t="str">
        <f>IF($E$8=60,(C52/1000),"")</f>
        <v/>
      </c>
      <c r="AO52" s="206" t="str">
        <f t="shared" si="18"/>
        <v/>
      </c>
      <c r="AP52" s="278" t="str">
        <f t="shared" si="19"/>
        <v/>
      </c>
      <c r="AQ52" s="302" t="str">
        <f t="shared" si="20"/>
        <v/>
      </c>
      <c r="AR52" s="278" t="str">
        <f t="shared" si="21"/>
        <v/>
      </c>
      <c r="AT52" s="203" t="str">
        <f>IF($E$9=60,(C52/1000),"")</f>
        <v/>
      </c>
      <c r="AU52" s="268" t="str">
        <f t="shared" si="22"/>
        <v/>
      </c>
      <c r="AV52" s="275" t="str">
        <f t="shared" si="23"/>
        <v/>
      </c>
      <c r="AW52" s="292" t="str">
        <f t="shared" si="24"/>
        <v/>
      </c>
      <c r="AX52" s="290" t="str">
        <f t="shared" si="25"/>
        <v/>
      </c>
      <c r="AZ52" s="203" t="str">
        <f>IF($E$10=60,(C52/1000),"")</f>
        <v/>
      </c>
      <c r="BA52" s="268" t="str">
        <f t="shared" si="26"/>
        <v/>
      </c>
      <c r="BB52" s="275" t="str">
        <f t="shared" si="27"/>
        <v/>
      </c>
      <c r="BC52" s="292" t="str">
        <f t="shared" si="28"/>
        <v/>
      </c>
      <c r="BD52" s="290" t="str">
        <f t="shared" si="29"/>
        <v/>
      </c>
      <c r="BF52" s="296" t="str">
        <f>IF($E$11=60,(C52/1000),"")</f>
        <v/>
      </c>
      <c r="BG52" s="267" t="str">
        <f t="shared" si="30"/>
        <v/>
      </c>
      <c r="BH52" s="275" t="str">
        <f t="shared" si="31"/>
        <v/>
      </c>
      <c r="BI52" s="292" t="str">
        <f t="shared" si="32"/>
        <v/>
      </c>
      <c r="BJ52" s="55" t="str">
        <f t="shared" si="33"/>
        <v/>
      </c>
    </row>
    <row r="53" spans="1:62" ht="13.5" customHeight="1" thickBot="1" x14ac:dyDescent="0.3">
      <c r="A53" s="34" t="b">
        <f t="shared" si="6"/>
        <v>0</v>
      </c>
      <c r="B53" s="61">
        <f>COMPOSITTIONS!A40</f>
        <v>61</v>
      </c>
      <c r="C53" s="282">
        <f>COMPOSITTIONS!B40</f>
        <v>3.8</v>
      </c>
      <c r="D53" s="284" t="str">
        <f>COMPOSITTIONS!C40</f>
        <v>RGH 4n</v>
      </c>
      <c r="E53" s="276">
        <f t="shared" si="3"/>
        <v>3.8E-3</v>
      </c>
      <c r="F53" s="278" t="e">
        <f>(#REF!+O53+AE53+AJ53+AP53+AV53+BB53+BH53+X53)</f>
        <v>#REF!</v>
      </c>
      <c r="G53" s="271" t="e">
        <f t="shared" si="34"/>
        <v>#REF!</v>
      </c>
      <c r="H53" s="275" t="e">
        <f>(BI53+BC53+AW53+AQ53+AK53+AF53+P53)</f>
        <v>#VALUE!</v>
      </c>
      <c r="I53" s="271" t="e">
        <f t="shared" si="35"/>
        <v>#VALUE!</v>
      </c>
      <c r="J53" s="56"/>
      <c r="K53" s="56"/>
      <c r="L53" s="56"/>
      <c r="M53" s="144">
        <f t="shared" si="8"/>
        <v>3.8E-3</v>
      </c>
      <c r="N53" s="58">
        <f>IF($F$3&lt;&gt;"",(HLOOKUP($F$3,COMPOSITTIONS!$D$2:$AA$66,39,FALSE)),#REF!)</f>
        <v>0</v>
      </c>
      <c r="O53" s="54">
        <f t="shared" si="9"/>
        <v>0</v>
      </c>
      <c r="P53" s="54">
        <f>(O53*1000)/M53</f>
        <v>0</v>
      </c>
      <c r="Q53" s="55" t="e">
        <f>IF(P53=#REF!,"0",(P53/$P$16))</f>
        <v>#REF!</v>
      </c>
      <c r="S53" s="173">
        <f>E53</f>
        <v>3.8E-3</v>
      </c>
      <c r="T53" s="57" t="e">
        <f ca="1">IF(T53=#REF!,"0",$J$4/T53)</f>
        <v>#DIV/0!</v>
      </c>
      <c r="U53" s="57" t="e">
        <f t="shared" si="10"/>
        <v>#VALUE!</v>
      </c>
      <c r="V53" s="305" t="e">
        <f>IF($E$4&gt;10,HLOOKUP($E$4,COMPOSITTIONS!A:V,4,FALSE),#REF!)</f>
        <v>#N/A</v>
      </c>
      <c r="W53" s="278" t="e">
        <f>IF($F$4&lt;&gt;"",(HLOOKUP($F$4,COMPOSITTIONS!$D$2:$AA$66,39,FALSE)),#REF!)</f>
        <v>#REF!</v>
      </c>
      <c r="X53" s="278" t="e">
        <f t="shared" si="11"/>
        <v>#REF!</v>
      </c>
      <c r="Y53" s="57" t="e">
        <f t="shared" si="4"/>
        <v>#REF!</v>
      </c>
      <c r="Z53" s="55" t="e">
        <f>IF(Y53=#REF!,"0",(Y53/$Y$16))</f>
        <v>#REF!</v>
      </c>
      <c r="AB53" s="303" t="str">
        <f>IF($E$6=61,(C53/1000),"")</f>
        <v/>
      </c>
      <c r="AC53" s="282" t="str">
        <f t="shared" si="12"/>
        <v/>
      </c>
      <c r="AD53" s="278" t="str">
        <f t="shared" si="36"/>
        <v/>
      </c>
      <c r="AE53" s="302" t="str">
        <f t="shared" si="5"/>
        <v/>
      </c>
      <c r="AF53" s="278" t="str">
        <f t="shared" si="13"/>
        <v/>
      </c>
      <c r="AH53" s="303" t="str">
        <f>IF($E$7=61,(C53/1000),"")</f>
        <v/>
      </c>
      <c r="AI53" s="206" t="str">
        <f t="shared" si="14"/>
        <v/>
      </c>
      <c r="AJ53" s="278" t="str">
        <f t="shared" si="15"/>
        <v/>
      </c>
      <c r="AK53" s="302" t="str">
        <f t="shared" si="16"/>
        <v/>
      </c>
      <c r="AL53" s="278" t="str">
        <f t="shared" si="17"/>
        <v/>
      </c>
      <c r="AN53" s="303" t="str">
        <f>IF($E$8=61,(C53/1000),"")</f>
        <v/>
      </c>
      <c r="AO53" s="206" t="str">
        <f t="shared" si="18"/>
        <v/>
      </c>
      <c r="AP53" s="278" t="str">
        <f t="shared" si="19"/>
        <v/>
      </c>
      <c r="AQ53" s="302" t="str">
        <f t="shared" si="20"/>
        <v/>
      </c>
      <c r="AR53" s="278" t="str">
        <f t="shared" si="21"/>
        <v/>
      </c>
      <c r="AT53" s="203" t="str">
        <f>IF($E$9=61,(C53/1000),"")</f>
        <v/>
      </c>
      <c r="AU53" s="268" t="str">
        <f t="shared" si="22"/>
        <v/>
      </c>
      <c r="AV53" s="275" t="str">
        <f t="shared" si="23"/>
        <v/>
      </c>
      <c r="AW53" s="292" t="str">
        <f t="shared" si="24"/>
        <v/>
      </c>
      <c r="AX53" s="290" t="str">
        <f t="shared" si="25"/>
        <v/>
      </c>
      <c r="AZ53" s="203" t="str">
        <f>IF($E$10=61,(C53/1000),"")</f>
        <v/>
      </c>
      <c r="BA53" s="268" t="str">
        <f t="shared" si="26"/>
        <v/>
      </c>
      <c r="BB53" s="275" t="str">
        <f t="shared" si="27"/>
        <v/>
      </c>
      <c r="BC53" s="292" t="str">
        <f t="shared" si="28"/>
        <v/>
      </c>
      <c r="BD53" s="290" t="str">
        <f t="shared" si="29"/>
        <v/>
      </c>
      <c r="BF53" s="296" t="str">
        <f>IF($E$11=61,(C53/1000),"")</f>
        <v/>
      </c>
      <c r="BG53" s="267" t="str">
        <f t="shared" si="30"/>
        <v/>
      </c>
      <c r="BH53" s="275" t="str">
        <f t="shared" si="31"/>
        <v/>
      </c>
      <c r="BI53" s="292" t="str">
        <f t="shared" si="32"/>
        <v/>
      </c>
      <c r="BJ53" s="55" t="str">
        <f t="shared" si="33"/>
        <v/>
      </c>
    </row>
    <row r="54" spans="1:62" ht="13.5" customHeight="1" thickBot="1" x14ac:dyDescent="0.3">
      <c r="A54" s="34" t="b">
        <f t="shared" si="6"/>
        <v>0</v>
      </c>
      <c r="B54" s="61">
        <f>COMPOSITTIONS!A41</f>
        <v>62</v>
      </c>
      <c r="C54" s="282">
        <f>COMPOSITTIONS!B41</f>
        <v>2</v>
      </c>
      <c r="D54" s="284" t="str">
        <f>COMPOSITTIONS!C41</f>
        <v>RGI A 2N</v>
      </c>
      <c r="E54" s="276">
        <f t="shared" si="3"/>
        <v>2E-3</v>
      </c>
      <c r="F54" s="278" t="e">
        <f>(#REF!+O54+AE54+AJ54+AP54+AV54+BB54+BH54+X54)</f>
        <v>#REF!</v>
      </c>
      <c r="G54" s="271" t="e">
        <f t="shared" si="34"/>
        <v>#REF!</v>
      </c>
      <c r="H54" s="275" t="e">
        <f>(BI54+BC54+AW54+AQ54+AK54+AF54+P54)</f>
        <v>#VALUE!</v>
      </c>
      <c r="I54" s="271" t="e">
        <f t="shared" si="35"/>
        <v>#VALUE!</v>
      </c>
      <c r="J54" s="56"/>
      <c r="K54" s="56"/>
      <c r="L54" s="56"/>
      <c r="M54" s="144">
        <f t="shared" si="8"/>
        <v>2E-3</v>
      </c>
      <c r="N54" s="58">
        <f>IF($F$3&lt;&gt;"",(HLOOKUP($F$3,COMPOSITTIONS!$D$2:$AA$66,40,FALSE)),#REF!)</f>
        <v>0</v>
      </c>
      <c r="O54" s="54">
        <f t="shared" si="9"/>
        <v>0</v>
      </c>
      <c r="P54" s="54">
        <f>(O54*1000)/M54</f>
        <v>0</v>
      </c>
      <c r="Q54" s="55" t="e">
        <f>IF(P54=#REF!,"0",(P54/$P$16))</f>
        <v>#REF!</v>
      </c>
      <c r="S54" s="173">
        <f>E54</f>
        <v>2E-3</v>
      </c>
      <c r="T54" s="57" t="e">
        <f ca="1">IF(T54=#REF!,"0",$J$4/T54)</f>
        <v>#DIV/0!</v>
      </c>
      <c r="U54" s="57" t="e">
        <f t="shared" si="10"/>
        <v>#VALUE!</v>
      </c>
      <c r="V54" s="305" t="e">
        <f>IF($E$4&gt;10,HLOOKUP($E$4,COMPOSITTIONS!A:V,4,FALSE),#REF!)</f>
        <v>#N/A</v>
      </c>
      <c r="W54" s="278" t="e">
        <f>IF($F$4&lt;&gt;"",(HLOOKUP($F$4,COMPOSITTIONS!$D$2:$AA$66,40,FALSE)),#REF!)</f>
        <v>#REF!</v>
      </c>
      <c r="X54" s="278" t="e">
        <f t="shared" si="11"/>
        <v>#REF!</v>
      </c>
      <c r="Y54" s="57" t="e">
        <f t="shared" si="4"/>
        <v>#REF!</v>
      </c>
      <c r="Z54" s="55" t="e">
        <f>IF(Y54=#REF!,"0",(Y54/$Y$16))</f>
        <v>#REF!</v>
      </c>
      <c r="AB54" s="303" t="str">
        <f>IF($E$6=62,(C54/1000),"")</f>
        <v/>
      </c>
      <c r="AC54" s="282" t="str">
        <f t="shared" si="12"/>
        <v/>
      </c>
      <c r="AD54" s="278" t="str">
        <f t="shared" si="36"/>
        <v/>
      </c>
      <c r="AE54" s="302" t="str">
        <f t="shared" si="5"/>
        <v/>
      </c>
      <c r="AF54" s="278" t="str">
        <f t="shared" si="13"/>
        <v/>
      </c>
      <c r="AH54" s="303" t="str">
        <f>IF($E$7=62,(C54/1000),"")</f>
        <v/>
      </c>
      <c r="AI54" s="206" t="str">
        <f t="shared" si="14"/>
        <v/>
      </c>
      <c r="AJ54" s="278" t="str">
        <f t="shared" si="15"/>
        <v/>
      </c>
      <c r="AK54" s="302" t="str">
        <f t="shared" si="16"/>
        <v/>
      </c>
      <c r="AL54" s="278" t="str">
        <f t="shared" si="17"/>
        <v/>
      </c>
      <c r="AN54" s="303" t="str">
        <f>IF($E$8=62,(C54/1000),"")</f>
        <v/>
      </c>
      <c r="AO54" s="206" t="str">
        <f t="shared" si="18"/>
        <v/>
      </c>
      <c r="AP54" s="278" t="str">
        <f t="shared" si="19"/>
        <v/>
      </c>
      <c r="AQ54" s="302" t="str">
        <f t="shared" si="20"/>
        <v/>
      </c>
      <c r="AR54" s="278" t="str">
        <f t="shared" si="21"/>
        <v/>
      </c>
      <c r="AT54" s="203" t="str">
        <f>IF($E$9=62,(C54/1000),"")</f>
        <v/>
      </c>
      <c r="AU54" s="268" t="str">
        <f t="shared" si="22"/>
        <v/>
      </c>
      <c r="AV54" s="275" t="str">
        <f t="shared" si="23"/>
        <v/>
      </c>
      <c r="AW54" s="292" t="str">
        <f t="shared" si="24"/>
        <v/>
      </c>
      <c r="AX54" s="290" t="str">
        <f t="shared" si="25"/>
        <v/>
      </c>
      <c r="AZ54" s="203" t="str">
        <f>IF($E$10=62,(C54/1000),"")</f>
        <v/>
      </c>
      <c r="BA54" s="268" t="str">
        <f t="shared" si="26"/>
        <v/>
      </c>
      <c r="BB54" s="275" t="str">
        <f t="shared" si="27"/>
        <v/>
      </c>
      <c r="BC54" s="292" t="str">
        <f t="shared" si="28"/>
        <v/>
      </c>
      <c r="BD54" s="290" t="str">
        <f t="shared" si="29"/>
        <v/>
      </c>
      <c r="BF54" s="296" t="str">
        <f>IF($E$11=62,(C54/1000),"")</f>
        <v/>
      </c>
      <c r="BG54" s="267" t="str">
        <f t="shared" si="30"/>
        <v/>
      </c>
      <c r="BH54" s="275" t="str">
        <f t="shared" si="31"/>
        <v/>
      </c>
      <c r="BI54" s="292" t="str">
        <f t="shared" si="32"/>
        <v/>
      </c>
      <c r="BJ54" s="55" t="str">
        <f t="shared" si="33"/>
        <v/>
      </c>
    </row>
    <row r="55" spans="1:62" ht="13.5" customHeight="1" thickBot="1" x14ac:dyDescent="0.3">
      <c r="A55" s="34" t="b">
        <f t="shared" si="6"/>
        <v>0</v>
      </c>
      <c r="B55" s="61">
        <f>COMPOSITTIONS!A42</f>
        <v>63</v>
      </c>
      <c r="C55" s="282">
        <f>COMPOSITTIONS!B42</f>
        <v>2.7</v>
      </c>
      <c r="D55" s="284" t="str">
        <f>COMPOSITTIONS!C42</f>
        <v>RGI A 4N</v>
      </c>
      <c r="E55" s="276">
        <f t="shared" si="3"/>
        <v>2.7000000000000001E-3</v>
      </c>
      <c r="F55" s="278" t="e">
        <f>(#REF!+O55+AE55+AJ55+AP55+AV55+BB55+BH55+X55)</f>
        <v>#REF!</v>
      </c>
      <c r="G55" s="271" t="e">
        <f t="shared" si="34"/>
        <v>#REF!</v>
      </c>
      <c r="H55" s="275" t="e">
        <f>(BI55+BC55+AW55+AQ55+AK55+AF55+P55)</f>
        <v>#VALUE!</v>
      </c>
      <c r="I55" s="271" t="e">
        <f t="shared" si="35"/>
        <v>#VALUE!</v>
      </c>
      <c r="J55" s="56"/>
      <c r="K55" s="56"/>
      <c r="L55" s="56"/>
      <c r="M55" s="144">
        <f t="shared" si="8"/>
        <v>2.7000000000000001E-3</v>
      </c>
      <c r="N55" s="58">
        <f>IF($F$3&lt;&gt;"",(HLOOKUP($F$3,COMPOSITTIONS!$D$2:$AA$66,41,FALSE)),#REF!)</f>
        <v>0</v>
      </c>
      <c r="O55" s="54">
        <f t="shared" si="9"/>
        <v>0</v>
      </c>
      <c r="P55" s="54">
        <f>(O55*1000)/M55</f>
        <v>0</v>
      </c>
      <c r="Q55" s="55" t="e">
        <f>IF(P55=#REF!,"0",(P55/$P$16))</f>
        <v>#REF!</v>
      </c>
      <c r="S55" s="173">
        <f>E55</f>
        <v>2.7000000000000001E-3</v>
      </c>
      <c r="T55" s="57" t="e">
        <f ca="1">IF(T55=#REF!,"0",$J$4/T55)</f>
        <v>#DIV/0!</v>
      </c>
      <c r="U55" s="57" t="e">
        <f t="shared" si="10"/>
        <v>#VALUE!</v>
      </c>
      <c r="V55" s="305" t="e">
        <f>IF($E$4&gt;10,HLOOKUP($E$4,COMPOSITTIONS!A:V,4,FALSE),#REF!)</f>
        <v>#N/A</v>
      </c>
      <c r="W55" s="278" t="e">
        <f>IF($F$4&lt;&gt;"",(HLOOKUP($F$4,COMPOSITTIONS!$D$2:$AA$66,41,FALSE)),#REF!)</f>
        <v>#REF!</v>
      </c>
      <c r="X55" s="278" t="e">
        <f t="shared" si="11"/>
        <v>#REF!</v>
      </c>
      <c r="Y55" s="57" t="e">
        <f t="shared" si="4"/>
        <v>#REF!</v>
      </c>
      <c r="Z55" s="55" t="e">
        <f>IF(Y55=#REF!,"0",(Y55/$Y$16))</f>
        <v>#REF!</v>
      </c>
      <c r="AB55" s="303" t="str">
        <f>IF($E$6=63,(C55/1000),"")</f>
        <v/>
      </c>
      <c r="AC55" s="282" t="str">
        <f t="shared" si="12"/>
        <v/>
      </c>
      <c r="AD55" s="278" t="str">
        <f t="shared" si="36"/>
        <v/>
      </c>
      <c r="AE55" s="302" t="str">
        <f t="shared" si="5"/>
        <v/>
      </c>
      <c r="AF55" s="278" t="str">
        <f t="shared" si="13"/>
        <v/>
      </c>
      <c r="AH55" s="303" t="str">
        <f>IF($E$7=63,(C55/1000),"")</f>
        <v/>
      </c>
      <c r="AI55" s="206" t="str">
        <f t="shared" si="14"/>
        <v/>
      </c>
      <c r="AJ55" s="278" t="str">
        <f t="shared" si="15"/>
        <v/>
      </c>
      <c r="AK55" s="302" t="str">
        <f t="shared" si="16"/>
        <v/>
      </c>
      <c r="AL55" s="278" t="str">
        <f t="shared" si="17"/>
        <v/>
      </c>
      <c r="AN55" s="303" t="str">
        <f>IF($E$8=63,(C55/1000),"")</f>
        <v/>
      </c>
      <c r="AO55" s="206" t="str">
        <f t="shared" si="18"/>
        <v/>
      </c>
      <c r="AP55" s="278" t="str">
        <f t="shared" si="19"/>
        <v/>
      </c>
      <c r="AQ55" s="302" t="str">
        <f t="shared" si="20"/>
        <v/>
      </c>
      <c r="AR55" s="278" t="str">
        <f t="shared" si="21"/>
        <v/>
      </c>
      <c r="AT55" s="203" t="str">
        <f>IF($E$9=63,(C55/1000),"")</f>
        <v/>
      </c>
      <c r="AU55" s="268" t="str">
        <f t="shared" si="22"/>
        <v/>
      </c>
      <c r="AV55" s="275" t="str">
        <f t="shared" si="23"/>
        <v/>
      </c>
      <c r="AW55" s="292" t="str">
        <f t="shared" si="24"/>
        <v/>
      </c>
      <c r="AX55" s="290" t="str">
        <f t="shared" si="25"/>
        <v/>
      </c>
      <c r="AZ55" s="203" t="str">
        <f>IF($E$10=63,(C55/1000),"")</f>
        <v/>
      </c>
      <c r="BA55" s="268" t="str">
        <f>IF(AZ55="","",(1/AZ55))</f>
        <v/>
      </c>
      <c r="BB55" s="275" t="str">
        <f t="shared" si="27"/>
        <v/>
      </c>
      <c r="BC55" s="292" t="str">
        <f t="shared" si="28"/>
        <v/>
      </c>
      <c r="BD55" s="290" t="str">
        <f t="shared" si="29"/>
        <v/>
      </c>
      <c r="BF55" s="296" t="str">
        <f>IF($E$11=63,(C55/1000),"")</f>
        <v/>
      </c>
      <c r="BG55" s="267" t="str">
        <f t="shared" si="30"/>
        <v/>
      </c>
      <c r="BH55" s="275" t="str">
        <f t="shared" si="31"/>
        <v/>
      </c>
      <c r="BI55" s="292" t="str">
        <f t="shared" si="32"/>
        <v/>
      </c>
      <c r="BJ55" s="55" t="str">
        <f t="shared" si="33"/>
        <v/>
      </c>
    </row>
    <row r="56" spans="1:62" ht="13.5" customHeight="1" thickBot="1" x14ac:dyDescent="0.3">
      <c r="A56" s="34" t="b">
        <f t="shared" si="6"/>
        <v>0</v>
      </c>
      <c r="B56" s="61">
        <f>COMPOSITTIONS!A43</f>
        <v>64</v>
      </c>
      <c r="C56" s="282">
        <f>COMPOSITTIONS!B43</f>
        <v>2</v>
      </c>
      <c r="D56" s="284" t="str">
        <f>COMPOSITTIONS!C43</f>
        <v>RGI NA 2N</v>
      </c>
      <c r="E56" s="276">
        <f t="shared" si="3"/>
        <v>2E-3</v>
      </c>
      <c r="F56" s="278" t="e">
        <f>(#REF!+O56+AE56+AJ56+AP56+AV56+BB56+BH56+X56)</f>
        <v>#REF!</v>
      </c>
      <c r="G56" s="271" t="e">
        <f t="shared" si="34"/>
        <v>#REF!</v>
      </c>
      <c r="H56" s="275" t="e">
        <f>(BI56+BC56+AW56+AQ56+AK56+AF56+P56)</f>
        <v>#VALUE!</v>
      </c>
      <c r="I56" s="271" t="e">
        <f t="shared" si="35"/>
        <v>#VALUE!</v>
      </c>
      <c r="J56" s="56"/>
      <c r="K56" s="56"/>
      <c r="L56" s="56"/>
      <c r="M56" s="144">
        <f t="shared" si="8"/>
        <v>2E-3</v>
      </c>
      <c r="N56" s="58">
        <f>IF($F$3&lt;&gt;"",(HLOOKUP($F$3,COMPOSITTIONS!$D$2:$AA$66,42,FALSE)),#REF!)</f>
        <v>0</v>
      </c>
      <c r="O56" s="54">
        <f t="shared" si="9"/>
        <v>0</v>
      </c>
      <c r="P56" s="54">
        <f>(O56*1000)/M56</f>
        <v>0</v>
      </c>
      <c r="Q56" s="55" t="e">
        <f>IF(P56=#REF!,"0",(P56/$P$16))</f>
        <v>#REF!</v>
      </c>
      <c r="S56" s="173">
        <f>E56</f>
        <v>2E-3</v>
      </c>
      <c r="T56" s="57" t="e">
        <f ca="1">IF(T56=#REF!,"0",$J$4/T56)</f>
        <v>#DIV/0!</v>
      </c>
      <c r="U56" s="57" t="e">
        <f t="shared" si="10"/>
        <v>#VALUE!</v>
      </c>
      <c r="V56" s="305" t="e">
        <f>IF($E$4&gt;10,HLOOKUP($E$4,COMPOSITTIONS!A:V,4,FALSE),#REF!)</f>
        <v>#N/A</v>
      </c>
      <c r="W56" s="278" t="e">
        <f>IF($F$4&lt;&gt;"",(HLOOKUP($F$4,COMPOSITTIONS!$D$2:$AA$66,42,FALSE)),#REF!)</f>
        <v>#REF!</v>
      </c>
      <c r="X56" s="278" t="e">
        <f t="shared" si="11"/>
        <v>#REF!</v>
      </c>
      <c r="Y56" s="57" t="e">
        <f t="shared" si="4"/>
        <v>#REF!</v>
      </c>
      <c r="Z56" s="55" t="e">
        <f>IF(Y56=#REF!,"0",(Y56/$Y$16))</f>
        <v>#REF!</v>
      </c>
      <c r="AB56" s="303" t="str">
        <f>IF($E$6=64,(C56/1000),"")</f>
        <v/>
      </c>
      <c r="AC56" s="282" t="str">
        <f t="shared" si="12"/>
        <v/>
      </c>
      <c r="AD56" s="278" t="str">
        <f t="shared" si="36"/>
        <v/>
      </c>
      <c r="AE56" s="302" t="str">
        <f t="shared" si="5"/>
        <v/>
      </c>
      <c r="AF56" s="278" t="str">
        <f t="shared" si="13"/>
        <v/>
      </c>
      <c r="AH56" s="303" t="str">
        <f>IF($E$7=64,(C56/1000),"")</f>
        <v/>
      </c>
      <c r="AI56" s="206" t="str">
        <f t="shared" si="14"/>
        <v/>
      </c>
      <c r="AJ56" s="278" t="str">
        <f t="shared" si="15"/>
        <v/>
      </c>
      <c r="AK56" s="302" t="str">
        <f t="shared" si="16"/>
        <v/>
      </c>
      <c r="AL56" s="278" t="str">
        <f t="shared" si="17"/>
        <v/>
      </c>
      <c r="AN56" s="296" t="str">
        <f>IF($E$8=64,(C56/1000),"")</f>
        <v/>
      </c>
      <c r="AO56" s="211" t="str">
        <f t="shared" si="18"/>
        <v/>
      </c>
      <c r="AP56" s="51" t="str">
        <f t="shared" si="19"/>
        <v/>
      </c>
      <c r="AQ56" s="286" t="str">
        <f t="shared" si="20"/>
        <v/>
      </c>
      <c r="AR56" s="51" t="str">
        <f t="shared" si="21"/>
        <v/>
      </c>
      <c r="AT56" s="203" t="str">
        <f>IF($E$9=64,(C56/1000),"")</f>
        <v/>
      </c>
      <c r="AU56" s="268" t="str">
        <f t="shared" si="22"/>
        <v/>
      </c>
      <c r="AV56" s="275" t="str">
        <f t="shared" si="23"/>
        <v/>
      </c>
      <c r="AW56" s="292" t="str">
        <f t="shared" si="24"/>
        <v/>
      </c>
      <c r="AX56" s="290" t="str">
        <f t="shared" si="25"/>
        <v/>
      </c>
      <c r="AZ56" s="203" t="str">
        <f>IF($E$10=64,(C56/1000),"")</f>
        <v/>
      </c>
      <c r="BA56" s="268" t="str">
        <f t="shared" si="26"/>
        <v/>
      </c>
      <c r="BB56" s="275" t="str">
        <f t="shared" si="27"/>
        <v/>
      </c>
      <c r="BC56" s="292" t="str">
        <f t="shared" si="28"/>
        <v/>
      </c>
      <c r="BD56" s="290" t="str">
        <f t="shared" si="29"/>
        <v/>
      </c>
      <c r="BF56" s="296" t="str">
        <f>IF($E$11=64,(C56/1000),"")</f>
        <v/>
      </c>
      <c r="BG56" s="267" t="str">
        <f t="shared" si="30"/>
        <v/>
      </c>
      <c r="BH56" s="275" t="str">
        <f t="shared" si="31"/>
        <v/>
      </c>
      <c r="BI56" s="292" t="str">
        <f t="shared" si="32"/>
        <v/>
      </c>
      <c r="BJ56" s="55" t="str">
        <f t="shared" si="33"/>
        <v/>
      </c>
    </row>
    <row r="57" spans="1:62" ht="13.5" customHeight="1" thickBot="1" x14ac:dyDescent="0.3">
      <c r="A57" s="34" t="b">
        <f t="shared" si="6"/>
        <v>0</v>
      </c>
      <c r="B57" s="61">
        <f>COMPOSITTIONS!A44</f>
        <v>65</v>
      </c>
      <c r="C57" s="282">
        <f>COMPOSITTIONS!B44</f>
        <v>2.7</v>
      </c>
      <c r="D57" s="284" t="str">
        <f>COMPOSITTIONS!C44</f>
        <v>RGI NA 4N</v>
      </c>
      <c r="E57" s="276">
        <f t="shared" si="3"/>
        <v>2.7000000000000001E-3</v>
      </c>
      <c r="F57" s="278" t="e">
        <f>(#REF!+O57+AE57+AJ57+AP57+AV57+BB57+BH57+X57)</f>
        <v>#REF!</v>
      </c>
      <c r="G57" s="271" t="e">
        <f t="shared" si="34"/>
        <v>#REF!</v>
      </c>
      <c r="H57" s="275" t="e">
        <f>(BI57+BC57+AW57+AQ57+AK57+AF57+P57)</f>
        <v>#VALUE!</v>
      </c>
      <c r="I57" s="271" t="e">
        <f t="shared" si="35"/>
        <v>#VALUE!</v>
      </c>
      <c r="J57" s="56"/>
      <c r="K57" s="56"/>
      <c r="L57" s="56"/>
      <c r="M57" s="144">
        <f t="shared" si="8"/>
        <v>2.7000000000000001E-3</v>
      </c>
      <c r="N57" s="58">
        <f>IF($F$3&lt;&gt;"",(HLOOKUP($F$3,COMPOSITTIONS!$D$2:$AA$66,43,FALSE)),#REF!)</f>
        <v>0</v>
      </c>
      <c r="O57" s="54">
        <f t="shared" si="9"/>
        <v>0</v>
      </c>
      <c r="P57" s="54">
        <f>(O57*1000)/M57</f>
        <v>0</v>
      </c>
      <c r="Q57" s="55" t="e">
        <f>IF(P57=#REF!,"0",(P57/$P$16))</f>
        <v>#REF!</v>
      </c>
      <c r="S57" s="173">
        <f>E57</f>
        <v>2.7000000000000001E-3</v>
      </c>
      <c r="T57" s="57" t="e">
        <f ca="1">IF(T57=#REF!,"0",$J$4/T57)</f>
        <v>#DIV/0!</v>
      </c>
      <c r="U57" s="57" t="e">
        <f t="shared" si="10"/>
        <v>#VALUE!</v>
      </c>
      <c r="V57" s="305" t="e">
        <f>IF($E$4&gt;10,HLOOKUP($E$4,COMPOSITTIONS!A:V,4,FALSE),#REF!)</f>
        <v>#N/A</v>
      </c>
      <c r="W57" s="278" t="e">
        <f>IF($F$4&lt;&gt;"",(HLOOKUP($F$4,COMPOSITTIONS!$D$2:$AA$66,43,FALSE)),#REF!)</f>
        <v>#REF!</v>
      </c>
      <c r="X57" s="278" t="e">
        <f t="shared" si="11"/>
        <v>#REF!</v>
      </c>
      <c r="Y57" s="57" t="e">
        <f t="shared" si="4"/>
        <v>#REF!</v>
      </c>
      <c r="Z57" s="55" t="e">
        <f>IF(Y57=#REF!,"0",(Y57/$Y$16))</f>
        <v>#REF!</v>
      </c>
      <c r="AB57" s="303" t="str">
        <f>IF($E$6=65,(C57/1000),"")</f>
        <v/>
      </c>
      <c r="AC57" s="282" t="str">
        <f t="shared" si="12"/>
        <v/>
      </c>
      <c r="AD57" s="278" t="str">
        <f t="shared" si="36"/>
        <v/>
      </c>
      <c r="AE57" s="302" t="str">
        <f t="shared" si="5"/>
        <v/>
      </c>
      <c r="AF57" s="278" t="str">
        <f t="shared" si="13"/>
        <v/>
      </c>
      <c r="AH57" s="303" t="str">
        <f>IF($E$7=65,(C57/1000),"")</f>
        <v/>
      </c>
      <c r="AI57" s="206" t="str">
        <f t="shared" si="14"/>
        <v/>
      </c>
      <c r="AJ57" s="278" t="str">
        <f t="shared" si="15"/>
        <v/>
      </c>
      <c r="AK57" s="302" t="str">
        <f t="shared" si="16"/>
        <v/>
      </c>
      <c r="AL57" s="278" t="str">
        <f t="shared" si="17"/>
        <v/>
      </c>
      <c r="AN57" s="303" t="str">
        <f>IF($E$8=65,(C57/1000),"")</f>
        <v/>
      </c>
      <c r="AO57" s="206" t="str">
        <f t="shared" si="18"/>
        <v/>
      </c>
      <c r="AP57" s="278" t="str">
        <f t="shared" si="19"/>
        <v/>
      </c>
      <c r="AQ57" s="302" t="str">
        <f t="shared" si="20"/>
        <v/>
      </c>
      <c r="AR57" s="278" t="str">
        <f t="shared" si="21"/>
        <v/>
      </c>
      <c r="AT57" s="203" t="str">
        <f>IF($E$9=65,(C57/1000),"")</f>
        <v/>
      </c>
      <c r="AU57" s="268" t="str">
        <f t="shared" si="22"/>
        <v/>
      </c>
      <c r="AV57" s="275" t="str">
        <f t="shared" si="23"/>
        <v/>
      </c>
      <c r="AW57" s="292" t="str">
        <f t="shared" si="24"/>
        <v/>
      </c>
      <c r="AX57" s="290" t="str">
        <f t="shared" si="25"/>
        <v/>
      </c>
      <c r="AZ57" s="203" t="str">
        <f>IF($E$10=65,(C57/1000),"")</f>
        <v/>
      </c>
      <c r="BA57" s="268" t="str">
        <f t="shared" si="26"/>
        <v/>
      </c>
      <c r="BB57" s="275" t="str">
        <f t="shared" si="27"/>
        <v/>
      </c>
      <c r="BC57" s="292" t="str">
        <f t="shared" si="28"/>
        <v/>
      </c>
      <c r="BD57" s="290" t="str">
        <f t="shared" si="29"/>
        <v/>
      </c>
      <c r="BF57" s="296" t="str">
        <f>IF($E$11=65,(C57/1000),"")</f>
        <v/>
      </c>
      <c r="BG57" s="267" t="str">
        <f t="shared" si="30"/>
        <v/>
      </c>
      <c r="BH57" s="275" t="str">
        <f t="shared" si="31"/>
        <v/>
      </c>
      <c r="BI57" s="292" t="str">
        <f t="shared" si="32"/>
        <v/>
      </c>
      <c r="BJ57" s="55" t="str">
        <f t="shared" si="33"/>
        <v/>
      </c>
    </row>
    <row r="58" spans="1:62" ht="13.5" customHeight="1" thickBot="1" x14ac:dyDescent="0.3">
      <c r="A58" s="34" t="b">
        <f t="shared" si="6"/>
        <v>0</v>
      </c>
      <c r="B58" s="61">
        <f>COMPOSITTIONS!A45</f>
        <v>66</v>
      </c>
      <c r="C58" s="282">
        <f>COMPOSITTIONS!B45</f>
        <v>21.9</v>
      </c>
      <c r="D58" s="284" t="str">
        <f>COMPOSITTIONS!C45</f>
        <v>Sainfoin (cosse)</v>
      </c>
      <c r="E58" s="276">
        <f t="shared" si="3"/>
        <v>2.1899999999999999E-2</v>
      </c>
      <c r="F58" s="278" t="e">
        <f>(#REF!+O58+AE58+AJ58+AP58+AV58+BB58+BH58+X58)</f>
        <v>#REF!</v>
      </c>
      <c r="G58" s="271" t="e">
        <f t="shared" si="34"/>
        <v>#REF!</v>
      </c>
      <c r="H58" s="275" t="e">
        <f>(BI58+BC58+AW58+AQ58+AK58+AF58+P58)</f>
        <v>#VALUE!</v>
      </c>
      <c r="I58" s="271" t="e">
        <f t="shared" si="35"/>
        <v>#VALUE!</v>
      </c>
      <c r="J58" s="56"/>
      <c r="K58" s="56"/>
      <c r="L58" s="56"/>
      <c r="M58" s="144">
        <f t="shared" si="8"/>
        <v>2.1899999999999999E-2</v>
      </c>
      <c r="N58" s="58">
        <f>IF($F$3&lt;&gt;"",(HLOOKUP($F$3,COMPOSITTIONS!$D$2:$AA$66,44,FALSE)),#REF!)</f>
        <v>0</v>
      </c>
      <c r="O58" s="54">
        <f t="shared" si="9"/>
        <v>0</v>
      </c>
      <c r="P58" s="54">
        <f>(O58*1000)/M58</f>
        <v>0</v>
      </c>
      <c r="Q58" s="55" t="e">
        <f>IF(P58=#REF!,"0",(P58/$P$16))</f>
        <v>#REF!</v>
      </c>
      <c r="S58" s="173">
        <f>E58</f>
        <v>2.1899999999999999E-2</v>
      </c>
      <c r="T58" s="57" t="e">
        <f ca="1">IF(T58=#REF!,"0",$J$4/T58)</f>
        <v>#DIV/0!</v>
      </c>
      <c r="U58" s="57" t="e">
        <f t="shared" si="10"/>
        <v>#VALUE!</v>
      </c>
      <c r="V58" s="305" t="e">
        <f>IF($E$4&gt;10,HLOOKUP($E$4,COMPOSITTIONS!A:V,4,FALSE),#REF!)</f>
        <v>#N/A</v>
      </c>
      <c r="W58" s="278" t="e">
        <f>IF($F$4&lt;&gt;"",(HLOOKUP($F$4,COMPOSITTIONS!$D$2:$AA$66,44,FALSE)),#REF!)</f>
        <v>#REF!</v>
      </c>
      <c r="X58" s="278" t="e">
        <f t="shared" si="11"/>
        <v>#REF!</v>
      </c>
      <c r="Y58" s="57" t="e">
        <f t="shared" si="4"/>
        <v>#REF!</v>
      </c>
      <c r="Z58" s="55" t="e">
        <f>IF(Y58=#REF!,"0",(Y58/$Y$16))</f>
        <v>#REF!</v>
      </c>
      <c r="AB58" s="303" t="str">
        <f>IF($E$6=66,(C58/1000),"")</f>
        <v/>
      </c>
      <c r="AC58" s="282" t="str">
        <f t="shared" si="12"/>
        <v/>
      </c>
      <c r="AD58" s="278" t="str">
        <f t="shared" si="36"/>
        <v/>
      </c>
      <c r="AE58" s="302" t="str">
        <f t="shared" si="5"/>
        <v/>
      </c>
      <c r="AF58" s="278" t="str">
        <f t="shared" si="13"/>
        <v/>
      </c>
      <c r="AH58" s="303" t="str">
        <f>IF($E$7=66,(C58/1000),"")</f>
        <v/>
      </c>
      <c r="AI58" s="206" t="str">
        <f t="shared" si="14"/>
        <v/>
      </c>
      <c r="AJ58" s="278" t="str">
        <f t="shared" si="15"/>
        <v/>
      </c>
      <c r="AK58" s="302" t="str">
        <f t="shared" si="16"/>
        <v/>
      </c>
      <c r="AL58" s="278" t="str">
        <f t="shared" si="17"/>
        <v/>
      </c>
      <c r="AN58" s="303" t="str">
        <f>IF($E$8=66,(C58/1000),"")</f>
        <v/>
      </c>
      <c r="AO58" s="206" t="str">
        <f t="shared" si="18"/>
        <v/>
      </c>
      <c r="AP58" s="278" t="str">
        <f t="shared" si="19"/>
        <v/>
      </c>
      <c r="AQ58" s="302" t="str">
        <f t="shared" si="20"/>
        <v/>
      </c>
      <c r="AR58" s="278" t="str">
        <f t="shared" si="21"/>
        <v/>
      </c>
      <c r="AT58" s="203" t="str">
        <f>IF($E$9=66,(C58/1000),"")</f>
        <v/>
      </c>
      <c r="AU58" s="268" t="str">
        <f t="shared" si="22"/>
        <v/>
      </c>
      <c r="AV58" s="275" t="str">
        <f t="shared" si="23"/>
        <v/>
      </c>
      <c r="AW58" s="292" t="str">
        <f t="shared" si="24"/>
        <v/>
      </c>
      <c r="AX58" s="290" t="str">
        <f t="shared" si="25"/>
        <v/>
      </c>
      <c r="AZ58" s="203" t="str">
        <f>IF($E$10=66,(C58/1000),"")</f>
        <v/>
      </c>
      <c r="BA58" s="268" t="str">
        <f t="shared" si="26"/>
        <v/>
      </c>
      <c r="BB58" s="275" t="str">
        <f t="shared" si="27"/>
        <v/>
      </c>
      <c r="BC58" s="292" t="str">
        <f t="shared" si="28"/>
        <v/>
      </c>
      <c r="BD58" s="290" t="str">
        <f t="shared" si="29"/>
        <v/>
      </c>
      <c r="BF58" s="296" t="str">
        <f>IF($E$11=66,(C58/1000),"")</f>
        <v/>
      </c>
      <c r="BG58" s="267" t="str">
        <f t="shared" si="30"/>
        <v/>
      </c>
      <c r="BH58" s="275" t="str">
        <f t="shared" si="31"/>
        <v/>
      </c>
      <c r="BI58" s="292" t="str">
        <f t="shared" si="32"/>
        <v/>
      </c>
      <c r="BJ58" s="55" t="str">
        <f t="shared" si="33"/>
        <v/>
      </c>
    </row>
    <row r="59" spans="1:62" ht="13.5" customHeight="1" thickBot="1" x14ac:dyDescent="0.3">
      <c r="A59" s="34" t="b">
        <f t="shared" si="6"/>
        <v>0</v>
      </c>
      <c r="B59" s="61">
        <f>COMPOSITTIONS!A46</f>
        <v>67</v>
      </c>
      <c r="C59" s="282">
        <f>COMPOSITTIONS!B46</f>
        <v>21</v>
      </c>
      <c r="D59" s="284" t="str">
        <f>COMPOSITTIONS!C46</f>
        <v>Sainfoin decortiqué</v>
      </c>
      <c r="E59" s="276">
        <f t="shared" si="3"/>
        <v>2.1000000000000001E-2</v>
      </c>
      <c r="F59" s="278" t="e">
        <f>(#REF!+O59+AE59+AJ59+AP59+AV59+BB59+BH59+X59)</f>
        <v>#REF!</v>
      </c>
      <c r="G59" s="271" t="e">
        <f t="shared" si="34"/>
        <v>#REF!</v>
      </c>
      <c r="H59" s="275" t="e">
        <f>(BI59+BC59+AW59+AQ59+AK59+AF59+P59)</f>
        <v>#VALUE!</v>
      </c>
      <c r="I59" s="271" t="e">
        <f t="shared" si="35"/>
        <v>#VALUE!</v>
      </c>
      <c r="J59" s="56"/>
      <c r="K59" s="56"/>
      <c r="L59" s="56"/>
      <c r="M59" s="144">
        <f t="shared" si="8"/>
        <v>2.1000000000000001E-2</v>
      </c>
      <c r="N59" s="58">
        <f>IF($F$3&lt;&gt;"",(HLOOKUP($F$3,COMPOSITTIONS!$D$2:$AA$66,45,FALSE)),#REF!)</f>
        <v>0</v>
      </c>
      <c r="O59" s="54">
        <f t="shared" si="9"/>
        <v>0</v>
      </c>
      <c r="P59" s="54">
        <f>(O59*1000)/M59</f>
        <v>0</v>
      </c>
      <c r="Q59" s="55" t="e">
        <f>IF(P59=#REF!,"0",(P59/$P$16))</f>
        <v>#REF!</v>
      </c>
      <c r="S59" s="173">
        <f>E59</f>
        <v>2.1000000000000001E-2</v>
      </c>
      <c r="T59" s="57" t="e">
        <f ca="1">IF(T59=#REF!,"0",$J$4/T59)</f>
        <v>#DIV/0!</v>
      </c>
      <c r="U59" s="57" t="e">
        <f t="shared" si="10"/>
        <v>#VALUE!</v>
      </c>
      <c r="V59" s="305" t="e">
        <f>IF($E$4&gt;10,HLOOKUP($E$4,COMPOSITTIONS!A:V,4,FALSE),#REF!)</f>
        <v>#N/A</v>
      </c>
      <c r="W59" s="278" t="e">
        <f>IF($F$4&lt;&gt;"",(HLOOKUP($F$4,COMPOSITTIONS!$D$2:$AA$66,45,FALSE)),#REF!)</f>
        <v>#REF!</v>
      </c>
      <c r="X59" s="278" t="e">
        <f t="shared" si="11"/>
        <v>#REF!</v>
      </c>
      <c r="Y59" s="57" t="e">
        <f t="shared" si="4"/>
        <v>#REF!</v>
      </c>
      <c r="Z59" s="55" t="e">
        <f>IF(Y59=#REF!,"0",(Y59/$Y$16))</f>
        <v>#REF!</v>
      </c>
      <c r="AB59" s="303" t="str">
        <f>IF($E$6=67,(C59/1000),"")</f>
        <v/>
      </c>
      <c r="AC59" s="282" t="str">
        <f t="shared" si="12"/>
        <v/>
      </c>
      <c r="AD59" s="278" t="str">
        <f t="shared" si="36"/>
        <v/>
      </c>
      <c r="AE59" s="302" t="str">
        <f t="shared" si="5"/>
        <v/>
      </c>
      <c r="AF59" s="278" t="str">
        <f t="shared" si="13"/>
        <v/>
      </c>
      <c r="AH59" s="303" t="str">
        <f>IF($E$7=67,(C59/1000),"")</f>
        <v/>
      </c>
      <c r="AI59" s="206" t="str">
        <f t="shared" si="14"/>
        <v/>
      </c>
      <c r="AJ59" s="278" t="str">
        <f t="shared" si="15"/>
        <v/>
      </c>
      <c r="AK59" s="302" t="str">
        <f t="shared" si="16"/>
        <v/>
      </c>
      <c r="AL59" s="278" t="str">
        <f t="shared" si="17"/>
        <v/>
      </c>
      <c r="AN59" s="303" t="str">
        <f>IF($E$8=67,(C59/1000),"")</f>
        <v/>
      </c>
      <c r="AO59" s="206" t="str">
        <f t="shared" si="18"/>
        <v/>
      </c>
      <c r="AP59" s="278" t="str">
        <f t="shared" si="19"/>
        <v/>
      </c>
      <c r="AQ59" s="302" t="str">
        <f t="shared" si="20"/>
        <v/>
      </c>
      <c r="AR59" s="278" t="str">
        <f t="shared" si="21"/>
        <v/>
      </c>
      <c r="AT59" s="203" t="str">
        <f>IF($E$9=67,(C59/1000),"")</f>
        <v/>
      </c>
      <c r="AU59" s="268" t="str">
        <f t="shared" si="22"/>
        <v/>
      </c>
      <c r="AV59" s="275" t="str">
        <f t="shared" si="23"/>
        <v/>
      </c>
      <c r="AW59" s="292" t="str">
        <f t="shared" si="24"/>
        <v/>
      </c>
      <c r="AX59" s="290" t="str">
        <f t="shared" si="25"/>
        <v/>
      </c>
      <c r="AZ59" s="203" t="str">
        <f>IF($E$10=67,(C59/1000),"")</f>
        <v/>
      </c>
      <c r="BA59" s="268" t="str">
        <f t="shared" si="26"/>
        <v/>
      </c>
      <c r="BB59" s="275" t="str">
        <f t="shared" si="27"/>
        <v/>
      </c>
      <c r="BC59" s="292" t="str">
        <f t="shared" si="28"/>
        <v/>
      </c>
      <c r="BD59" s="290" t="str">
        <f t="shared" si="29"/>
        <v/>
      </c>
      <c r="BF59" s="296" t="str">
        <f>IF($E$11=67,(C59/1000),"")</f>
        <v/>
      </c>
      <c r="BG59" s="267" t="str">
        <f t="shared" si="30"/>
        <v/>
      </c>
      <c r="BH59" s="275" t="str">
        <f t="shared" si="31"/>
        <v/>
      </c>
      <c r="BI59" s="292" t="str">
        <f t="shared" si="32"/>
        <v/>
      </c>
      <c r="BJ59" s="55" t="str">
        <f t="shared" si="33"/>
        <v/>
      </c>
    </row>
    <row r="60" spans="1:62" ht="13.5" customHeight="1" thickBot="1" x14ac:dyDescent="0.3">
      <c r="A60" s="34" t="b">
        <f t="shared" si="6"/>
        <v>0</v>
      </c>
      <c r="B60" s="61">
        <f>COMPOSITTIONS!A47</f>
        <v>68</v>
      </c>
      <c r="C60" s="282">
        <f>COMPOSITTIONS!B47</f>
        <v>29</v>
      </c>
      <c r="D60" s="284" t="str">
        <f>COMPOSITTIONS!C47</f>
        <v>Sarrasin</v>
      </c>
      <c r="E60" s="276">
        <f t="shared" si="3"/>
        <v>2.9000000000000001E-2</v>
      </c>
      <c r="F60" s="278" t="e">
        <f>(#REF!+O60+AE60+AJ60+AP60+AV60+BB60+BH60+X60)</f>
        <v>#REF!</v>
      </c>
      <c r="G60" s="271" t="e">
        <f t="shared" si="34"/>
        <v>#REF!</v>
      </c>
      <c r="H60" s="275" t="e">
        <f>(BI60+BC60+AW60+AQ60+AK60+AF60+P60)</f>
        <v>#VALUE!</v>
      </c>
      <c r="I60" s="271" t="e">
        <f t="shared" si="35"/>
        <v>#VALUE!</v>
      </c>
      <c r="J60" s="56"/>
      <c r="K60" s="56"/>
      <c r="L60" s="56"/>
      <c r="M60" s="144">
        <f t="shared" si="8"/>
        <v>2.9000000000000001E-2</v>
      </c>
      <c r="N60" s="58">
        <f>IF($F$3&lt;&gt;"",(HLOOKUP($F$3,COMPOSITTIONS!$D$2:$AA$66,46,FALSE)),#REF!)</f>
        <v>0</v>
      </c>
      <c r="O60" s="54">
        <f t="shared" si="9"/>
        <v>0</v>
      </c>
      <c r="P60" s="54">
        <f>(O60*1000)/M60</f>
        <v>0</v>
      </c>
      <c r="Q60" s="55" t="e">
        <f>IF(P60=#REF!,"0",(P60/$P$16))</f>
        <v>#REF!</v>
      </c>
      <c r="S60" s="173">
        <f>E60</f>
        <v>2.9000000000000001E-2</v>
      </c>
      <c r="T60" s="57" t="e">
        <f ca="1">IF(T60=#REF!,"0",$J$4/T60)</f>
        <v>#DIV/0!</v>
      </c>
      <c r="U60" s="57" t="e">
        <f t="shared" si="10"/>
        <v>#VALUE!</v>
      </c>
      <c r="V60" s="305" t="e">
        <f>IF($E$4&gt;10,HLOOKUP($E$4,COMPOSITTIONS!A:V,4,FALSE),#REF!)</f>
        <v>#N/A</v>
      </c>
      <c r="W60" s="278" t="e">
        <f>IF($F$4&lt;&gt;"",(HLOOKUP($F$4,COMPOSITTIONS!$D$2:$AA$66,46,FALSE)),#REF!)</f>
        <v>#REF!</v>
      </c>
      <c r="X60" s="278" t="e">
        <f t="shared" si="11"/>
        <v>#REF!</v>
      </c>
      <c r="Y60" s="57" t="e">
        <f t="shared" si="4"/>
        <v>#REF!</v>
      </c>
      <c r="Z60" s="55" t="e">
        <f>IF(Y60=#REF!,"0",(Y60/$Y$16))</f>
        <v>#REF!</v>
      </c>
      <c r="AB60" s="303" t="str">
        <f>IF($E$6=68,(C60/1000),"")</f>
        <v/>
      </c>
      <c r="AC60" s="282" t="str">
        <f t="shared" si="12"/>
        <v/>
      </c>
      <c r="AD60" s="278" t="str">
        <f t="shared" si="36"/>
        <v/>
      </c>
      <c r="AE60" s="302" t="str">
        <f t="shared" si="5"/>
        <v/>
      </c>
      <c r="AF60" s="278" t="str">
        <f t="shared" si="13"/>
        <v/>
      </c>
      <c r="AH60" s="303" t="str">
        <f>IF($E$7=68,(C60/1000),"")</f>
        <v/>
      </c>
      <c r="AI60" s="206" t="str">
        <f t="shared" si="14"/>
        <v/>
      </c>
      <c r="AJ60" s="278" t="str">
        <f t="shared" si="15"/>
        <v/>
      </c>
      <c r="AK60" s="302" t="str">
        <f t="shared" si="16"/>
        <v/>
      </c>
      <c r="AL60" s="278" t="str">
        <f t="shared" si="17"/>
        <v/>
      </c>
      <c r="AN60" s="303" t="str">
        <f>IF($E$8=68,(C60/1000),"")</f>
        <v/>
      </c>
      <c r="AO60" s="206" t="str">
        <f t="shared" si="18"/>
        <v/>
      </c>
      <c r="AP60" s="278" t="str">
        <f t="shared" si="19"/>
        <v/>
      </c>
      <c r="AQ60" s="302" t="str">
        <f t="shared" si="20"/>
        <v/>
      </c>
      <c r="AR60" s="278" t="str">
        <f t="shared" si="21"/>
        <v/>
      </c>
      <c r="AT60" s="203" t="str">
        <f>IF($E$9=68,(C60/1000),"")</f>
        <v/>
      </c>
      <c r="AU60" s="268" t="str">
        <f t="shared" si="22"/>
        <v/>
      </c>
      <c r="AV60" s="275" t="str">
        <f t="shared" si="23"/>
        <v/>
      </c>
      <c r="AW60" s="292" t="str">
        <f t="shared" si="24"/>
        <v/>
      </c>
      <c r="AX60" s="290" t="str">
        <f t="shared" si="25"/>
        <v/>
      </c>
      <c r="AZ60" s="203" t="str">
        <f>IF($E$10=68,(C60/1000),"")</f>
        <v/>
      </c>
      <c r="BA60" s="268" t="str">
        <f t="shared" si="26"/>
        <v/>
      </c>
      <c r="BB60" s="275" t="str">
        <f t="shared" si="27"/>
        <v/>
      </c>
      <c r="BC60" s="292" t="str">
        <f t="shared" si="28"/>
        <v/>
      </c>
      <c r="BD60" s="290" t="str">
        <f t="shared" si="29"/>
        <v/>
      </c>
      <c r="BF60" s="296" t="str">
        <f>IF($E$11=68,(C60/1000),"")</f>
        <v/>
      </c>
      <c r="BG60" s="267" t="str">
        <f t="shared" si="30"/>
        <v/>
      </c>
      <c r="BH60" s="275" t="str">
        <f t="shared" si="31"/>
        <v/>
      </c>
      <c r="BI60" s="292" t="str">
        <f t="shared" si="32"/>
        <v/>
      </c>
      <c r="BJ60" s="55" t="str">
        <f t="shared" si="33"/>
        <v/>
      </c>
    </row>
    <row r="61" spans="1:62" ht="13.5" customHeight="1" thickBot="1" x14ac:dyDescent="0.3">
      <c r="A61" s="34" t="b">
        <f t="shared" si="6"/>
        <v>0</v>
      </c>
      <c r="B61" s="61">
        <f>COMPOSITTIONS!A48</f>
        <v>69</v>
      </c>
      <c r="C61" s="282">
        <f>COMPOSITTIONS!B48</f>
        <v>17</v>
      </c>
      <c r="D61" s="284" t="str">
        <f>COMPOSITTIONS!C48</f>
        <v>Seigle forestier</v>
      </c>
      <c r="E61" s="276">
        <f t="shared" si="3"/>
        <v>1.7000000000000001E-2</v>
      </c>
      <c r="F61" s="278" t="e">
        <f>(#REF!+O61+AE61+AJ61+AP61+AV61+BB61+BH61+X61)</f>
        <v>#REF!</v>
      </c>
      <c r="G61" s="271" t="e">
        <f t="shared" si="34"/>
        <v>#REF!</v>
      </c>
      <c r="H61" s="275" t="e">
        <f>(BI61+BC61+AW61+AQ61+AK61+AF61+P61)</f>
        <v>#VALUE!</v>
      </c>
      <c r="I61" s="271" t="e">
        <f t="shared" si="35"/>
        <v>#VALUE!</v>
      </c>
      <c r="J61" s="56"/>
      <c r="K61" s="56"/>
      <c r="L61" s="56"/>
      <c r="M61" s="144">
        <f t="shared" si="8"/>
        <v>1.7000000000000001E-2</v>
      </c>
      <c r="N61" s="58">
        <f>IF($F$3&lt;&gt;"",(HLOOKUP($F$3,COMPOSITTIONS!$D$2:$AA$66,47,FALSE)),#REF!)</f>
        <v>0</v>
      </c>
      <c r="O61" s="54">
        <f t="shared" si="9"/>
        <v>0</v>
      </c>
      <c r="P61" s="54">
        <f>(O61*1000)/M61</f>
        <v>0</v>
      </c>
      <c r="Q61" s="55" t="e">
        <f>IF(P61=#REF!,"0",(P61/$P$16))</f>
        <v>#REF!</v>
      </c>
      <c r="S61" s="173">
        <f>E61</f>
        <v>1.7000000000000001E-2</v>
      </c>
      <c r="T61" s="57" t="e">
        <f ca="1">IF(T61=#REF!,"0",$J$4/T61)</f>
        <v>#DIV/0!</v>
      </c>
      <c r="U61" s="57" t="e">
        <f t="shared" si="10"/>
        <v>#VALUE!</v>
      </c>
      <c r="V61" s="305" t="e">
        <f>IF($E$4&gt;10,HLOOKUP($E$4,COMPOSITTIONS!A:V,4,FALSE),#REF!)</f>
        <v>#N/A</v>
      </c>
      <c r="W61" s="278" t="e">
        <f>IF($F$4&lt;&gt;"",(HLOOKUP($F$4,COMPOSITTIONS!$D$2:$AA$66,47,FALSE)),#REF!)</f>
        <v>#REF!</v>
      </c>
      <c r="X61" s="278" t="e">
        <f t="shared" si="11"/>
        <v>#REF!</v>
      </c>
      <c r="Y61" s="57" t="e">
        <f t="shared" si="4"/>
        <v>#REF!</v>
      </c>
      <c r="Z61" s="55" t="e">
        <f>IF(Y61=#REF!,"0",(Y61/$Y$16))</f>
        <v>#REF!</v>
      </c>
      <c r="AB61" s="303" t="str">
        <f>IF($E$6=69,(C61/1000),"")</f>
        <v/>
      </c>
      <c r="AC61" s="282" t="str">
        <f t="shared" si="12"/>
        <v/>
      </c>
      <c r="AD61" s="278" t="str">
        <f t="shared" si="36"/>
        <v/>
      </c>
      <c r="AE61" s="302" t="str">
        <f t="shared" si="5"/>
        <v/>
      </c>
      <c r="AF61" s="278" t="str">
        <f t="shared" si="13"/>
        <v/>
      </c>
      <c r="AH61" s="303" t="str">
        <f>IF($E$7=69,(C61/1000),"")</f>
        <v/>
      </c>
      <c r="AI61" s="206" t="str">
        <f t="shared" si="14"/>
        <v/>
      </c>
      <c r="AJ61" s="278" t="str">
        <f t="shared" si="15"/>
        <v/>
      </c>
      <c r="AK61" s="302" t="str">
        <f t="shared" si="16"/>
        <v/>
      </c>
      <c r="AL61" s="278" t="str">
        <f t="shared" si="17"/>
        <v/>
      </c>
      <c r="AN61" s="303" t="str">
        <f>IF($E$8=69,(C61/1000),"")</f>
        <v/>
      </c>
      <c r="AO61" s="206" t="str">
        <f t="shared" si="18"/>
        <v/>
      </c>
      <c r="AP61" s="278" t="str">
        <f t="shared" si="19"/>
        <v/>
      </c>
      <c r="AQ61" s="302" t="str">
        <f t="shared" si="20"/>
        <v/>
      </c>
      <c r="AR61" s="278" t="str">
        <f t="shared" si="21"/>
        <v/>
      </c>
      <c r="AT61" s="203" t="str">
        <f>IF($E$9=69,(C61/1000),"")</f>
        <v/>
      </c>
      <c r="AU61" s="268" t="str">
        <f t="shared" si="22"/>
        <v/>
      </c>
      <c r="AV61" s="275" t="str">
        <f t="shared" si="23"/>
        <v/>
      </c>
      <c r="AW61" s="292" t="str">
        <f t="shared" si="24"/>
        <v/>
      </c>
      <c r="AX61" s="290" t="str">
        <f t="shared" si="25"/>
        <v/>
      </c>
      <c r="AZ61" s="203" t="str">
        <f>IF($E$10=69,(C61/1000),"")</f>
        <v/>
      </c>
      <c r="BA61" s="268" t="str">
        <f t="shared" si="26"/>
        <v/>
      </c>
      <c r="BB61" s="275" t="str">
        <f t="shared" si="27"/>
        <v/>
      </c>
      <c r="BC61" s="292" t="str">
        <f t="shared" si="28"/>
        <v/>
      </c>
      <c r="BD61" s="290" t="str">
        <f t="shared" si="29"/>
        <v/>
      </c>
      <c r="BF61" s="296" t="str">
        <f>IF($E$11=69,(C61/1000),"")</f>
        <v/>
      </c>
      <c r="BG61" s="267" t="str">
        <f t="shared" si="30"/>
        <v/>
      </c>
      <c r="BH61" s="275" t="str">
        <f t="shared" si="31"/>
        <v/>
      </c>
      <c r="BI61" s="292" t="str">
        <f t="shared" si="32"/>
        <v/>
      </c>
      <c r="BJ61" s="55" t="str">
        <f t="shared" si="33"/>
        <v/>
      </c>
    </row>
    <row r="62" spans="1:62" ht="13.5" customHeight="1" thickBot="1" x14ac:dyDescent="0.3">
      <c r="A62" s="34" t="b">
        <f t="shared" si="6"/>
        <v>0</v>
      </c>
      <c r="B62" s="61">
        <f>COMPOSITTIONS!A49</f>
        <v>70</v>
      </c>
      <c r="C62" s="282">
        <f>COMPOSITTIONS!B49</f>
        <v>30</v>
      </c>
      <c r="D62" s="284" t="str">
        <f>COMPOSITTIONS!C49</f>
        <v>Seigle fourrager</v>
      </c>
      <c r="E62" s="276">
        <f t="shared" si="3"/>
        <v>0.03</v>
      </c>
      <c r="F62" s="278" t="e">
        <f>(#REF!+O62+AE62+AJ62+AP62+AV62+BB62+BH62+X62)</f>
        <v>#REF!</v>
      </c>
      <c r="G62" s="271" t="e">
        <f t="shared" si="34"/>
        <v>#REF!</v>
      </c>
      <c r="H62" s="275" t="e">
        <f>(BI62+BC62+AW62+AQ62+AK62+AF62+P62)</f>
        <v>#VALUE!</v>
      </c>
      <c r="I62" s="271" t="e">
        <f t="shared" si="35"/>
        <v>#VALUE!</v>
      </c>
      <c r="J62" s="56"/>
      <c r="K62" s="56"/>
      <c r="L62" s="56"/>
      <c r="M62" s="144">
        <f t="shared" si="8"/>
        <v>0.03</v>
      </c>
      <c r="N62" s="58">
        <f>IF($F$3&lt;&gt;"",(HLOOKUP($F$3,COMPOSITTIONS!$D$2:$AA$66,48,FALSE)),#REF!)</f>
        <v>0</v>
      </c>
      <c r="O62" s="54">
        <f t="shared" si="9"/>
        <v>0</v>
      </c>
      <c r="P62" s="54">
        <f>(O62*1000)/M62</f>
        <v>0</v>
      </c>
      <c r="Q62" s="55" t="e">
        <f>IF(P62=#REF!,"0",(P62/$P$16))</f>
        <v>#REF!</v>
      </c>
      <c r="S62" s="173">
        <f>E62</f>
        <v>0.03</v>
      </c>
      <c r="T62" s="57" t="e">
        <f ca="1">IF(T62=#REF!,"0",$J$4/T62)</f>
        <v>#DIV/0!</v>
      </c>
      <c r="U62" s="57" t="e">
        <f t="shared" si="10"/>
        <v>#VALUE!</v>
      </c>
      <c r="V62" s="305" t="e">
        <f>IF($E$4&gt;10,HLOOKUP($E$4,COMPOSITTIONS!A:V,4,FALSE),#REF!)</f>
        <v>#N/A</v>
      </c>
      <c r="W62" s="278" t="e">
        <f>IF($F$4&lt;&gt;"",(HLOOKUP($F$4,COMPOSITTIONS!$D$2:$AA$66,48,FALSE)),#REF!)</f>
        <v>#REF!</v>
      </c>
      <c r="X62" s="278" t="e">
        <f t="shared" si="11"/>
        <v>#REF!</v>
      </c>
      <c r="Y62" s="57" t="e">
        <f t="shared" si="4"/>
        <v>#REF!</v>
      </c>
      <c r="Z62" s="55" t="e">
        <f>IF(Y62=#REF!,"0",(Y62/$Y$16))</f>
        <v>#REF!</v>
      </c>
      <c r="AB62" s="303" t="str">
        <f>IF($E$6=70,(C62/1000),"")</f>
        <v/>
      </c>
      <c r="AC62" s="282" t="str">
        <f t="shared" si="12"/>
        <v/>
      </c>
      <c r="AD62" s="278" t="str">
        <f t="shared" si="36"/>
        <v/>
      </c>
      <c r="AE62" s="302" t="str">
        <f t="shared" si="5"/>
        <v/>
      </c>
      <c r="AF62" s="278" t="str">
        <f t="shared" si="13"/>
        <v/>
      </c>
      <c r="AH62" s="303" t="str">
        <f>IF($E$7=70,(C62/1000),"")</f>
        <v/>
      </c>
      <c r="AI62" s="206" t="str">
        <f t="shared" si="14"/>
        <v/>
      </c>
      <c r="AJ62" s="278" t="str">
        <f t="shared" si="15"/>
        <v/>
      </c>
      <c r="AK62" s="302" t="str">
        <f t="shared" si="16"/>
        <v/>
      </c>
      <c r="AL62" s="278" t="str">
        <f t="shared" si="17"/>
        <v/>
      </c>
      <c r="AN62" s="303" t="str">
        <f>IF($E$8=70,(C62/1000),"")</f>
        <v/>
      </c>
      <c r="AO62" s="206" t="str">
        <f t="shared" si="18"/>
        <v/>
      </c>
      <c r="AP62" s="278" t="str">
        <f t="shared" si="19"/>
        <v/>
      </c>
      <c r="AQ62" s="302" t="str">
        <f t="shared" si="20"/>
        <v/>
      </c>
      <c r="AR62" s="278" t="str">
        <f t="shared" si="21"/>
        <v/>
      </c>
      <c r="AT62" s="203" t="str">
        <f>IF($E$9=70,(C62/1000),"")</f>
        <v/>
      </c>
      <c r="AU62" s="268" t="str">
        <f t="shared" si="22"/>
        <v/>
      </c>
      <c r="AV62" s="275" t="str">
        <f t="shared" si="23"/>
        <v/>
      </c>
      <c r="AW62" s="292" t="str">
        <f t="shared" si="24"/>
        <v/>
      </c>
      <c r="AX62" s="290" t="str">
        <f t="shared" si="25"/>
        <v/>
      </c>
      <c r="AZ62" s="203" t="str">
        <f>IF($E$10=70,(C62/1000),"")</f>
        <v/>
      </c>
      <c r="BA62" s="268" t="str">
        <f t="shared" si="26"/>
        <v/>
      </c>
      <c r="BB62" s="275" t="str">
        <f t="shared" si="27"/>
        <v/>
      </c>
      <c r="BC62" s="292" t="str">
        <f t="shared" si="28"/>
        <v/>
      </c>
      <c r="BD62" s="290" t="str">
        <f t="shared" si="29"/>
        <v/>
      </c>
      <c r="BF62" s="296" t="str">
        <f>IF($E$11=70,(C62/1000),"")</f>
        <v/>
      </c>
      <c r="BG62" s="267" t="str">
        <f t="shared" si="30"/>
        <v/>
      </c>
      <c r="BH62" s="275" t="str">
        <f t="shared" si="31"/>
        <v/>
      </c>
      <c r="BI62" s="292" t="str">
        <f t="shared" si="32"/>
        <v/>
      </c>
      <c r="BJ62" s="55" t="str">
        <f t="shared" si="33"/>
        <v/>
      </c>
    </row>
    <row r="63" spans="1:62" ht="13.5" customHeight="1" thickBot="1" x14ac:dyDescent="0.3">
      <c r="A63" s="34" t="b">
        <f t="shared" si="6"/>
        <v>0</v>
      </c>
      <c r="B63" s="61">
        <f>COMPOSITTIONS!A50</f>
        <v>71</v>
      </c>
      <c r="C63" s="282">
        <f>COMPOSITTIONS!B50</f>
        <v>30</v>
      </c>
      <c r="D63" s="284" t="str">
        <f>COMPOSITTIONS!C50</f>
        <v>Sorgho fourrager</v>
      </c>
      <c r="E63" s="276">
        <f t="shared" si="3"/>
        <v>0.03</v>
      </c>
      <c r="F63" s="278" t="e">
        <f>(#REF!+O63+AE63+AJ63+AP63+AV63+BB63+BH63+X63)</f>
        <v>#REF!</v>
      </c>
      <c r="G63" s="271" t="e">
        <f t="shared" si="34"/>
        <v>#REF!</v>
      </c>
      <c r="H63" s="275" t="e">
        <f>(BI63+BC63+AW63+AQ63+AK63+AF63+P63)</f>
        <v>#VALUE!</v>
      </c>
      <c r="I63" s="271" t="e">
        <f t="shared" si="35"/>
        <v>#VALUE!</v>
      </c>
      <c r="J63" s="56"/>
      <c r="K63" s="56"/>
      <c r="L63" s="56"/>
      <c r="M63" s="144">
        <f t="shared" si="8"/>
        <v>0.03</v>
      </c>
      <c r="N63" s="58">
        <f>IF($F$3&lt;&gt;"",(HLOOKUP($F$3,COMPOSITTIONS!$D$2:$AA$66,49,FALSE)),#REF!)</f>
        <v>0</v>
      </c>
      <c r="O63" s="54">
        <f t="shared" si="9"/>
        <v>0</v>
      </c>
      <c r="P63" s="54">
        <f>(O63*1000)/M63</f>
        <v>0</v>
      </c>
      <c r="Q63" s="55" t="e">
        <f>IF(P63=#REF!,"0",(P63/$P$16))</f>
        <v>#REF!</v>
      </c>
      <c r="S63" s="173">
        <f>E63</f>
        <v>0.03</v>
      </c>
      <c r="T63" s="57" t="e">
        <f ca="1">IF(T63=#REF!,"0",$J$4/T63)</f>
        <v>#DIV/0!</v>
      </c>
      <c r="U63" s="57" t="e">
        <f t="shared" si="10"/>
        <v>#VALUE!</v>
      </c>
      <c r="V63" s="305" t="e">
        <f>IF($E$4&gt;10,HLOOKUP($E$4,COMPOSITTIONS!A:V,4,FALSE),#REF!)</f>
        <v>#N/A</v>
      </c>
      <c r="W63" s="278" t="e">
        <f>IF($F$4&lt;&gt;"",(HLOOKUP($F$4,COMPOSITTIONS!$D$2:$AA$66,49,FALSE)),#REF!)</f>
        <v>#REF!</v>
      </c>
      <c r="X63" s="278" t="e">
        <f t="shared" si="11"/>
        <v>#REF!</v>
      </c>
      <c r="Y63" s="57" t="e">
        <f t="shared" si="4"/>
        <v>#REF!</v>
      </c>
      <c r="Z63" s="55" t="e">
        <f>IF(Y63=#REF!,"0",(Y63/$Y$16))</f>
        <v>#REF!</v>
      </c>
      <c r="AB63" s="303" t="str">
        <f>IF($E$6=71,(C63/1000),"")</f>
        <v/>
      </c>
      <c r="AC63" s="282" t="str">
        <f t="shared" si="12"/>
        <v/>
      </c>
      <c r="AD63" s="278" t="str">
        <f t="shared" si="36"/>
        <v/>
      </c>
      <c r="AE63" s="302" t="str">
        <f t="shared" si="5"/>
        <v/>
      </c>
      <c r="AF63" s="278" t="str">
        <f t="shared" si="13"/>
        <v/>
      </c>
      <c r="AH63" s="303" t="str">
        <f>IF($E$7=70,(C63/1000),"")</f>
        <v/>
      </c>
      <c r="AI63" s="206" t="str">
        <f t="shared" si="14"/>
        <v/>
      </c>
      <c r="AJ63" s="278" t="str">
        <f t="shared" si="15"/>
        <v/>
      </c>
      <c r="AK63" s="302" t="str">
        <f t="shared" si="16"/>
        <v/>
      </c>
      <c r="AL63" s="278" t="str">
        <f t="shared" si="17"/>
        <v/>
      </c>
      <c r="AN63" s="303" t="str">
        <f>IF($E$8=71,(C63/1000),"")</f>
        <v/>
      </c>
      <c r="AO63" s="206" t="str">
        <f t="shared" si="18"/>
        <v/>
      </c>
      <c r="AP63" s="278" t="str">
        <f t="shared" si="19"/>
        <v/>
      </c>
      <c r="AQ63" s="302" t="str">
        <f t="shared" si="20"/>
        <v/>
      </c>
      <c r="AR63" s="278" t="str">
        <f t="shared" si="21"/>
        <v/>
      </c>
      <c r="AT63" s="203" t="str">
        <f>IF($E$9=71,(C63/1000),"")</f>
        <v/>
      </c>
      <c r="AU63" s="268" t="str">
        <f t="shared" si="22"/>
        <v/>
      </c>
      <c r="AV63" s="275" t="str">
        <f t="shared" si="23"/>
        <v/>
      </c>
      <c r="AW63" s="292" t="str">
        <f t="shared" si="24"/>
        <v/>
      </c>
      <c r="AX63" s="290" t="str">
        <f t="shared" si="25"/>
        <v/>
      </c>
      <c r="AZ63" s="203" t="str">
        <f>IF($E$10=71,(C63/1000),"")</f>
        <v/>
      </c>
      <c r="BA63" s="268" t="str">
        <f t="shared" si="26"/>
        <v/>
      </c>
      <c r="BB63" s="275" t="str">
        <f t="shared" si="27"/>
        <v/>
      </c>
      <c r="BC63" s="292" t="str">
        <f t="shared" si="28"/>
        <v/>
      </c>
      <c r="BD63" s="290" t="str">
        <f t="shared" si="29"/>
        <v/>
      </c>
      <c r="BF63" s="296" t="str">
        <f>IF($E$11=71,(C63/1000),"")</f>
        <v/>
      </c>
      <c r="BG63" s="267" t="str">
        <f t="shared" si="30"/>
        <v/>
      </c>
      <c r="BH63" s="275" t="str">
        <f t="shared" si="31"/>
        <v/>
      </c>
      <c r="BI63" s="292" t="str">
        <f t="shared" si="32"/>
        <v/>
      </c>
      <c r="BJ63" s="55" t="str">
        <f t="shared" si="33"/>
        <v/>
      </c>
    </row>
    <row r="64" spans="1:62" ht="13.5" customHeight="1" thickBot="1" x14ac:dyDescent="0.3">
      <c r="A64" s="34" t="b">
        <f t="shared" si="6"/>
        <v>0</v>
      </c>
      <c r="B64" s="61">
        <f>COMPOSITTIONS!A51</f>
        <v>72</v>
      </c>
      <c r="C64" s="282">
        <f>COMPOSITTIONS!B51</f>
        <v>47</v>
      </c>
      <c r="D64" s="284" t="str">
        <f>COMPOSITTIONS!C51</f>
        <v>Tournesol</v>
      </c>
      <c r="E64" s="276">
        <f t="shared" si="3"/>
        <v>4.7E-2</v>
      </c>
      <c r="F64" s="278" t="e">
        <f>(#REF!+O64+AE64+AJ64+AP64+AV64+BB64+BH64+X64)</f>
        <v>#REF!</v>
      </c>
      <c r="G64" s="271" t="e">
        <f t="shared" si="34"/>
        <v>#REF!</v>
      </c>
      <c r="H64" s="275" t="e">
        <f>(BI64+BC64+AW64+AQ64+AK64+AF64+P64)</f>
        <v>#VALUE!</v>
      </c>
      <c r="I64" s="271" t="e">
        <f t="shared" si="35"/>
        <v>#VALUE!</v>
      </c>
      <c r="J64" s="56"/>
      <c r="K64" s="56"/>
      <c r="L64" s="56"/>
      <c r="M64" s="144">
        <f t="shared" si="8"/>
        <v>4.7E-2</v>
      </c>
      <c r="N64" s="58">
        <f>IF($F$3&lt;&gt;"",(HLOOKUP($F$3,COMPOSITTIONS!$D$2:$AA$66,50,FALSE)),#REF!)</f>
        <v>0</v>
      </c>
      <c r="O64" s="54">
        <f t="shared" si="9"/>
        <v>0</v>
      </c>
      <c r="P64" s="54">
        <f>(O64*1000)/M64</f>
        <v>0</v>
      </c>
      <c r="Q64" s="55" t="e">
        <f>IF(P64=#REF!,"0",(P64/$P$16))</f>
        <v>#REF!</v>
      </c>
      <c r="S64" s="173">
        <f>E64</f>
        <v>4.7E-2</v>
      </c>
      <c r="T64" s="57" t="e">
        <f ca="1">IF(T64=#REF!,"0",$J$4/T64)</f>
        <v>#DIV/0!</v>
      </c>
      <c r="U64" s="57" t="e">
        <f t="shared" si="10"/>
        <v>#VALUE!</v>
      </c>
      <c r="V64" s="305" t="e">
        <f>IF($E$4&gt;10,HLOOKUP($E$4,COMPOSITTIONS!A:V,4,FALSE),#REF!)</f>
        <v>#N/A</v>
      </c>
      <c r="W64" s="278" t="e">
        <f>IF($F$4&lt;&gt;"",(HLOOKUP($F$4,COMPOSITTIONS!$D$2:$AA$66,50,FALSE)),#REF!)</f>
        <v>#REF!</v>
      </c>
      <c r="X64" s="278" t="e">
        <f t="shared" si="11"/>
        <v>#REF!</v>
      </c>
      <c r="Y64" s="57" t="e">
        <f t="shared" si="4"/>
        <v>#REF!</v>
      </c>
      <c r="Z64" s="55" t="e">
        <f>IF(Y64=#REF!,"0",(Y64/$Y$16))</f>
        <v>#REF!</v>
      </c>
      <c r="AB64" s="303" t="str">
        <f>IF($E$6=72,(C64/1000),"")</f>
        <v/>
      </c>
      <c r="AC64" s="282" t="str">
        <f t="shared" si="12"/>
        <v/>
      </c>
      <c r="AD64" s="278" t="str">
        <f t="shared" si="36"/>
        <v/>
      </c>
      <c r="AE64" s="302" t="str">
        <f t="shared" si="5"/>
        <v/>
      </c>
      <c r="AF64" s="278" t="str">
        <f t="shared" si="13"/>
        <v/>
      </c>
      <c r="AH64" s="303" t="str">
        <f>IF($E$7=72,(C64/1000),"")</f>
        <v/>
      </c>
      <c r="AI64" s="206" t="str">
        <f t="shared" si="14"/>
        <v/>
      </c>
      <c r="AJ64" s="278" t="str">
        <f t="shared" si="15"/>
        <v/>
      </c>
      <c r="AK64" s="302" t="str">
        <f t="shared" si="16"/>
        <v/>
      </c>
      <c r="AL64" s="278" t="str">
        <f t="shared" si="17"/>
        <v/>
      </c>
      <c r="AN64" s="303" t="str">
        <f>IF($E$8=72,(C64/1000),"")</f>
        <v/>
      </c>
      <c r="AO64" s="206" t="str">
        <f t="shared" si="18"/>
        <v/>
      </c>
      <c r="AP64" s="278" t="str">
        <f t="shared" si="19"/>
        <v/>
      </c>
      <c r="AQ64" s="302" t="str">
        <f t="shared" si="20"/>
        <v/>
      </c>
      <c r="AR64" s="278" t="str">
        <f t="shared" si="21"/>
        <v/>
      </c>
      <c r="AT64" s="203" t="str">
        <f>IF($E$9=72,(C64/1000),"")</f>
        <v/>
      </c>
      <c r="AU64" s="268" t="str">
        <f t="shared" si="22"/>
        <v/>
      </c>
      <c r="AV64" s="275" t="str">
        <f t="shared" si="23"/>
        <v/>
      </c>
      <c r="AW64" s="292" t="str">
        <f t="shared" si="24"/>
        <v/>
      </c>
      <c r="AX64" s="290" t="str">
        <f t="shared" si="25"/>
        <v/>
      </c>
      <c r="AZ64" s="203" t="str">
        <f>IF($E$10=72,(C64/1000),"")</f>
        <v/>
      </c>
      <c r="BA64" s="268" t="str">
        <f t="shared" si="26"/>
        <v/>
      </c>
      <c r="BB64" s="275" t="str">
        <f t="shared" si="27"/>
        <v/>
      </c>
      <c r="BC64" s="292" t="str">
        <f t="shared" si="28"/>
        <v/>
      </c>
      <c r="BD64" s="290" t="str">
        <f t="shared" si="29"/>
        <v/>
      </c>
      <c r="BF64" s="296" t="str">
        <f>IF($E$11=72,(C64/1000),"")</f>
        <v/>
      </c>
      <c r="BG64" s="267" t="str">
        <f t="shared" si="30"/>
        <v/>
      </c>
      <c r="BH64" s="275" t="str">
        <f t="shared" si="31"/>
        <v/>
      </c>
      <c r="BI64" s="292" t="str">
        <f t="shared" si="32"/>
        <v/>
      </c>
      <c r="BJ64" s="55" t="str">
        <f t="shared" si="33"/>
        <v/>
      </c>
    </row>
    <row r="65" spans="1:83" ht="13.5" customHeight="1" thickBot="1" x14ac:dyDescent="0.3">
      <c r="A65" s="34" t="b">
        <f t="shared" si="6"/>
        <v>0</v>
      </c>
      <c r="B65" s="61">
        <f>COMPOSITTIONS!A52</f>
        <v>73</v>
      </c>
      <c r="C65" s="282">
        <f>COMPOSITTIONS!B52</f>
        <v>0.9</v>
      </c>
      <c r="D65" s="284" t="str">
        <f>COMPOSITTIONS!C52</f>
        <v>Trèfle blanc géant</v>
      </c>
      <c r="E65" s="276">
        <f t="shared" si="3"/>
        <v>8.9999999999999998E-4</v>
      </c>
      <c r="F65" s="278" t="e">
        <f>(#REF!+O65+AE65+AJ65+AP65+AV65+BB65+BH65+X65)</f>
        <v>#REF!</v>
      </c>
      <c r="G65" s="271" t="e">
        <f t="shared" si="34"/>
        <v>#REF!</v>
      </c>
      <c r="H65" s="275" t="e">
        <f>(BI65+BC65+AW65+AQ65+AK65+AF65+P65)</f>
        <v>#VALUE!</v>
      </c>
      <c r="I65" s="271" t="e">
        <f t="shared" si="35"/>
        <v>#VALUE!</v>
      </c>
      <c r="J65" s="56"/>
      <c r="K65" s="56"/>
      <c r="L65" s="56"/>
      <c r="M65" s="144">
        <f t="shared" si="8"/>
        <v>8.9999999999999998E-4</v>
      </c>
      <c r="N65" s="58">
        <f>IF($F$3&lt;&gt;"",(HLOOKUP($F$3,COMPOSITTIONS!$D$2:$AA$66,51,FALSE)),#REF!)</f>
        <v>5</v>
      </c>
      <c r="O65" s="54">
        <f t="shared" si="9"/>
        <v>0.25</v>
      </c>
      <c r="P65" s="54">
        <f>(O65*1000)/M65</f>
        <v>277777.77777777781</v>
      </c>
      <c r="Q65" s="55" t="e">
        <f>IF(P65=#REF!,"0",(P65/$P$16))</f>
        <v>#REF!</v>
      </c>
      <c r="S65" s="173">
        <f>E65</f>
        <v>8.9999999999999998E-4</v>
      </c>
      <c r="T65" s="57" t="e">
        <f ca="1">IF(T65=#REF!,"0",$J$4/T65)</f>
        <v>#DIV/0!</v>
      </c>
      <c r="U65" s="57" t="e">
        <f t="shared" si="10"/>
        <v>#VALUE!</v>
      </c>
      <c r="V65" s="305" t="e">
        <f>IF($E$4&gt;10,HLOOKUP($E$4,COMPOSITTIONS!A:V,4,FALSE),#REF!)</f>
        <v>#N/A</v>
      </c>
      <c r="W65" s="278" t="e">
        <f>IF($F$4&lt;&gt;"",(HLOOKUP($F$4,COMPOSITTIONS!$D$2:$AA$66,51,FALSE)),#REF!)</f>
        <v>#REF!</v>
      </c>
      <c r="X65" s="278" t="e">
        <f t="shared" si="11"/>
        <v>#REF!</v>
      </c>
      <c r="Y65" s="57" t="e">
        <f t="shared" si="4"/>
        <v>#REF!</v>
      </c>
      <c r="Z65" s="55" t="e">
        <f>IF(Y65=#REF!,"0",(Y65/$Y$16))</f>
        <v>#REF!</v>
      </c>
      <c r="AB65" s="303" t="str">
        <f>IF($E$6=73,(C65/1000),"")</f>
        <v/>
      </c>
      <c r="AC65" s="282" t="str">
        <f t="shared" si="12"/>
        <v/>
      </c>
      <c r="AD65" s="278" t="str">
        <f t="shared" si="36"/>
        <v/>
      </c>
      <c r="AE65" s="302" t="str">
        <f t="shared" si="5"/>
        <v/>
      </c>
      <c r="AF65" s="278" t="str">
        <f t="shared" si="13"/>
        <v/>
      </c>
      <c r="AH65" s="303" t="str">
        <f>IF($E$7=73,(C65/1000),"")</f>
        <v/>
      </c>
      <c r="AI65" s="206" t="str">
        <f t="shared" si="14"/>
        <v/>
      </c>
      <c r="AJ65" s="278" t="str">
        <f t="shared" si="15"/>
        <v/>
      </c>
      <c r="AK65" s="302" t="str">
        <f t="shared" si="16"/>
        <v/>
      </c>
      <c r="AL65" s="278" t="str">
        <f t="shared" si="17"/>
        <v/>
      </c>
      <c r="AN65" s="303" t="str">
        <f>IF($E$8=73,(C65/1000),"")</f>
        <v/>
      </c>
      <c r="AO65" s="206" t="str">
        <f t="shared" si="18"/>
        <v/>
      </c>
      <c r="AP65" s="278" t="str">
        <f t="shared" si="19"/>
        <v/>
      </c>
      <c r="AQ65" s="302" t="str">
        <f t="shared" si="20"/>
        <v/>
      </c>
      <c r="AR65" s="278" t="str">
        <f t="shared" si="21"/>
        <v/>
      </c>
      <c r="AT65" s="203" t="str">
        <f>IF($E$9=73,(C65/1000),"")</f>
        <v/>
      </c>
      <c r="AU65" s="268" t="str">
        <f t="shared" si="22"/>
        <v/>
      </c>
      <c r="AV65" s="275" t="str">
        <f t="shared" si="23"/>
        <v/>
      </c>
      <c r="AW65" s="292" t="str">
        <f t="shared" si="24"/>
        <v/>
      </c>
      <c r="AX65" s="290" t="str">
        <f t="shared" si="25"/>
        <v/>
      </c>
      <c r="AZ65" s="203" t="str">
        <f>IF($E$10=73,(C65/1000),"")</f>
        <v/>
      </c>
      <c r="BA65" s="268" t="str">
        <f t="shared" si="26"/>
        <v/>
      </c>
      <c r="BB65" s="275" t="str">
        <f t="shared" si="27"/>
        <v/>
      </c>
      <c r="BC65" s="292" t="str">
        <f t="shared" si="28"/>
        <v/>
      </c>
      <c r="BD65" s="290" t="str">
        <f t="shared" si="29"/>
        <v/>
      </c>
      <c r="BF65" s="296" t="str">
        <f>IF($E$11=73,(C65/1000),"")</f>
        <v/>
      </c>
      <c r="BG65" s="267" t="str">
        <f t="shared" si="30"/>
        <v/>
      </c>
      <c r="BH65" s="275" t="str">
        <f t="shared" si="31"/>
        <v/>
      </c>
      <c r="BI65" s="292" t="str">
        <f t="shared" si="32"/>
        <v/>
      </c>
      <c r="BJ65" s="55" t="str">
        <f t="shared" si="33"/>
        <v/>
      </c>
    </row>
    <row r="66" spans="1:83" ht="13.5" customHeight="1" thickBot="1" x14ac:dyDescent="0.3">
      <c r="A66" s="34" t="b">
        <f t="shared" si="6"/>
        <v>0</v>
      </c>
      <c r="B66" s="61">
        <f>COMPOSITTIONS!A53</f>
        <v>74</v>
      </c>
      <c r="C66" s="282">
        <f>COMPOSITTIONS!B53</f>
        <v>0.8</v>
      </c>
      <c r="D66" s="284" t="str">
        <f>COMPOSITTIONS!C53</f>
        <v>Trèfle blanc ladino</v>
      </c>
      <c r="E66" s="276">
        <f t="shared" si="3"/>
        <v>8.0000000000000004E-4</v>
      </c>
      <c r="F66" s="278" t="e">
        <f>(#REF!+O66+AE66+AJ66+AP66+AV66+BB66+BH66+X66)</f>
        <v>#REF!</v>
      </c>
      <c r="G66" s="271" t="e">
        <f t="shared" si="34"/>
        <v>#REF!</v>
      </c>
      <c r="H66" s="275" t="e">
        <f>(BI66+BC66+AW66+AQ66+AK66+AF66+P66)</f>
        <v>#VALUE!</v>
      </c>
      <c r="I66" s="271" t="e">
        <f t="shared" si="35"/>
        <v>#VALUE!</v>
      </c>
      <c r="J66" s="56"/>
      <c r="K66" s="56"/>
      <c r="L66" s="56"/>
      <c r="M66" s="144">
        <f t="shared" si="8"/>
        <v>8.0000000000000004E-4</v>
      </c>
      <c r="N66" s="58">
        <f>IF($F$3&lt;&gt;"",(HLOOKUP($F$3,COMPOSITTIONS!$D$2:$AA$66,52,FALSE)),#REF!)</f>
        <v>0</v>
      </c>
      <c r="O66" s="54">
        <f t="shared" si="9"/>
        <v>0</v>
      </c>
      <c r="P66" s="54">
        <f>(O66*1000)/M66</f>
        <v>0</v>
      </c>
      <c r="Q66" s="55" t="e">
        <f>IF(P66=#REF!,"0",(P66/$P$16))</f>
        <v>#REF!</v>
      </c>
      <c r="S66" s="173">
        <f>E66</f>
        <v>8.0000000000000004E-4</v>
      </c>
      <c r="T66" s="57" t="e">
        <f ca="1">IF(T66=#REF!,"0",$J$4/T66)</f>
        <v>#DIV/0!</v>
      </c>
      <c r="U66" s="57" t="e">
        <f t="shared" si="10"/>
        <v>#VALUE!</v>
      </c>
      <c r="V66" s="305" t="e">
        <f>IF($E$4&gt;10,HLOOKUP($E$4,COMPOSITTIONS!A:V,4,FALSE),#REF!)</f>
        <v>#N/A</v>
      </c>
      <c r="W66" s="278" t="e">
        <f>IF($F$4&lt;&gt;"",(HLOOKUP($F$4,COMPOSITTIONS!$D$2:$AA$66,52,FALSE)),#REF!)</f>
        <v>#REF!</v>
      </c>
      <c r="X66" s="278" t="e">
        <f t="shared" si="11"/>
        <v>#REF!</v>
      </c>
      <c r="Y66" s="57" t="e">
        <f t="shared" si="4"/>
        <v>#REF!</v>
      </c>
      <c r="Z66" s="55" t="e">
        <f>IF(Y66=#REF!,"0",(Y66/$Y$16))</f>
        <v>#REF!</v>
      </c>
      <c r="AB66" s="303" t="str">
        <f>IF($E$6=74,(C66/1000),"")</f>
        <v/>
      </c>
      <c r="AC66" s="282" t="str">
        <f t="shared" si="12"/>
        <v/>
      </c>
      <c r="AD66" s="278" t="str">
        <f t="shared" si="36"/>
        <v/>
      </c>
      <c r="AE66" s="302" t="str">
        <f t="shared" si="5"/>
        <v/>
      </c>
      <c r="AF66" s="278" t="str">
        <f t="shared" si="13"/>
        <v/>
      </c>
      <c r="AH66" s="303" t="str">
        <f>IF($E$7=74,(C66/1000),"")</f>
        <v/>
      </c>
      <c r="AI66" s="206" t="str">
        <f t="shared" si="14"/>
        <v/>
      </c>
      <c r="AJ66" s="278" t="str">
        <f t="shared" si="15"/>
        <v/>
      </c>
      <c r="AK66" s="302" t="str">
        <f t="shared" si="16"/>
        <v/>
      </c>
      <c r="AL66" s="278" t="str">
        <f t="shared" si="17"/>
        <v/>
      </c>
      <c r="AN66" s="303" t="str">
        <f>IF($E$8=74,(C66/1000),"")</f>
        <v/>
      </c>
      <c r="AO66" s="206" t="str">
        <f t="shared" si="18"/>
        <v/>
      </c>
      <c r="AP66" s="278" t="str">
        <f t="shared" si="19"/>
        <v/>
      </c>
      <c r="AQ66" s="302" t="str">
        <f t="shared" si="20"/>
        <v/>
      </c>
      <c r="AR66" s="278" t="str">
        <f t="shared" si="21"/>
        <v/>
      </c>
      <c r="AT66" s="203" t="str">
        <f>IF($E$9=74,(C66/1000),"")</f>
        <v/>
      </c>
      <c r="AU66" s="268" t="str">
        <f t="shared" si="22"/>
        <v/>
      </c>
      <c r="AV66" s="275" t="str">
        <f t="shared" si="23"/>
        <v/>
      </c>
      <c r="AW66" s="292" t="str">
        <f t="shared" si="24"/>
        <v/>
      </c>
      <c r="AX66" s="290" t="str">
        <f t="shared" si="25"/>
        <v/>
      </c>
      <c r="AZ66" s="203" t="str">
        <f>IF($E$10=74,(C66/1000),"")</f>
        <v/>
      </c>
      <c r="BA66" s="268" t="str">
        <f t="shared" si="26"/>
        <v/>
      </c>
      <c r="BB66" s="275" t="str">
        <f t="shared" si="27"/>
        <v/>
      </c>
      <c r="BC66" s="292" t="str">
        <f t="shared" si="28"/>
        <v/>
      </c>
      <c r="BD66" s="290" t="str">
        <f t="shared" si="29"/>
        <v/>
      </c>
      <c r="BF66" s="296" t="str">
        <f>IF($E$11=74,(C66/1000),"")</f>
        <v/>
      </c>
      <c r="BG66" s="267" t="str">
        <f t="shared" si="30"/>
        <v/>
      </c>
      <c r="BH66" s="275" t="str">
        <f t="shared" si="31"/>
        <v/>
      </c>
      <c r="BI66" s="292" t="str">
        <f t="shared" si="32"/>
        <v/>
      </c>
      <c r="BJ66" s="55" t="str">
        <f t="shared" si="33"/>
        <v/>
      </c>
    </row>
    <row r="67" spans="1:83" ht="13.5" customHeight="1" thickBot="1" x14ac:dyDescent="0.3">
      <c r="A67" s="34" t="b">
        <f t="shared" si="6"/>
        <v>0</v>
      </c>
      <c r="B67" s="61">
        <f>COMPOSITTIONS!A54</f>
        <v>75</v>
      </c>
      <c r="C67" s="282">
        <f>COMPOSITTIONS!B54</f>
        <v>0.6</v>
      </c>
      <c r="D67" s="284" t="str">
        <f>COMPOSITTIONS!C54</f>
        <v>Trèfle blanc nain</v>
      </c>
      <c r="E67" s="276">
        <f t="shared" si="3"/>
        <v>5.9999999999999995E-4</v>
      </c>
      <c r="F67" s="278" t="e">
        <f>(#REF!+O67+AE67+AJ67+AP67+AV67+BB67+BH67+X67)</f>
        <v>#REF!</v>
      </c>
      <c r="G67" s="271" t="e">
        <f t="shared" si="34"/>
        <v>#REF!</v>
      </c>
      <c r="H67" s="275" t="e">
        <f>(BI67+BC67+AW67+AQ67+AK67+AF67+P67)</f>
        <v>#VALUE!</v>
      </c>
      <c r="I67" s="271" t="e">
        <f t="shared" si="35"/>
        <v>#VALUE!</v>
      </c>
      <c r="J67" s="56"/>
      <c r="K67" s="56"/>
      <c r="L67" s="56"/>
      <c r="M67" s="144">
        <f t="shared" si="8"/>
        <v>5.9999999999999995E-4</v>
      </c>
      <c r="N67" s="58">
        <f>IF($F$3&lt;&gt;"",(HLOOKUP($F$3,COMPOSITTIONS!$D$2:$AA$66,53,FALSE)),#REF!)</f>
        <v>5</v>
      </c>
      <c r="O67" s="54">
        <f t="shared" si="9"/>
        <v>0.25</v>
      </c>
      <c r="P67" s="54">
        <f>(O67*1000)/M67</f>
        <v>416666.66666666669</v>
      </c>
      <c r="Q67" s="55" t="e">
        <f>IF(P67=#REF!,"0",(P67/$P$16))</f>
        <v>#REF!</v>
      </c>
      <c r="S67" s="173">
        <f>E67</f>
        <v>5.9999999999999995E-4</v>
      </c>
      <c r="T67" s="57" t="e">
        <f ca="1">IF(T67=#REF!,"0",$J$4/T67)</f>
        <v>#DIV/0!</v>
      </c>
      <c r="U67" s="57" t="e">
        <f t="shared" si="10"/>
        <v>#VALUE!</v>
      </c>
      <c r="V67" s="305" t="e">
        <f>IF($E$4&gt;10,HLOOKUP($E$4,COMPOSITTIONS!A:V,4,FALSE),#REF!)</f>
        <v>#N/A</v>
      </c>
      <c r="W67" s="278" t="e">
        <f>IF($F$4&lt;&gt;"",(HLOOKUP($F$4,COMPOSITTIONS!$D$2:$AA$66,53,FALSE)),#REF!)</f>
        <v>#REF!</v>
      </c>
      <c r="X67" s="278" t="e">
        <f t="shared" si="11"/>
        <v>#REF!</v>
      </c>
      <c r="Y67" s="57" t="e">
        <f t="shared" si="4"/>
        <v>#REF!</v>
      </c>
      <c r="Z67" s="55" t="e">
        <f>IF(Y67=#REF!,"0",(Y67/$Y$16))</f>
        <v>#REF!</v>
      </c>
      <c r="AB67" s="303" t="str">
        <f>IF($E$6=75,(C67/1000),"")</f>
        <v/>
      </c>
      <c r="AC67" s="282" t="str">
        <f t="shared" si="12"/>
        <v/>
      </c>
      <c r="AD67" s="278" t="str">
        <f t="shared" si="36"/>
        <v/>
      </c>
      <c r="AE67" s="302" t="str">
        <f t="shared" si="5"/>
        <v/>
      </c>
      <c r="AF67" s="278" t="str">
        <f t="shared" si="13"/>
        <v/>
      </c>
      <c r="AH67" s="303" t="str">
        <f>IF($E$7=75,(C67/1000),"")</f>
        <v/>
      </c>
      <c r="AI67" s="206" t="str">
        <f t="shared" si="14"/>
        <v/>
      </c>
      <c r="AJ67" s="278" t="str">
        <f t="shared" si="15"/>
        <v/>
      </c>
      <c r="AK67" s="302" t="str">
        <f t="shared" si="16"/>
        <v/>
      </c>
      <c r="AL67" s="278" t="str">
        <f t="shared" si="17"/>
        <v/>
      </c>
      <c r="AN67" s="303" t="str">
        <f>IF($E$8=75,(C67/1000),"")</f>
        <v/>
      </c>
      <c r="AO67" s="206" t="str">
        <f t="shared" si="18"/>
        <v/>
      </c>
      <c r="AP67" s="278" t="str">
        <f t="shared" si="19"/>
        <v/>
      </c>
      <c r="AQ67" s="302" t="str">
        <f t="shared" si="20"/>
        <v/>
      </c>
      <c r="AR67" s="278" t="str">
        <f t="shared" si="21"/>
        <v/>
      </c>
      <c r="AT67" s="203" t="str">
        <f>IF($E$9=75,(C67/1000),"")</f>
        <v/>
      </c>
      <c r="AU67" s="268" t="str">
        <f t="shared" si="22"/>
        <v/>
      </c>
      <c r="AV67" s="275" t="str">
        <f t="shared" si="23"/>
        <v/>
      </c>
      <c r="AW67" s="292" t="str">
        <f t="shared" si="24"/>
        <v/>
      </c>
      <c r="AX67" s="290" t="str">
        <f t="shared" si="25"/>
        <v/>
      </c>
      <c r="AZ67" s="203" t="str">
        <f>IF($E$10=75,(C67/1000),"")</f>
        <v/>
      </c>
      <c r="BA67" s="268" t="str">
        <f t="shared" si="26"/>
        <v/>
      </c>
      <c r="BB67" s="275" t="str">
        <f t="shared" si="27"/>
        <v/>
      </c>
      <c r="BC67" s="292" t="str">
        <f t="shared" si="28"/>
        <v/>
      </c>
      <c r="BD67" s="290" t="str">
        <f t="shared" si="29"/>
        <v/>
      </c>
      <c r="BF67" s="296" t="str">
        <f>IF($E$11=75,(C67/1000),"")</f>
        <v/>
      </c>
      <c r="BG67" s="267" t="str">
        <f t="shared" si="30"/>
        <v/>
      </c>
      <c r="BH67" s="275" t="str">
        <f t="shared" si="31"/>
        <v/>
      </c>
      <c r="BI67" s="292" t="str">
        <f t="shared" si="32"/>
        <v/>
      </c>
      <c r="BJ67" s="55" t="str">
        <f t="shared" si="33"/>
        <v/>
      </c>
    </row>
    <row r="68" spans="1:83" ht="13.5" customHeight="1" thickBot="1" x14ac:dyDescent="0.3">
      <c r="A68" s="34" t="b">
        <f t="shared" si="6"/>
        <v>0</v>
      </c>
      <c r="B68" s="61">
        <f>COMPOSITTIONS!A55</f>
        <v>76</v>
      </c>
      <c r="C68" s="282">
        <f>COMPOSITTIONS!B55</f>
        <v>2.9</v>
      </c>
      <c r="D68" s="284" t="str">
        <f>COMPOSITTIONS!C55</f>
        <v>Trèfle d'alexandrie</v>
      </c>
      <c r="E68" s="276">
        <f t="shared" si="3"/>
        <v>2.8999999999999998E-3</v>
      </c>
      <c r="F68" s="278" t="e">
        <f>(#REF!+O68+AE68+AJ68+AP68+AV68+BB68+BH68+X68)</f>
        <v>#REF!</v>
      </c>
      <c r="G68" s="271" t="e">
        <f t="shared" si="34"/>
        <v>#REF!</v>
      </c>
      <c r="H68" s="275" t="e">
        <f>(BI68+BC68+AW68+AQ68+AK68+AF68+P68)</f>
        <v>#VALUE!</v>
      </c>
      <c r="I68" s="271" t="e">
        <f t="shared" si="35"/>
        <v>#VALUE!</v>
      </c>
      <c r="J68" s="56"/>
      <c r="K68" s="56"/>
      <c r="L68" s="56"/>
      <c r="M68" s="144">
        <f t="shared" si="8"/>
        <v>2.8999999999999998E-3</v>
      </c>
      <c r="N68" s="58">
        <f>IF($F$3&lt;&gt;"",(HLOOKUP($F$3,COMPOSITTIONS!$D$2:$AA$66,54,FALSE)),#REF!)</f>
        <v>0</v>
      </c>
      <c r="O68" s="54">
        <f t="shared" si="9"/>
        <v>0</v>
      </c>
      <c r="P68" s="54">
        <f>(O68*1000)/M68</f>
        <v>0</v>
      </c>
      <c r="Q68" s="55" t="e">
        <f>IF(P68=#REF!,"0",(P68/$P$16))</f>
        <v>#REF!</v>
      </c>
      <c r="S68" s="173">
        <f>E68</f>
        <v>2.8999999999999998E-3</v>
      </c>
      <c r="T68" s="57" t="e">
        <f ca="1">IF(T68=#REF!,"0",$J$4/T68)</f>
        <v>#DIV/0!</v>
      </c>
      <c r="U68" s="57" t="e">
        <f t="shared" si="10"/>
        <v>#VALUE!</v>
      </c>
      <c r="V68" s="305" t="e">
        <f>IF($E$4&gt;10,HLOOKUP($E$4,COMPOSITTIONS!A:V,4,FALSE),#REF!)</f>
        <v>#N/A</v>
      </c>
      <c r="W68" s="278" t="e">
        <f>IF($F$4&lt;&gt;"",(HLOOKUP($F$4,COMPOSITTIONS!$D$2:$AA$66,54,FALSE)),#REF!)</f>
        <v>#REF!</v>
      </c>
      <c r="X68" s="278" t="e">
        <f t="shared" si="11"/>
        <v>#REF!</v>
      </c>
      <c r="Y68" s="57" t="e">
        <f t="shared" si="4"/>
        <v>#REF!</v>
      </c>
      <c r="Z68" s="55" t="e">
        <f>IF(Y68=#REF!,"0",(Y68/$Y$16))</f>
        <v>#REF!</v>
      </c>
      <c r="AB68" s="303" t="str">
        <f>IF($E$6=76,(C68/1000),"")</f>
        <v/>
      </c>
      <c r="AC68" s="282" t="str">
        <f t="shared" si="12"/>
        <v/>
      </c>
      <c r="AD68" s="278" t="str">
        <f t="shared" si="36"/>
        <v/>
      </c>
      <c r="AE68" s="302" t="str">
        <f t="shared" si="5"/>
        <v/>
      </c>
      <c r="AF68" s="278" t="str">
        <f t="shared" si="13"/>
        <v/>
      </c>
      <c r="AH68" s="303" t="str">
        <f>IF($E$7=76,(C68/1000),"")</f>
        <v/>
      </c>
      <c r="AI68" s="206" t="str">
        <f t="shared" si="14"/>
        <v/>
      </c>
      <c r="AJ68" s="278" t="str">
        <f t="shared" si="15"/>
        <v/>
      </c>
      <c r="AK68" s="302" t="str">
        <f t="shared" si="16"/>
        <v/>
      </c>
      <c r="AL68" s="278" t="str">
        <f t="shared" si="17"/>
        <v/>
      </c>
      <c r="AN68" s="303" t="str">
        <f>IF($E$8=76,(C68/1000),"")</f>
        <v/>
      </c>
      <c r="AO68" s="206" t="str">
        <f t="shared" si="18"/>
        <v/>
      </c>
      <c r="AP68" s="278" t="str">
        <f t="shared" si="19"/>
        <v/>
      </c>
      <c r="AQ68" s="302" t="str">
        <f t="shared" si="20"/>
        <v/>
      </c>
      <c r="AR68" s="278" t="str">
        <f t="shared" si="21"/>
        <v/>
      </c>
      <c r="AT68" s="203" t="str">
        <f>IF($E$9=76,(C68/1000),"")</f>
        <v/>
      </c>
      <c r="AU68" s="268" t="str">
        <f t="shared" si="22"/>
        <v/>
      </c>
      <c r="AV68" s="275" t="str">
        <f t="shared" si="23"/>
        <v/>
      </c>
      <c r="AW68" s="292" t="str">
        <f t="shared" si="24"/>
        <v/>
      </c>
      <c r="AX68" s="290" t="str">
        <f t="shared" si="25"/>
        <v/>
      </c>
      <c r="AZ68" s="203" t="str">
        <f>IF($E$10=76,(C68/1000),"")</f>
        <v/>
      </c>
      <c r="BA68" s="268" t="str">
        <f t="shared" si="26"/>
        <v/>
      </c>
      <c r="BB68" s="275" t="str">
        <f t="shared" si="27"/>
        <v/>
      </c>
      <c r="BC68" s="292" t="str">
        <f t="shared" si="28"/>
        <v/>
      </c>
      <c r="BD68" s="290" t="str">
        <f t="shared" si="29"/>
        <v/>
      </c>
      <c r="BF68" s="296" t="str">
        <f>IF($E$11=76,(C68/1000),"")</f>
        <v/>
      </c>
      <c r="BG68" s="267" t="str">
        <f t="shared" si="30"/>
        <v/>
      </c>
      <c r="BH68" s="275" t="str">
        <f t="shared" si="31"/>
        <v/>
      </c>
      <c r="BI68" s="292" t="str">
        <f t="shared" si="32"/>
        <v/>
      </c>
      <c r="BJ68" s="55" t="str">
        <f t="shared" si="33"/>
        <v/>
      </c>
    </row>
    <row r="69" spans="1:83" ht="13.5" customHeight="1" thickBot="1" x14ac:dyDescent="0.3">
      <c r="A69" s="34" t="b">
        <f t="shared" si="6"/>
        <v>0</v>
      </c>
      <c r="B69" s="61">
        <f>COMPOSITTIONS!A56</f>
        <v>77</v>
      </c>
      <c r="C69" s="282">
        <f>COMPOSITTIONS!B56</f>
        <v>0.82</v>
      </c>
      <c r="D69" s="284" t="str">
        <f>COMPOSITTIONS!C56</f>
        <v>Trèfle de micheli</v>
      </c>
      <c r="E69" s="276">
        <f t="shared" si="3"/>
        <v>8.1999999999999998E-4</v>
      </c>
      <c r="F69" s="278" t="e">
        <f>(#REF!+O69+AE69+AJ69+AP69+AV69+BB69+BH69+X69)</f>
        <v>#REF!</v>
      </c>
      <c r="G69" s="271" t="e">
        <f t="shared" si="34"/>
        <v>#REF!</v>
      </c>
      <c r="H69" s="275" t="e">
        <f>(BI69+BC69+AW69+AQ69+AK69+AF69+P69)</f>
        <v>#VALUE!</v>
      </c>
      <c r="I69" s="271" t="e">
        <f t="shared" si="35"/>
        <v>#VALUE!</v>
      </c>
      <c r="J69" s="56"/>
      <c r="K69" s="56"/>
      <c r="L69" s="56"/>
      <c r="M69" s="144">
        <f t="shared" si="8"/>
        <v>8.1999999999999998E-4</v>
      </c>
      <c r="N69" s="58">
        <f>IF($F$3&lt;&gt;"",(HLOOKUP($F$3,COMPOSITTIONS!$D$2:$AA$66,55,FALSE)),#REF!)</f>
        <v>0</v>
      </c>
      <c r="O69" s="54">
        <f t="shared" si="9"/>
        <v>0</v>
      </c>
      <c r="P69" s="54">
        <f>(O69*1000)/M69</f>
        <v>0</v>
      </c>
      <c r="Q69" s="64" t="e">
        <f>IF(P69=#REF!,"0",(P69/$P$16))</f>
        <v>#REF!</v>
      </c>
      <c r="S69" s="173">
        <f>E69</f>
        <v>8.1999999999999998E-4</v>
      </c>
      <c r="T69" s="57" t="e">
        <f ca="1">IF(T69=#REF!,"0",$J$4/T69)</f>
        <v>#DIV/0!</v>
      </c>
      <c r="U69" s="57" t="e">
        <f t="shared" si="10"/>
        <v>#VALUE!</v>
      </c>
      <c r="V69" s="305" t="e">
        <f>IF($E$4&gt;10,HLOOKUP($E$4,COMPOSITTIONS!A:V,4,FALSE),#REF!)</f>
        <v>#N/A</v>
      </c>
      <c r="W69" s="278" t="e">
        <f>IF($F$4&lt;&gt;"",(HLOOKUP($F$4,COMPOSITTIONS!$D$2:$AA$66,55,FALSE)),#REF!)</f>
        <v>#REF!</v>
      </c>
      <c r="X69" s="278" t="e">
        <f t="shared" si="11"/>
        <v>#REF!</v>
      </c>
      <c r="Y69" s="57" t="e">
        <f t="shared" si="4"/>
        <v>#REF!</v>
      </c>
      <c r="Z69" s="55" t="e">
        <f>IF(Y69=#REF!,"0",(Y69/$Y$16))</f>
        <v>#REF!</v>
      </c>
      <c r="AB69" s="303" t="str">
        <f>IF($E$6=77,(C69/1000),"")</f>
        <v/>
      </c>
      <c r="AC69" s="282" t="str">
        <f t="shared" si="12"/>
        <v/>
      </c>
      <c r="AD69" s="278" t="str">
        <f t="shared" si="36"/>
        <v/>
      </c>
      <c r="AE69" s="302" t="str">
        <f t="shared" si="5"/>
        <v/>
      </c>
      <c r="AF69" s="278" t="str">
        <f t="shared" si="13"/>
        <v/>
      </c>
      <c r="AH69" s="303" t="str">
        <f>IF($E$7=77,(C69/1000),"")</f>
        <v/>
      </c>
      <c r="AI69" s="206" t="str">
        <f t="shared" si="14"/>
        <v/>
      </c>
      <c r="AJ69" s="278" t="str">
        <f t="shared" si="15"/>
        <v/>
      </c>
      <c r="AK69" s="302" t="str">
        <f t="shared" si="16"/>
        <v/>
      </c>
      <c r="AL69" s="278" t="str">
        <f t="shared" si="17"/>
        <v/>
      </c>
      <c r="AN69" s="303" t="str">
        <f>IF($E$8=77,(C69/1000),"")</f>
        <v/>
      </c>
      <c r="AO69" s="206" t="str">
        <f t="shared" si="18"/>
        <v/>
      </c>
      <c r="AP69" s="278" t="str">
        <f t="shared" si="19"/>
        <v/>
      </c>
      <c r="AQ69" s="302" t="str">
        <f t="shared" si="20"/>
        <v/>
      </c>
      <c r="AR69" s="278" t="str">
        <f t="shared" si="21"/>
        <v/>
      </c>
      <c r="AT69" s="203" t="str">
        <f>IF($E$9=77,(C69/1000),"")</f>
        <v/>
      </c>
      <c r="AU69" s="268" t="str">
        <f t="shared" si="22"/>
        <v/>
      </c>
      <c r="AV69" s="275" t="str">
        <f t="shared" si="23"/>
        <v/>
      </c>
      <c r="AW69" s="292" t="str">
        <f t="shared" si="24"/>
        <v/>
      </c>
      <c r="AX69" s="290" t="str">
        <f t="shared" si="25"/>
        <v/>
      </c>
      <c r="AZ69" s="203" t="str">
        <f>IF($E$10=77,(C69/1000),"")</f>
        <v/>
      </c>
      <c r="BA69" s="268" t="str">
        <f t="shared" si="26"/>
        <v/>
      </c>
      <c r="BB69" s="275" t="str">
        <f t="shared" si="27"/>
        <v/>
      </c>
      <c r="BC69" s="292" t="str">
        <f t="shared" si="28"/>
        <v/>
      </c>
      <c r="BD69" s="290" t="str">
        <f t="shared" si="29"/>
        <v/>
      </c>
      <c r="BF69" s="296" t="str">
        <f>IF($E$11=77,(C69/1000),"")</f>
        <v/>
      </c>
      <c r="BG69" s="267" t="str">
        <f t="shared" si="30"/>
        <v/>
      </c>
      <c r="BH69" s="275" t="str">
        <f t="shared" si="31"/>
        <v/>
      </c>
      <c r="BI69" s="292" t="str">
        <f t="shared" si="32"/>
        <v/>
      </c>
      <c r="BJ69" s="55" t="str">
        <f t="shared" si="33"/>
        <v/>
      </c>
    </row>
    <row r="70" spans="1:83" ht="13.5" customHeight="1" thickBot="1" x14ac:dyDescent="0.3">
      <c r="A70" s="34" t="b">
        <f t="shared" si="6"/>
        <v>0</v>
      </c>
      <c r="B70" s="61">
        <f>COMPOSITTIONS!A57</f>
        <v>78</v>
      </c>
      <c r="C70" s="282">
        <f>COMPOSITTIONS!B57</f>
        <v>1.4</v>
      </c>
      <c r="D70" s="284" t="str">
        <f>COMPOSITTIONS!C57</f>
        <v>Trèfle de perse</v>
      </c>
      <c r="E70" s="276">
        <f t="shared" si="3"/>
        <v>1.4E-3</v>
      </c>
      <c r="F70" s="278" t="e">
        <f>(#REF!+O70+AE70+AJ70+AP70+AV70+BB70+BH70+X70)</f>
        <v>#REF!</v>
      </c>
      <c r="G70" s="271" t="e">
        <f t="shared" si="34"/>
        <v>#REF!</v>
      </c>
      <c r="H70" s="275" t="e">
        <f>(BI70+BC70+AW70+AQ70+AK70+AF70+P70)</f>
        <v>#VALUE!</v>
      </c>
      <c r="I70" s="271" t="e">
        <f t="shared" si="35"/>
        <v>#VALUE!</v>
      </c>
      <c r="J70" s="56"/>
      <c r="K70" s="56"/>
      <c r="L70" s="56"/>
      <c r="M70" s="144">
        <f t="shared" si="8"/>
        <v>1.4E-3</v>
      </c>
      <c r="N70" s="58">
        <f>IF($F$3&lt;&gt;"",(HLOOKUP($F$3,COMPOSITTIONS!$D$2:$AA$66,56,FALSE)),#REF!)</f>
        <v>0</v>
      </c>
      <c r="O70" s="54">
        <f t="shared" si="9"/>
        <v>0</v>
      </c>
      <c r="P70" s="54">
        <f>(O70*1000)/M70</f>
        <v>0</v>
      </c>
      <c r="Q70" s="55" t="e">
        <f>IF(P70=#REF!,"0",(P70/$P$16))</f>
        <v>#REF!</v>
      </c>
      <c r="S70" s="173">
        <f>E70</f>
        <v>1.4E-3</v>
      </c>
      <c r="T70" s="57" t="e">
        <f ca="1">IF(T70=#REF!,"0",$J$4/T70)</f>
        <v>#DIV/0!</v>
      </c>
      <c r="U70" s="57" t="e">
        <f t="shared" si="10"/>
        <v>#VALUE!</v>
      </c>
      <c r="V70" s="305" t="e">
        <f>IF($E$4&gt;10,HLOOKUP($E$4,COMPOSITTIONS!A:V,4,FALSE),#REF!)</f>
        <v>#N/A</v>
      </c>
      <c r="W70" s="278" t="e">
        <f>IF($F$4&lt;&gt;"",(HLOOKUP($F$4,COMPOSITTIONS!$D$2:$AA$66,56,FALSE)),#REF!)</f>
        <v>#REF!</v>
      </c>
      <c r="X70" s="278" t="e">
        <f t="shared" si="11"/>
        <v>#REF!</v>
      </c>
      <c r="Y70" s="57" t="e">
        <f t="shared" si="4"/>
        <v>#REF!</v>
      </c>
      <c r="Z70" s="55" t="e">
        <f>IF(Y70=#REF!,"0",(Y70/$Y$16))</f>
        <v>#REF!</v>
      </c>
      <c r="AB70" s="303" t="str">
        <f>IF($E$6=78,(C70/1000),"")</f>
        <v/>
      </c>
      <c r="AC70" s="282" t="str">
        <f t="shared" si="12"/>
        <v/>
      </c>
      <c r="AD70" s="278" t="str">
        <f t="shared" si="36"/>
        <v/>
      </c>
      <c r="AE70" s="302" t="str">
        <f t="shared" si="5"/>
        <v/>
      </c>
      <c r="AF70" s="278" t="str">
        <f t="shared" si="13"/>
        <v/>
      </c>
      <c r="AH70" s="303" t="str">
        <f>IF($E$7=78,(C70/1000),"")</f>
        <v/>
      </c>
      <c r="AI70" s="206" t="str">
        <f t="shared" si="14"/>
        <v/>
      </c>
      <c r="AJ70" s="278" t="str">
        <f t="shared" si="15"/>
        <v/>
      </c>
      <c r="AK70" s="302" t="str">
        <f t="shared" si="16"/>
        <v/>
      </c>
      <c r="AL70" s="278" t="str">
        <f t="shared" si="17"/>
        <v/>
      </c>
      <c r="AN70" s="303" t="str">
        <f>IF($E$8=78,(C70/1000),"")</f>
        <v/>
      </c>
      <c r="AO70" s="206" t="str">
        <f t="shared" si="18"/>
        <v/>
      </c>
      <c r="AP70" s="278" t="str">
        <f t="shared" si="19"/>
        <v/>
      </c>
      <c r="AQ70" s="302" t="str">
        <f t="shared" si="20"/>
        <v/>
      </c>
      <c r="AR70" s="278" t="str">
        <f t="shared" si="21"/>
        <v/>
      </c>
      <c r="AT70" s="203" t="str">
        <f>IF($E$9=78,(C70/1000),"")</f>
        <v/>
      </c>
      <c r="AU70" s="268" t="str">
        <f t="shared" si="22"/>
        <v/>
      </c>
      <c r="AV70" s="275" t="str">
        <f t="shared" si="23"/>
        <v/>
      </c>
      <c r="AW70" s="292" t="str">
        <f t="shared" si="24"/>
        <v/>
      </c>
      <c r="AX70" s="290" t="str">
        <f t="shared" si="25"/>
        <v/>
      </c>
      <c r="AZ70" s="203" t="str">
        <f>IF($E$10=78,(C70/1000),"")</f>
        <v/>
      </c>
      <c r="BA70" s="268" t="str">
        <f t="shared" si="26"/>
        <v/>
      </c>
      <c r="BB70" s="275" t="str">
        <f t="shared" si="27"/>
        <v/>
      </c>
      <c r="BC70" s="292" t="str">
        <f t="shared" si="28"/>
        <v/>
      </c>
      <c r="BD70" s="290" t="str">
        <f t="shared" si="29"/>
        <v/>
      </c>
      <c r="BF70" s="296" t="str">
        <f>IF($E$11=78,(C70/1000),"")</f>
        <v/>
      </c>
      <c r="BG70" s="267" t="str">
        <f t="shared" si="30"/>
        <v/>
      </c>
      <c r="BH70" s="275" t="str">
        <f t="shared" si="31"/>
        <v/>
      </c>
      <c r="BI70" s="292" t="str">
        <f t="shared" si="32"/>
        <v/>
      </c>
      <c r="BJ70" s="55" t="str">
        <f t="shared" si="33"/>
        <v/>
      </c>
    </row>
    <row r="71" spans="1:83" ht="13.5" customHeight="1" thickBot="1" x14ac:dyDescent="0.3">
      <c r="A71" s="34" t="b">
        <f t="shared" si="6"/>
        <v>0</v>
      </c>
      <c r="B71" s="61">
        <f>COMPOSITTIONS!A58</f>
        <v>79</v>
      </c>
      <c r="C71" s="282">
        <f>COMPOSITTIONS!B58</f>
        <v>0.9</v>
      </c>
      <c r="D71" s="284" t="str">
        <f>COMPOSITTIONS!C58</f>
        <v>Tréfle fléche</v>
      </c>
      <c r="E71" s="276">
        <f t="shared" si="3"/>
        <v>8.9999999999999998E-4</v>
      </c>
      <c r="F71" s="278" t="e">
        <f>(#REF!+O71+AE71+AJ71+AP71+AV71+BB71+BH71+X71)</f>
        <v>#REF!</v>
      </c>
      <c r="G71" s="271" t="e">
        <f t="shared" si="34"/>
        <v>#REF!</v>
      </c>
      <c r="H71" s="275" t="e">
        <f>(BI71+BC71+AW71+AQ71+AK71+AF71+P71)</f>
        <v>#VALUE!</v>
      </c>
      <c r="I71" s="271" t="e">
        <f t="shared" si="35"/>
        <v>#VALUE!</v>
      </c>
      <c r="J71" s="56"/>
      <c r="K71" s="56"/>
      <c r="L71" s="56"/>
      <c r="M71" s="144">
        <f t="shared" si="8"/>
        <v>8.9999999999999998E-4</v>
      </c>
      <c r="N71" s="58">
        <f>IF($F$3&lt;&gt;"",(HLOOKUP($F$3,COMPOSITTIONS!$D$2:$AA$66,57,FALSE)),#REF!)</f>
        <v>0</v>
      </c>
      <c r="O71" s="54">
        <f t="shared" si="9"/>
        <v>0</v>
      </c>
      <c r="P71" s="54">
        <f>(O71*1000)/M71</f>
        <v>0</v>
      </c>
      <c r="Q71" s="55" t="e">
        <f>IF(P71=#REF!,"0",(P71/$P$16))</f>
        <v>#REF!</v>
      </c>
      <c r="S71" s="173">
        <f>E71</f>
        <v>8.9999999999999998E-4</v>
      </c>
      <c r="T71" s="57" t="e">
        <f ca="1">IF(T71=#REF!,"0",$J$4/T71)</f>
        <v>#DIV/0!</v>
      </c>
      <c r="U71" s="57" t="e">
        <f t="shared" si="10"/>
        <v>#VALUE!</v>
      </c>
      <c r="V71" s="305" t="e">
        <f>IF($E$4&gt;10,HLOOKUP($E$4,COMPOSITTIONS!A:V,4,FALSE),#REF!)</f>
        <v>#N/A</v>
      </c>
      <c r="W71" s="278" t="e">
        <f>IF($F$4&lt;&gt;"",(HLOOKUP($F$4,COMPOSITTIONS!$D$2:$AA$66,57,FALSE)),#REF!)</f>
        <v>#REF!</v>
      </c>
      <c r="X71" s="278" t="e">
        <f t="shared" si="11"/>
        <v>#REF!</v>
      </c>
      <c r="Y71" s="57" t="e">
        <f t="shared" si="4"/>
        <v>#REF!</v>
      </c>
      <c r="Z71" s="55" t="e">
        <f>IF(Y71=#REF!,"0",(Y71/$Y$16))</f>
        <v>#REF!</v>
      </c>
      <c r="AB71" s="303" t="str">
        <f>IF($E$6=79,(C71/1000),"")</f>
        <v/>
      </c>
      <c r="AC71" s="282" t="str">
        <f t="shared" si="12"/>
        <v/>
      </c>
      <c r="AD71" s="278" t="str">
        <f t="shared" si="36"/>
        <v/>
      </c>
      <c r="AE71" s="302" t="str">
        <f t="shared" si="5"/>
        <v/>
      </c>
      <c r="AF71" s="278" t="str">
        <f t="shared" si="13"/>
        <v/>
      </c>
      <c r="AH71" s="303" t="str">
        <f>IF($E$7=79,(C71/1000),"")</f>
        <v/>
      </c>
      <c r="AI71" s="206" t="str">
        <f t="shared" si="14"/>
        <v/>
      </c>
      <c r="AJ71" s="278" t="str">
        <f t="shared" si="15"/>
        <v/>
      </c>
      <c r="AK71" s="302" t="str">
        <f t="shared" si="16"/>
        <v/>
      </c>
      <c r="AL71" s="278" t="str">
        <f t="shared" si="17"/>
        <v/>
      </c>
      <c r="AN71" s="303" t="str">
        <f>IF($E$8=79,(C71/1000),"")</f>
        <v/>
      </c>
      <c r="AO71" s="206" t="str">
        <f t="shared" si="18"/>
        <v/>
      </c>
      <c r="AP71" s="278" t="str">
        <f t="shared" si="19"/>
        <v/>
      </c>
      <c r="AQ71" s="302" t="str">
        <f t="shared" si="20"/>
        <v/>
      </c>
      <c r="AR71" s="278" t="str">
        <f t="shared" si="21"/>
        <v/>
      </c>
      <c r="AT71" s="203" t="str">
        <f>IF($E$9=79,(C71/1000),"")</f>
        <v/>
      </c>
      <c r="AU71" s="268" t="str">
        <f t="shared" si="22"/>
        <v/>
      </c>
      <c r="AV71" s="275" t="str">
        <f t="shared" si="23"/>
        <v/>
      </c>
      <c r="AW71" s="292" t="str">
        <f t="shared" si="24"/>
        <v/>
      </c>
      <c r="AX71" s="290" t="str">
        <f t="shared" si="25"/>
        <v/>
      </c>
      <c r="AZ71" s="203" t="str">
        <f>IF($E$10=79,(C71/1000),"")</f>
        <v/>
      </c>
      <c r="BA71" s="268" t="str">
        <f t="shared" si="26"/>
        <v/>
      </c>
      <c r="BB71" s="275" t="str">
        <f t="shared" si="27"/>
        <v/>
      </c>
      <c r="BC71" s="292" t="str">
        <f t="shared" si="28"/>
        <v/>
      </c>
      <c r="BD71" s="290" t="str">
        <f t="shared" si="29"/>
        <v/>
      </c>
      <c r="BF71" s="296" t="str">
        <f>IF($E$11=79,(C71/1000),"")</f>
        <v/>
      </c>
      <c r="BG71" s="267" t="str">
        <f t="shared" si="30"/>
        <v/>
      </c>
      <c r="BH71" s="275" t="str">
        <f t="shared" si="31"/>
        <v/>
      </c>
      <c r="BI71" s="292" t="str">
        <f t="shared" si="32"/>
        <v/>
      </c>
      <c r="BJ71" s="55" t="str">
        <f t="shared" si="33"/>
        <v/>
      </c>
    </row>
    <row r="72" spans="1:83" ht="13.5" customHeight="1" thickBot="1" x14ac:dyDescent="0.3">
      <c r="A72" s="34" t="b">
        <f t="shared" si="6"/>
        <v>0</v>
      </c>
      <c r="B72" s="61">
        <f>COMPOSITTIONS!A59</f>
        <v>80</v>
      </c>
      <c r="C72" s="282">
        <f>COMPOSITTIONS!B59</f>
        <v>0.7</v>
      </c>
      <c r="D72" s="284" t="str">
        <f>COMPOSITTIONS!C59</f>
        <v>Trèfle hybride</v>
      </c>
      <c r="E72" s="276">
        <f t="shared" si="3"/>
        <v>6.9999999999999999E-4</v>
      </c>
      <c r="F72" s="278" t="e">
        <f>(#REF!+O72+AE72+AJ72+AP72+AV72+BB72+BH72+X72)</f>
        <v>#REF!</v>
      </c>
      <c r="G72" s="271" t="e">
        <f t="shared" si="34"/>
        <v>#REF!</v>
      </c>
      <c r="H72" s="275" t="e">
        <f>(BI72+BC72+AW72+AQ72+AK72+AF72+P72)</f>
        <v>#VALUE!</v>
      </c>
      <c r="I72" s="271" t="e">
        <f t="shared" si="35"/>
        <v>#VALUE!</v>
      </c>
      <c r="J72" s="56"/>
      <c r="K72" s="56"/>
      <c r="L72" s="56"/>
      <c r="M72" s="144">
        <f t="shared" si="8"/>
        <v>6.9999999999999999E-4</v>
      </c>
      <c r="N72" s="58">
        <f>IF($F$3&lt;&gt;"",(HLOOKUP($F$3,COMPOSITTIONS!$D$2:$AA$66,58,FALSE)),#REF!)</f>
        <v>5</v>
      </c>
      <c r="O72" s="54">
        <f t="shared" si="9"/>
        <v>0.25</v>
      </c>
      <c r="P72" s="54">
        <f>(O72*1000)/M72</f>
        <v>357142.85714285716</v>
      </c>
      <c r="Q72" s="55" t="e">
        <f>IF(P72=#REF!,"0",(P72/$P$16))</f>
        <v>#REF!</v>
      </c>
      <c r="S72" s="173">
        <f>E72</f>
        <v>6.9999999999999999E-4</v>
      </c>
      <c r="T72" s="57" t="e">
        <f ca="1">IF(T72=#REF!,"0",$J$4/T72)</f>
        <v>#DIV/0!</v>
      </c>
      <c r="U72" s="57" t="e">
        <f t="shared" si="10"/>
        <v>#VALUE!</v>
      </c>
      <c r="V72" s="305" t="e">
        <f>IF($E$4&gt;10,HLOOKUP($E$4,COMPOSITTIONS!A:V,4,FALSE),#REF!)</f>
        <v>#N/A</v>
      </c>
      <c r="W72" s="278" t="e">
        <f>IF($F$4&lt;&gt;"",(HLOOKUP($F$4,COMPOSITTIONS!$D$2:$AA$66,58,FALSE)),#REF!)</f>
        <v>#REF!</v>
      </c>
      <c r="X72" s="278" t="e">
        <f t="shared" si="11"/>
        <v>#REF!</v>
      </c>
      <c r="Y72" s="57" t="e">
        <f t="shared" si="4"/>
        <v>#REF!</v>
      </c>
      <c r="Z72" s="55" t="e">
        <f>IF(Y72=#REF!,"0",(Y72/$Y$16))</f>
        <v>#REF!</v>
      </c>
      <c r="AB72" s="303" t="str">
        <f>IF($E$6=80,(C72/1000),"")</f>
        <v/>
      </c>
      <c r="AC72" s="282" t="str">
        <f t="shared" si="12"/>
        <v/>
      </c>
      <c r="AD72" s="278" t="str">
        <f t="shared" si="36"/>
        <v/>
      </c>
      <c r="AE72" s="302" t="str">
        <f t="shared" si="5"/>
        <v/>
      </c>
      <c r="AF72" s="278" t="str">
        <f t="shared" si="13"/>
        <v/>
      </c>
      <c r="AH72" s="303" t="str">
        <f>IF($E$7=80,(C72/1000),"")</f>
        <v/>
      </c>
      <c r="AI72" s="206" t="str">
        <f t="shared" si="14"/>
        <v/>
      </c>
      <c r="AJ72" s="278" t="str">
        <f t="shared" si="15"/>
        <v/>
      </c>
      <c r="AK72" s="302" t="str">
        <f t="shared" si="16"/>
        <v/>
      </c>
      <c r="AL72" s="278" t="str">
        <f t="shared" si="17"/>
        <v/>
      </c>
      <c r="AN72" s="303" t="str">
        <f>IF($E$8=80,(C72/1000),"")</f>
        <v/>
      </c>
      <c r="AO72" s="206" t="str">
        <f t="shared" si="18"/>
        <v/>
      </c>
      <c r="AP72" s="278" t="str">
        <f t="shared" si="19"/>
        <v/>
      </c>
      <c r="AQ72" s="302" t="str">
        <f t="shared" si="20"/>
        <v/>
      </c>
      <c r="AR72" s="278" t="str">
        <f t="shared" si="21"/>
        <v/>
      </c>
      <c r="AT72" s="203" t="str">
        <f>IF($E$9=80,(C72/1000),"")</f>
        <v/>
      </c>
      <c r="AU72" s="268" t="str">
        <f t="shared" si="22"/>
        <v/>
      </c>
      <c r="AV72" s="275" t="str">
        <f t="shared" si="23"/>
        <v/>
      </c>
      <c r="AW72" s="292" t="str">
        <f t="shared" si="24"/>
        <v/>
      </c>
      <c r="AX72" s="290" t="str">
        <f t="shared" si="25"/>
        <v/>
      </c>
      <c r="AZ72" s="203" t="str">
        <f>IF($E$10=80,(C72/1000),"")</f>
        <v/>
      </c>
      <c r="BA72" s="268" t="str">
        <f t="shared" si="26"/>
        <v/>
      </c>
      <c r="BB72" s="275" t="str">
        <f t="shared" si="27"/>
        <v/>
      </c>
      <c r="BC72" s="292" t="str">
        <f t="shared" si="28"/>
        <v/>
      </c>
      <c r="BD72" s="290" t="str">
        <f t="shared" si="29"/>
        <v/>
      </c>
      <c r="BF72" s="296" t="str">
        <f>IF($E$11=80,(C72/1000),"")</f>
        <v/>
      </c>
      <c r="BG72" s="267" t="str">
        <f t="shared" si="30"/>
        <v/>
      </c>
      <c r="BH72" s="275" t="str">
        <f t="shared" si="31"/>
        <v/>
      </c>
      <c r="BI72" s="292" t="str">
        <f t="shared" si="32"/>
        <v/>
      </c>
      <c r="BJ72" s="55" t="str">
        <f t="shared" si="33"/>
        <v/>
      </c>
    </row>
    <row r="73" spans="1:83" ht="13.5" customHeight="1" thickBot="1" x14ac:dyDescent="0.3">
      <c r="A73" s="34" t="b">
        <f t="shared" si="6"/>
        <v>0</v>
      </c>
      <c r="B73" s="61">
        <f>COMPOSITTIONS!A60</f>
        <v>81</v>
      </c>
      <c r="C73" s="282">
        <f>COMPOSITTIONS!B60</f>
        <v>3.5</v>
      </c>
      <c r="D73" s="284" t="str">
        <f>COMPOSITTIONS!C60</f>
        <v>Trèfle incarnat</v>
      </c>
      <c r="E73" s="276">
        <f t="shared" si="3"/>
        <v>3.5000000000000001E-3</v>
      </c>
      <c r="F73" s="278" t="e">
        <f>(#REF!+O73+AE73+AJ73+AP73+AV73+BB73+BH73+X73)</f>
        <v>#REF!</v>
      </c>
      <c r="G73" s="271" t="e">
        <f t="shared" si="34"/>
        <v>#REF!</v>
      </c>
      <c r="H73" s="275" t="e">
        <f>(BI73+BC73+AW73+AQ73+AK73+AF73+P73)</f>
        <v>#VALUE!</v>
      </c>
      <c r="I73" s="271" t="e">
        <f t="shared" si="35"/>
        <v>#VALUE!</v>
      </c>
      <c r="J73" s="56"/>
      <c r="K73" s="56"/>
      <c r="L73" s="56"/>
      <c r="M73" s="144">
        <f t="shared" si="8"/>
        <v>3.5000000000000001E-3</v>
      </c>
      <c r="N73" s="58">
        <f>IF($F$3&lt;&gt;"",(HLOOKUP($F$3,COMPOSITTIONS!$D$2:$AA$66,59,FALSE)),#REF!)</f>
        <v>0</v>
      </c>
      <c r="O73" s="54">
        <f t="shared" si="9"/>
        <v>0</v>
      </c>
      <c r="P73" s="54">
        <f>(O73*1000)/M73</f>
        <v>0</v>
      </c>
      <c r="Q73" s="55" t="e">
        <f>IF(P73=#REF!,"0",(P73/$P$16))</f>
        <v>#REF!</v>
      </c>
      <c r="S73" s="173">
        <f>E73</f>
        <v>3.5000000000000001E-3</v>
      </c>
      <c r="T73" s="57" t="e">
        <f ca="1">IF(T73=#REF!,"0",$J$4/T73)</f>
        <v>#DIV/0!</v>
      </c>
      <c r="U73" s="57" t="e">
        <f t="shared" si="10"/>
        <v>#VALUE!</v>
      </c>
      <c r="V73" s="305" t="e">
        <f>IF($E$4&gt;10,HLOOKUP($E$4,COMPOSITTIONS!A:V,4,FALSE),#REF!)</f>
        <v>#N/A</v>
      </c>
      <c r="W73" s="278" t="e">
        <f>IF($F$4&lt;&gt;"",(HLOOKUP($F$4,COMPOSITTIONS!$D$2:$AA$66,59,FALSE)),#REF!)</f>
        <v>#REF!</v>
      </c>
      <c r="X73" s="278" t="e">
        <f t="shared" si="11"/>
        <v>#REF!</v>
      </c>
      <c r="Y73" s="57" t="e">
        <f t="shared" si="4"/>
        <v>#REF!</v>
      </c>
      <c r="Z73" s="55" t="e">
        <f>IF(Y73=#REF!,"0",(Y73/$Y$16))</f>
        <v>#REF!</v>
      </c>
      <c r="AB73" s="303" t="str">
        <f>IF($E$6=81,(C73/1000),"")</f>
        <v/>
      </c>
      <c r="AC73" s="282" t="str">
        <f t="shared" si="12"/>
        <v/>
      </c>
      <c r="AD73" s="278" t="str">
        <f t="shared" si="36"/>
        <v/>
      </c>
      <c r="AE73" s="302" t="str">
        <f t="shared" si="5"/>
        <v/>
      </c>
      <c r="AF73" s="278" t="str">
        <f t="shared" si="13"/>
        <v/>
      </c>
      <c r="AH73" s="303" t="str">
        <f>IF($E$7=81,(C73/1000),"")</f>
        <v/>
      </c>
      <c r="AI73" s="206" t="str">
        <f t="shared" si="14"/>
        <v/>
      </c>
      <c r="AJ73" s="278" t="str">
        <f t="shared" si="15"/>
        <v/>
      </c>
      <c r="AK73" s="302" t="str">
        <f t="shared" si="16"/>
        <v/>
      </c>
      <c r="AL73" s="278" t="str">
        <f t="shared" si="17"/>
        <v/>
      </c>
      <c r="AN73" s="303" t="str">
        <f>IF($E$8=81,(C73/1000),"")</f>
        <v/>
      </c>
      <c r="AO73" s="206" t="str">
        <f t="shared" si="18"/>
        <v/>
      </c>
      <c r="AP73" s="278" t="str">
        <f t="shared" si="19"/>
        <v/>
      </c>
      <c r="AQ73" s="302" t="str">
        <f t="shared" si="20"/>
        <v/>
      </c>
      <c r="AR73" s="278" t="str">
        <f t="shared" si="21"/>
        <v/>
      </c>
      <c r="AT73" s="203" t="str">
        <f>IF($E$9=81,(C73/1000),"")</f>
        <v/>
      </c>
      <c r="AU73" s="268" t="str">
        <f t="shared" si="22"/>
        <v/>
      </c>
      <c r="AV73" s="275" t="str">
        <f t="shared" si="23"/>
        <v/>
      </c>
      <c r="AW73" s="292" t="str">
        <f t="shared" si="24"/>
        <v/>
      </c>
      <c r="AX73" s="290" t="str">
        <f t="shared" si="25"/>
        <v/>
      </c>
      <c r="AZ73" s="203" t="str">
        <f>IF($E$10=81,(C73/1000),"")</f>
        <v/>
      </c>
      <c r="BA73" s="268" t="str">
        <f t="shared" si="26"/>
        <v/>
      </c>
      <c r="BB73" s="275" t="str">
        <f t="shared" si="27"/>
        <v/>
      </c>
      <c r="BC73" s="292" t="str">
        <f t="shared" si="28"/>
        <v/>
      </c>
      <c r="BD73" s="290" t="str">
        <f t="shared" si="29"/>
        <v/>
      </c>
      <c r="BF73" s="296" t="str">
        <f>IF($E$11=81,(C73/1000),"")</f>
        <v/>
      </c>
      <c r="BG73" s="267" t="str">
        <f t="shared" si="30"/>
        <v/>
      </c>
      <c r="BH73" s="275" t="str">
        <f t="shared" si="31"/>
        <v/>
      </c>
      <c r="BI73" s="292" t="str">
        <f t="shared" si="32"/>
        <v/>
      </c>
      <c r="BJ73" s="55" t="str">
        <f t="shared" si="33"/>
        <v/>
      </c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</row>
    <row r="74" spans="1:83" ht="13.5" customHeight="1" thickBot="1" x14ac:dyDescent="0.3">
      <c r="A74" s="34" t="b">
        <f t="shared" si="6"/>
        <v>0</v>
      </c>
      <c r="B74" s="61">
        <f>COMPOSITTIONS!A61</f>
        <v>82</v>
      </c>
      <c r="C74" s="282">
        <f>COMPOSITTIONS!B61</f>
        <v>3.8</v>
      </c>
      <c r="D74" s="284" t="str">
        <f>COMPOSITTIONS!C61</f>
        <v>Trèfle squarosum</v>
      </c>
      <c r="E74" s="276">
        <f t="shared" si="3"/>
        <v>3.8E-3</v>
      </c>
      <c r="F74" s="278" t="e">
        <f>(#REF!+O74+AE74+AJ74+AP74+AV74+BB74+BH74+X74)</f>
        <v>#REF!</v>
      </c>
      <c r="G74" s="271" t="e">
        <f t="shared" si="34"/>
        <v>#REF!</v>
      </c>
      <c r="H74" s="275" t="e">
        <f>(BI74+BC74+AW74+AQ74+AK74+AF74+P74)</f>
        <v>#VALUE!</v>
      </c>
      <c r="I74" s="271" t="e">
        <f t="shared" si="35"/>
        <v>#VALUE!</v>
      </c>
      <c r="J74" s="56"/>
      <c r="K74" s="56"/>
      <c r="L74" s="56"/>
      <c r="M74" s="144">
        <f t="shared" si="8"/>
        <v>3.8E-3</v>
      </c>
      <c r="N74" s="58">
        <f>IF($F$3&lt;&gt;"",(HLOOKUP($F$3,COMPOSITTIONS!$D$2:$AA$66,60,FALSE)),#REF!)</f>
        <v>0</v>
      </c>
      <c r="O74" s="54">
        <f t="shared" si="9"/>
        <v>0</v>
      </c>
      <c r="P74" s="54">
        <f>(O74*1000)/M74</f>
        <v>0</v>
      </c>
      <c r="Q74" s="66" t="e">
        <f>IF(P74=#REF!,"0",(P74/$P$16))</f>
        <v>#REF!</v>
      </c>
      <c r="S74" s="173">
        <f>E74</f>
        <v>3.8E-3</v>
      </c>
      <c r="T74" s="57" t="e">
        <f ca="1">IF(T74=#REF!,"0",$J$4/T74)</f>
        <v>#DIV/0!</v>
      </c>
      <c r="U74" s="57" t="e">
        <f t="shared" si="10"/>
        <v>#VALUE!</v>
      </c>
      <c r="V74" s="305" t="e">
        <f>IF($E$4&gt;10,HLOOKUP($E$4,COMPOSITTIONS!A:V,4,FALSE),#REF!)</f>
        <v>#N/A</v>
      </c>
      <c r="W74" s="278" t="e">
        <f>IF($F$4&lt;&gt;"",(HLOOKUP($F$4,COMPOSITTIONS!$D$2:$AA$66,60,FALSE)),#REF!)</f>
        <v>#REF!</v>
      </c>
      <c r="X74" s="278" t="e">
        <f t="shared" si="11"/>
        <v>#REF!</v>
      </c>
      <c r="Y74" s="57" t="e">
        <f t="shared" si="4"/>
        <v>#REF!</v>
      </c>
      <c r="Z74" s="55" t="e">
        <f>IF(Y74=#REF!,"0",(Y74/$Y$16))</f>
        <v>#REF!</v>
      </c>
      <c r="AB74" s="303" t="str">
        <f>IF($E$6=82,(C74/1000),"")</f>
        <v/>
      </c>
      <c r="AC74" s="282" t="str">
        <f t="shared" si="12"/>
        <v/>
      </c>
      <c r="AD74" s="278" t="str">
        <f t="shared" si="36"/>
        <v/>
      </c>
      <c r="AE74" s="302" t="str">
        <f t="shared" si="5"/>
        <v/>
      </c>
      <c r="AF74" s="278" t="str">
        <f t="shared" si="13"/>
        <v/>
      </c>
      <c r="AH74" s="303" t="str">
        <f>IF($E$7=82,(C74/1000),"")</f>
        <v/>
      </c>
      <c r="AI74" s="206" t="str">
        <f t="shared" si="14"/>
        <v/>
      </c>
      <c r="AJ74" s="278" t="str">
        <f t="shared" si="15"/>
        <v/>
      </c>
      <c r="AK74" s="302" t="str">
        <f t="shared" si="16"/>
        <v/>
      </c>
      <c r="AL74" s="278" t="str">
        <f t="shared" si="17"/>
        <v/>
      </c>
      <c r="AN74" s="303" t="str">
        <f>IF($E$8=82,(C74/1000),"")</f>
        <v/>
      </c>
      <c r="AO74" s="206" t="str">
        <f t="shared" si="18"/>
        <v/>
      </c>
      <c r="AP74" s="278" t="str">
        <f t="shared" si="19"/>
        <v/>
      </c>
      <c r="AQ74" s="302" t="str">
        <f t="shared" si="20"/>
        <v/>
      </c>
      <c r="AR74" s="278" t="str">
        <f t="shared" si="21"/>
        <v/>
      </c>
      <c r="AT74" s="203" t="str">
        <f>IF($E$9=82,(C74/1000),"")</f>
        <v/>
      </c>
      <c r="AU74" s="268" t="str">
        <f t="shared" si="22"/>
        <v/>
      </c>
      <c r="AV74" s="275" t="str">
        <f t="shared" si="23"/>
        <v/>
      </c>
      <c r="AW74" s="292" t="str">
        <f t="shared" si="24"/>
        <v/>
      </c>
      <c r="AX74" s="290" t="str">
        <f t="shared" si="25"/>
        <v/>
      </c>
      <c r="AZ74" s="203" t="str">
        <f>IF($E$10=82,(C74/1000),"")</f>
        <v/>
      </c>
      <c r="BA74" s="268" t="str">
        <f t="shared" si="26"/>
        <v/>
      </c>
      <c r="BB74" s="275" t="str">
        <f t="shared" si="27"/>
        <v/>
      </c>
      <c r="BC74" s="292" t="str">
        <f t="shared" si="28"/>
        <v/>
      </c>
      <c r="BD74" s="290" t="str">
        <f t="shared" si="29"/>
        <v/>
      </c>
      <c r="BF74" s="296" t="str">
        <f>IF($E$11=82,(C74/1000),"")</f>
        <v/>
      </c>
      <c r="BG74" s="267" t="str">
        <f t="shared" si="30"/>
        <v/>
      </c>
      <c r="BH74" s="275" t="str">
        <f t="shared" si="31"/>
        <v/>
      </c>
      <c r="BI74" s="292" t="str">
        <f t="shared" si="32"/>
        <v/>
      </c>
      <c r="BJ74" s="55" t="str">
        <f t="shared" si="33"/>
        <v/>
      </c>
      <c r="CB74" s="42"/>
      <c r="CC74" s="42"/>
      <c r="CD74" s="42"/>
      <c r="CE74" s="42"/>
    </row>
    <row r="75" spans="1:83" s="42" customFormat="1" ht="15" customHeight="1" thickBot="1" x14ac:dyDescent="0.3">
      <c r="A75" s="34" t="b">
        <f t="shared" si="6"/>
        <v>0</v>
      </c>
      <c r="B75" s="61">
        <f>COMPOSITTIONS!A62</f>
        <v>83</v>
      </c>
      <c r="C75" s="282">
        <f>COMPOSITTIONS!B62</f>
        <v>1.4</v>
      </c>
      <c r="D75" s="284" t="str">
        <f>COMPOSITTIONS!C62</f>
        <v>Trèfle vésiculum</v>
      </c>
      <c r="E75" s="276">
        <f t="shared" si="3"/>
        <v>1.4E-3</v>
      </c>
      <c r="F75" s="278" t="e">
        <f>(#REF!+O75+AE75+AJ75+AP75+AV75+BB75+BH75+X75)</f>
        <v>#REF!</v>
      </c>
      <c r="G75" s="271" t="e">
        <f t="shared" si="34"/>
        <v>#REF!</v>
      </c>
      <c r="H75" s="275" t="e">
        <f>(BI75+BC75+AW75+AQ75+AK75+AF75+P75)</f>
        <v>#VALUE!</v>
      </c>
      <c r="I75" s="271" t="e">
        <f t="shared" si="35"/>
        <v>#VALUE!</v>
      </c>
      <c r="J75" s="59"/>
      <c r="K75" s="59"/>
      <c r="L75" s="59"/>
      <c r="M75" s="144">
        <f t="shared" si="8"/>
        <v>1.4E-3</v>
      </c>
      <c r="N75" s="58">
        <f>IF($F$3&lt;&gt;"",(HLOOKUP($F$3,COMPOSITTIONS!$D$2:$AA$66,61,FALSE)),#REF!)</f>
        <v>0</v>
      </c>
      <c r="O75" s="54">
        <f t="shared" si="9"/>
        <v>0</v>
      </c>
      <c r="P75" s="54">
        <f>(O75*1000)/M75</f>
        <v>0</v>
      </c>
      <c r="Q75" s="66" t="e">
        <f>IF(P75=#REF!,"0",(P75/$P$16))</f>
        <v>#REF!</v>
      </c>
      <c r="S75" s="173">
        <f>E75</f>
        <v>1.4E-3</v>
      </c>
      <c r="T75" s="57" t="e">
        <f ca="1">IF(T75=#REF!,"0",$J$4/T75)</f>
        <v>#DIV/0!</v>
      </c>
      <c r="U75" s="57" t="e">
        <f t="shared" ref="U75:U79" si="37">(($J$4*V75)/100)</f>
        <v>#VALUE!</v>
      </c>
      <c r="V75" s="305" t="e">
        <f>IF($E$4&gt;10,HLOOKUP($E$4,COMPOSITTIONS!A:V,4,FALSE),#REF!)</f>
        <v>#N/A</v>
      </c>
      <c r="W75" s="278" t="e">
        <f>IF($F$4&lt;&gt;"",(HLOOKUP($F$4,COMPOSITTIONS!$D$2:$AA$66,61,FALSE)),#REF!)</f>
        <v>#REF!</v>
      </c>
      <c r="X75" s="278" t="e">
        <f t="shared" ref="X75:X79" si="38">((W75/100)*$J$4)</f>
        <v>#REF!</v>
      </c>
      <c r="Y75" s="57" t="e">
        <f t="shared" si="4"/>
        <v>#REF!</v>
      </c>
      <c r="Z75" s="55" t="e">
        <f>IF(Y75=#REF!,"0",(Y75/$Y$16))</f>
        <v>#REF!</v>
      </c>
      <c r="AB75" s="303" t="str">
        <f>IF($E$6=83,(C75/1000),"")</f>
        <v/>
      </c>
      <c r="AC75" s="282" t="str">
        <f t="shared" si="12"/>
        <v/>
      </c>
      <c r="AD75" s="278" t="str">
        <f t="shared" si="36"/>
        <v/>
      </c>
      <c r="AE75" s="302" t="str">
        <f t="shared" si="5"/>
        <v/>
      </c>
      <c r="AF75" s="278" t="str">
        <f t="shared" si="13"/>
        <v/>
      </c>
      <c r="AH75" s="303" t="str">
        <f>IF($E$7=83,(C75/1000),"")</f>
        <v/>
      </c>
      <c r="AI75" s="206" t="str">
        <f t="shared" si="14"/>
        <v/>
      </c>
      <c r="AJ75" s="278" t="str">
        <f t="shared" si="15"/>
        <v/>
      </c>
      <c r="AK75" s="302" t="str">
        <f t="shared" si="16"/>
        <v/>
      </c>
      <c r="AL75" s="278" t="str">
        <f t="shared" si="17"/>
        <v/>
      </c>
      <c r="AN75" s="303" t="str">
        <f>IF($E$8=83,(C75/1000),"")</f>
        <v/>
      </c>
      <c r="AO75" s="206" t="str">
        <f t="shared" si="18"/>
        <v/>
      </c>
      <c r="AP75" s="278" t="str">
        <f t="shared" si="19"/>
        <v/>
      </c>
      <c r="AQ75" s="302" t="str">
        <f t="shared" si="20"/>
        <v/>
      </c>
      <c r="AR75" s="278" t="str">
        <f t="shared" si="21"/>
        <v/>
      </c>
      <c r="AS75" s="34"/>
      <c r="AT75" s="203" t="str">
        <f>IF($E$9=83,(C75/1000),"")</f>
        <v/>
      </c>
      <c r="AU75" s="268" t="str">
        <f t="shared" si="22"/>
        <v/>
      </c>
      <c r="AV75" s="275" t="str">
        <f t="shared" si="23"/>
        <v/>
      </c>
      <c r="AW75" s="292" t="str">
        <f t="shared" si="24"/>
        <v/>
      </c>
      <c r="AX75" s="290" t="str">
        <f t="shared" si="25"/>
        <v/>
      </c>
      <c r="AY75" s="34"/>
      <c r="AZ75" s="203" t="str">
        <f>IF($E$10=83,(C75/1000),"")</f>
        <v/>
      </c>
      <c r="BA75" s="268" t="str">
        <f t="shared" si="26"/>
        <v/>
      </c>
      <c r="BB75" s="275" t="str">
        <f t="shared" si="27"/>
        <v/>
      </c>
      <c r="BC75" s="292" t="str">
        <f t="shared" si="28"/>
        <v/>
      </c>
      <c r="BD75" s="290" t="str">
        <f t="shared" si="29"/>
        <v/>
      </c>
      <c r="BE75" s="34"/>
      <c r="BF75" s="296" t="str">
        <f>IF($E$11=83,(C75/1000),"")</f>
        <v/>
      </c>
      <c r="BG75" s="267" t="str">
        <f t="shared" si="30"/>
        <v/>
      </c>
      <c r="BH75" s="275" t="str">
        <f t="shared" si="31"/>
        <v/>
      </c>
      <c r="BI75" s="292" t="str">
        <f t="shared" si="32"/>
        <v/>
      </c>
      <c r="BJ75" s="55" t="str">
        <f t="shared" si="33"/>
        <v/>
      </c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</row>
    <row r="76" spans="1:83" ht="15.75" thickBot="1" x14ac:dyDescent="0.3">
      <c r="A76" s="34" t="b">
        <f t="shared" si="6"/>
        <v>0</v>
      </c>
      <c r="B76" s="61">
        <f>COMPOSITTIONS!A63</f>
        <v>84</v>
      </c>
      <c r="C76" s="282">
        <f>COMPOSITTIONS!B63</f>
        <v>1.8</v>
      </c>
      <c r="D76" s="284" t="str">
        <f>COMPOSITTIONS!C63</f>
        <v>Trèfle violet 2n</v>
      </c>
      <c r="E76" s="276">
        <f t="shared" si="3"/>
        <v>1.8E-3</v>
      </c>
      <c r="F76" s="278" t="e">
        <f>(#REF!+O76+AE76+AJ76+AP76+AV76+BB76+BH76+X76)</f>
        <v>#REF!</v>
      </c>
      <c r="G76" s="271" t="e">
        <f t="shared" si="34"/>
        <v>#REF!</v>
      </c>
      <c r="H76" s="275" t="e">
        <f>(BI76+BC76+AW76+AQ76+AK76+AF76+P76)</f>
        <v>#VALUE!</v>
      </c>
      <c r="I76" s="271" t="e">
        <f t="shared" si="35"/>
        <v>#VALUE!</v>
      </c>
      <c r="M76" s="144">
        <f t="shared" si="8"/>
        <v>1.8E-3</v>
      </c>
      <c r="N76" s="58">
        <f>IF($F$3&lt;&gt;"",(HLOOKUP($F$3,COMPOSITTIONS!$D$2:$AA$66,62,FALSE)),#REF!)</f>
        <v>0</v>
      </c>
      <c r="O76" s="54">
        <f t="shared" si="9"/>
        <v>0</v>
      </c>
      <c r="P76" s="54">
        <f>(O76*1000)/M76</f>
        <v>0</v>
      </c>
      <c r="Q76" s="66" t="e">
        <f>IF(P76=#REF!,"0",(P76/$P$16))</f>
        <v>#REF!</v>
      </c>
      <c r="S76" s="173">
        <f>E76</f>
        <v>1.8E-3</v>
      </c>
      <c r="T76" s="57" t="e">
        <f ca="1">IF(T76=#REF!,"0",$J$4/T76)</f>
        <v>#DIV/0!</v>
      </c>
      <c r="U76" s="57" t="e">
        <f t="shared" si="37"/>
        <v>#VALUE!</v>
      </c>
      <c r="V76" s="305" t="e">
        <f>IF($E$4&gt;10,HLOOKUP($E$4,COMPOSITTIONS!A:V,4,FALSE),#REF!)</f>
        <v>#N/A</v>
      </c>
      <c r="W76" s="278" t="e">
        <f>IF($F$4&lt;&gt;"",(HLOOKUP($F$4,COMPOSITTIONS!$D$2:$AA$66,62,FALSE)),#REF!)</f>
        <v>#REF!</v>
      </c>
      <c r="X76" s="278" t="e">
        <f t="shared" si="38"/>
        <v>#REF!</v>
      </c>
      <c r="Y76" s="57" t="e">
        <f t="shared" si="4"/>
        <v>#REF!</v>
      </c>
      <c r="Z76" s="55" t="e">
        <f>IF(Y76=#REF!,"0",(Y76/$Y$16))</f>
        <v>#REF!</v>
      </c>
      <c r="AB76" s="303" t="str">
        <f>IF($E$6=84,(C76/1000),"")</f>
        <v/>
      </c>
      <c r="AC76" s="282" t="str">
        <f t="shared" si="12"/>
        <v/>
      </c>
      <c r="AD76" s="278" t="str">
        <f t="shared" si="36"/>
        <v/>
      </c>
      <c r="AE76" s="302" t="str">
        <f t="shared" si="5"/>
        <v/>
      </c>
      <c r="AF76" s="278" t="str">
        <f t="shared" si="13"/>
        <v/>
      </c>
      <c r="AH76" s="303" t="str">
        <f>IF($E$7=84,(C76/1000),"")</f>
        <v/>
      </c>
      <c r="AI76" s="206" t="str">
        <f t="shared" si="14"/>
        <v/>
      </c>
      <c r="AJ76" s="278" t="str">
        <f t="shared" si="15"/>
        <v/>
      </c>
      <c r="AK76" s="302" t="str">
        <f t="shared" si="16"/>
        <v/>
      </c>
      <c r="AL76" s="278" t="str">
        <f t="shared" si="17"/>
        <v/>
      </c>
      <c r="AN76" s="303" t="str">
        <f>IF($E$8=84,(C76/1000),"")</f>
        <v/>
      </c>
      <c r="AO76" s="206" t="str">
        <f t="shared" si="18"/>
        <v/>
      </c>
      <c r="AP76" s="278" t="str">
        <f t="shared" si="19"/>
        <v/>
      </c>
      <c r="AQ76" s="302" t="str">
        <f t="shared" si="20"/>
        <v/>
      </c>
      <c r="AR76" s="278" t="str">
        <f t="shared" si="21"/>
        <v/>
      </c>
      <c r="AT76" s="203" t="str">
        <f>IF($E$9=84,(C76/1000),"")</f>
        <v/>
      </c>
      <c r="AU76" s="268" t="str">
        <f t="shared" si="22"/>
        <v/>
      </c>
      <c r="AV76" s="275" t="str">
        <f t="shared" si="23"/>
        <v/>
      </c>
      <c r="AW76" s="292" t="str">
        <f t="shared" si="24"/>
        <v/>
      </c>
      <c r="AX76" s="290" t="str">
        <f t="shared" si="25"/>
        <v/>
      </c>
      <c r="AZ76" s="203" t="str">
        <f>IF($E$10=84,(C76/1000),"")</f>
        <v/>
      </c>
      <c r="BA76" s="268" t="str">
        <f t="shared" si="26"/>
        <v/>
      </c>
      <c r="BB76" s="275" t="str">
        <f t="shared" si="27"/>
        <v/>
      </c>
      <c r="BC76" s="292" t="str">
        <f t="shared" si="28"/>
        <v/>
      </c>
      <c r="BD76" s="290" t="str">
        <f t="shared" si="29"/>
        <v/>
      </c>
      <c r="BF76" s="296" t="str">
        <f>IF($E$11=84,(C76/1000),"")</f>
        <v/>
      </c>
      <c r="BG76" s="267" t="str">
        <f t="shared" si="30"/>
        <v/>
      </c>
      <c r="BH76" s="275" t="str">
        <f t="shared" si="31"/>
        <v/>
      </c>
      <c r="BI76" s="292" t="str">
        <f t="shared" si="32"/>
        <v/>
      </c>
      <c r="BJ76" s="55" t="str">
        <f t="shared" si="33"/>
        <v/>
      </c>
    </row>
    <row r="77" spans="1:83" ht="15.75" thickBot="1" x14ac:dyDescent="0.3">
      <c r="A77" s="34" t="b">
        <f t="shared" si="6"/>
        <v>0</v>
      </c>
      <c r="B77" s="61">
        <f>COMPOSITTIONS!A64</f>
        <v>85</v>
      </c>
      <c r="C77" s="282">
        <f>COMPOSITTIONS!B64</f>
        <v>3</v>
      </c>
      <c r="D77" s="284" t="str">
        <f>COMPOSITTIONS!C64</f>
        <v>Trèfle violet 4n</v>
      </c>
      <c r="E77" s="276">
        <f t="shared" si="3"/>
        <v>3.0000000000000001E-3</v>
      </c>
      <c r="F77" s="278" t="e">
        <f>(#REF!+O77+AE77+AJ77+AP77+AV77+BB77+BH77+X77)</f>
        <v>#REF!</v>
      </c>
      <c r="G77" s="271" t="e">
        <f t="shared" si="34"/>
        <v>#REF!</v>
      </c>
      <c r="H77" s="275" t="e">
        <f>(BI77+BC77+AW77+AQ77+AK77+AF77+P77)</f>
        <v>#VALUE!</v>
      </c>
      <c r="I77" s="271" t="e">
        <f t="shared" si="35"/>
        <v>#VALUE!</v>
      </c>
      <c r="M77" s="144">
        <f t="shared" si="8"/>
        <v>3.0000000000000001E-3</v>
      </c>
      <c r="N77" s="58">
        <f>IF($F$3&lt;&gt;"",(HLOOKUP($F$3,COMPOSITTIONS!$D$2:$AA$66,63,FALSE)),#REF!)</f>
        <v>0</v>
      </c>
      <c r="O77" s="54">
        <f t="shared" si="9"/>
        <v>0</v>
      </c>
      <c r="P77" s="54">
        <f>(O77*1000)/M77</f>
        <v>0</v>
      </c>
      <c r="Q77" s="66" t="e">
        <f>IF(P77=#REF!,"0",(P77/$P$16))</f>
        <v>#REF!</v>
      </c>
      <c r="S77" s="173">
        <f>E77</f>
        <v>3.0000000000000001E-3</v>
      </c>
      <c r="T77" s="57" t="e">
        <f ca="1">IF(T77=#REF!,"0",$J$4/T77)</f>
        <v>#DIV/0!</v>
      </c>
      <c r="U77" s="57" t="e">
        <f t="shared" si="37"/>
        <v>#VALUE!</v>
      </c>
      <c r="V77" s="305" t="e">
        <f>IF($E$4&gt;10,HLOOKUP($E$4,COMPOSITTIONS!A:V,4,FALSE),#REF!)</f>
        <v>#N/A</v>
      </c>
      <c r="W77" s="278" t="e">
        <f>IF($F$4&lt;&gt;"",(HLOOKUP($F$4,COMPOSITTIONS!$D$2:$AA$66,63,FALSE)),#REF!)</f>
        <v>#REF!</v>
      </c>
      <c r="X77" s="278" t="e">
        <f t="shared" si="38"/>
        <v>#REF!</v>
      </c>
      <c r="Y77" s="57" t="e">
        <f t="shared" si="4"/>
        <v>#REF!</v>
      </c>
      <c r="Z77" s="55" t="e">
        <f>IF(Y77=#REF!,"0",(Y77/$Y$16))</f>
        <v>#REF!</v>
      </c>
      <c r="AB77" s="303" t="str">
        <f>IF($E$6=85,(C77/1000),"")</f>
        <v/>
      </c>
      <c r="AC77" s="282" t="str">
        <f t="shared" si="12"/>
        <v/>
      </c>
      <c r="AD77" s="278" t="str">
        <f t="shared" si="36"/>
        <v/>
      </c>
      <c r="AE77" s="302" t="str">
        <f t="shared" si="5"/>
        <v/>
      </c>
      <c r="AF77" s="51" t="str">
        <f t="shared" si="13"/>
        <v/>
      </c>
      <c r="AH77" s="303" t="str">
        <f>IF($E$7=85,(C77/1000),"")</f>
        <v/>
      </c>
      <c r="AI77" s="206" t="str">
        <f t="shared" si="14"/>
        <v/>
      </c>
      <c r="AJ77" s="278" t="str">
        <f t="shared" si="15"/>
        <v/>
      </c>
      <c r="AK77" s="302" t="str">
        <f t="shared" si="16"/>
        <v/>
      </c>
      <c r="AL77" s="278" t="str">
        <f t="shared" si="17"/>
        <v/>
      </c>
      <c r="AN77" s="303" t="str">
        <f>IF($E$8=85,(C77/1000),"")</f>
        <v/>
      </c>
      <c r="AO77" s="206" t="str">
        <f t="shared" si="18"/>
        <v/>
      </c>
      <c r="AP77" s="278" t="str">
        <f t="shared" si="19"/>
        <v/>
      </c>
      <c r="AQ77" s="302" t="str">
        <f t="shared" si="20"/>
        <v/>
      </c>
      <c r="AR77" s="278" t="str">
        <f t="shared" si="21"/>
        <v/>
      </c>
      <c r="AT77" s="203" t="str">
        <f>IF($E$9=85,(C77/1000),"")</f>
        <v/>
      </c>
      <c r="AU77" s="268" t="str">
        <f t="shared" si="22"/>
        <v/>
      </c>
      <c r="AV77" s="275" t="str">
        <f t="shared" si="23"/>
        <v/>
      </c>
      <c r="AW77" s="292" t="str">
        <f t="shared" si="24"/>
        <v/>
      </c>
      <c r="AX77" s="290" t="str">
        <f t="shared" si="25"/>
        <v/>
      </c>
      <c r="AZ77" s="203" t="str">
        <f>IF($E$10=85,(C77/1000),"")</f>
        <v/>
      </c>
      <c r="BA77" s="268" t="str">
        <f t="shared" si="26"/>
        <v/>
      </c>
      <c r="BB77" s="275" t="str">
        <f t="shared" si="27"/>
        <v/>
      </c>
      <c r="BC77" s="292" t="str">
        <f t="shared" si="28"/>
        <v/>
      </c>
      <c r="BD77" s="290" t="str">
        <f t="shared" si="29"/>
        <v/>
      </c>
      <c r="BF77" s="296" t="str">
        <f>IF($E$11=85,(C77/1000),"")</f>
        <v/>
      </c>
      <c r="BG77" s="267" t="str">
        <f t="shared" si="30"/>
        <v/>
      </c>
      <c r="BH77" s="275" t="str">
        <f t="shared" si="31"/>
        <v/>
      </c>
      <c r="BI77" s="292" t="str">
        <f t="shared" si="32"/>
        <v/>
      </c>
      <c r="BJ77" s="55" t="str">
        <f t="shared" si="33"/>
        <v/>
      </c>
    </row>
    <row r="78" spans="1:83" ht="15.75" thickBot="1" x14ac:dyDescent="0.3">
      <c r="A78" s="34" t="b">
        <f t="shared" si="6"/>
        <v>0</v>
      </c>
      <c r="B78" s="61">
        <f>COMPOSITTIONS!A65</f>
        <v>86</v>
      </c>
      <c r="C78" s="282">
        <f>COMPOSITTIONS!B65</f>
        <v>60</v>
      </c>
      <c r="D78" s="284" t="str">
        <f>COMPOSITTIONS!C65</f>
        <v>Vesce commune</v>
      </c>
      <c r="E78" s="276">
        <f t="shared" si="3"/>
        <v>0.06</v>
      </c>
      <c r="F78" s="278" t="e">
        <f>(#REF!+O78+AE78+AJ78+AP78+AV78+BB78+BH78+X78)</f>
        <v>#REF!</v>
      </c>
      <c r="G78" s="271" t="e">
        <f t="shared" si="34"/>
        <v>#REF!</v>
      </c>
      <c r="H78" s="275" t="e">
        <f>(BI78+BC78+AW78+AQ78+AK78+AF78+P78)</f>
        <v>#VALUE!</v>
      </c>
      <c r="I78" s="271" t="e">
        <f t="shared" si="35"/>
        <v>#VALUE!</v>
      </c>
      <c r="M78" s="144">
        <f t="shared" si="8"/>
        <v>0.06</v>
      </c>
      <c r="N78" s="63">
        <f>IF($F$3&lt;&gt;"",(HLOOKUP($F$3,COMPOSITTIONS!$D$2:$AA$66,64,FALSE)),#REF!)</f>
        <v>0</v>
      </c>
      <c r="O78" s="54">
        <f t="shared" si="9"/>
        <v>0</v>
      </c>
      <c r="P78" s="54">
        <f>(O78*1000)/M78</f>
        <v>0</v>
      </c>
      <c r="Q78" s="64" t="e">
        <f>IF(P78=#REF!,"0",(P78/$P$16))</f>
        <v>#REF!</v>
      </c>
      <c r="S78" s="173">
        <f>E78</f>
        <v>0.06</v>
      </c>
      <c r="T78" s="57" t="e">
        <f ca="1">IF(T78=#REF!,"0",$J$4/T78)</f>
        <v>#DIV/0!</v>
      </c>
      <c r="U78" s="57" t="e">
        <f t="shared" si="37"/>
        <v>#VALUE!</v>
      </c>
      <c r="V78" s="305" t="e">
        <f>IF($E$4&gt;10,HLOOKUP($E$4,COMPOSITTIONS!A:V,4,FALSE),#REF!)</f>
        <v>#N/A</v>
      </c>
      <c r="W78" s="278" t="e">
        <f>IF($F$4&lt;&gt;"",(HLOOKUP($F$4,COMPOSITTIONS!$D$2:$AA$66,64,FALSE)),#REF!)</f>
        <v>#REF!</v>
      </c>
      <c r="X78" s="278" t="e">
        <f t="shared" si="38"/>
        <v>#REF!</v>
      </c>
      <c r="Y78" s="57" t="e">
        <f t="shared" si="4"/>
        <v>#REF!</v>
      </c>
      <c r="Z78" s="55" t="e">
        <f>IF(Y78=#REF!,"0",(Y78/$Y$16))</f>
        <v>#REF!</v>
      </c>
      <c r="AB78" s="303" t="str">
        <f>IF($E$6=86,(C78/1000),"")</f>
        <v/>
      </c>
      <c r="AC78" s="282" t="str">
        <f t="shared" si="12"/>
        <v/>
      </c>
      <c r="AD78" s="278" t="str">
        <f t="shared" si="36"/>
        <v/>
      </c>
      <c r="AE78" s="204" t="str">
        <f t="shared" si="5"/>
        <v/>
      </c>
      <c r="AF78" s="209" t="str">
        <f t="shared" si="13"/>
        <v/>
      </c>
      <c r="AH78" s="303" t="str">
        <f>IF($E$7=86,(C78/1000),"")</f>
        <v/>
      </c>
      <c r="AI78" s="206" t="str">
        <f t="shared" si="14"/>
        <v/>
      </c>
      <c r="AJ78" s="278" t="str">
        <f t="shared" si="15"/>
        <v/>
      </c>
      <c r="AK78" s="302" t="str">
        <f t="shared" si="16"/>
        <v/>
      </c>
      <c r="AL78" s="278" t="str">
        <f t="shared" si="17"/>
        <v/>
      </c>
      <c r="AN78" s="303" t="str">
        <f>IF($E$8=86,(C78/1000),"")</f>
        <v/>
      </c>
      <c r="AO78" s="206" t="str">
        <f t="shared" si="18"/>
        <v/>
      </c>
      <c r="AP78" s="278" t="str">
        <f t="shared" si="19"/>
        <v/>
      </c>
      <c r="AQ78" s="302" t="str">
        <f t="shared" si="20"/>
        <v/>
      </c>
      <c r="AR78" s="278" t="str">
        <f t="shared" si="21"/>
        <v/>
      </c>
      <c r="AT78" s="210" t="str">
        <f>IF($E$9=86,(C78/1000),"")</f>
        <v/>
      </c>
      <c r="AU78" s="267" t="str">
        <f t="shared" si="22"/>
        <v/>
      </c>
      <c r="AV78" s="275" t="str">
        <f t="shared" si="23"/>
        <v/>
      </c>
      <c r="AW78" s="292" t="str">
        <f t="shared" si="24"/>
        <v/>
      </c>
      <c r="AX78" s="290" t="str">
        <f t="shared" si="25"/>
        <v/>
      </c>
      <c r="AZ78" s="203" t="str">
        <f>IF($E$10=86,(C78/1000),"")</f>
        <v/>
      </c>
      <c r="BA78" s="268" t="str">
        <f t="shared" si="26"/>
        <v/>
      </c>
      <c r="BB78" s="275" t="str">
        <f t="shared" si="27"/>
        <v/>
      </c>
      <c r="BC78" s="292" t="str">
        <f t="shared" si="28"/>
        <v/>
      </c>
      <c r="BD78" s="290" t="str">
        <f t="shared" si="29"/>
        <v/>
      </c>
      <c r="BF78" s="296" t="str">
        <f>IF($E$11=86,(C78/1000),"")</f>
        <v/>
      </c>
      <c r="BG78" s="267" t="str">
        <f t="shared" si="30"/>
        <v/>
      </c>
      <c r="BH78" s="275" t="str">
        <f t="shared" si="31"/>
        <v/>
      </c>
      <c r="BI78" s="292" t="str">
        <f t="shared" si="32"/>
        <v/>
      </c>
      <c r="BJ78" s="55" t="str">
        <f t="shared" si="33"/>
        <v/>
      </c>
    </row>
    <row r="79" spans="1:83" ht="15.75" thickBot="1" x14ac:dyDescent="0.3">
      <c r="A79" s="34" t="b">
        <f t="shared" si="6"/>
        <v>0</v>
      </c>
      <c r="B79" s="61">
        <f>COMPOSITTIONS!A66</f>
        <v>87</v>
      </c>
      <c r="C79" s="283">
        <f>COMPOSITTIONS!B66</f>
        <v>28</v>
      </c>
      <c r="D79" s="285" t="str">
        <f>COMPOSITTIONS!C66</f>
        <v>Vesce velue</v>
      </c>
      <c r="E79" s="277">
        <f t="shared" si="3"/>
        <v>2.8000000000000001E-2</v>
      </c>
      <c r="F79" s="51" t="e">
        <f>(#REF!+O79+AE79+AJ79+AP79+AV79+BB79+BH79+X79)</f>
        <v>#REF!</v>
      </c>
      <c r="G79" s="272" t="e">
        <f t="shared" si="34"/>
        <v>#REF!</v>
      </c>
      <c r="H79" s="208" t="e">
        <f>(BI79+BC79+AW79+AQ79+AK79+AF79+P79)</f>
        <v>#VALUE!</v>
      </c>
      <c r="I79" s="272" t="e">
        <f t="shared" si="35"/>
        <v>#VALUE!</v>
      </c>
      <c r="M79" s="144">
        <f t="shared" si="8"/>
        <v>2.8000000000000001E-2</v>
      </c>
      <c r="N79" s="65">
        <f>IF($F$3&lt;&gt;"",(HLOOKUP($F$3,COMPOSITTIONS!$D$2:$AA$66,65,FALSE)),#REF!)</f>
        <v>0</v>
      </c>
      <c r="O79" s="54">
        <f t="shared" si="9"/>
        <v>0</v>
      </c>
      <c r="P79" s="54">
        <f>(O79*1000)/M79</f>
        <v>0</v>
      </c>
      <c r="Q79" s="66" t="e">
        <f>IF(P79=#REF!,"0",(P79/$P$16))</f>
        <v>#REF!</v>
      </c>
      <c r="S79" s="304">
        <f>E79</f>
        <v>2.8000000000000001E-2</v>
      </c>
      <c r="T79" s="57" t="e">
        <f ca="1">IF(T79=#REF!,"0",$J$4/T79)</f>
        <v>#DIV/0!</v>
      </c>
      <c r="U79" s="57" t="e">
        <f t="shared" si="37"/>
        <v>#VALUE!</v>
      </c>
      <c r="V79" s="305" t="e">
        <f>IF($E$4&gt;10,HLOOKUP($E$4,COMPOSITTIONS!A:V,4,FALSE),#REF!)</f>
        <v>#N/A</v>
      </c>
      <c r="W79" s="51" t="e">
        <f>IF($F$4&lt;&gt;"",(HLOOKUP($F$4,COMPOSITTIONS!$D$2:$AA$66,65,FALSE)),#REF!)</f>
        <v>#REF!</v>
      </c>
      <c r="X79" s="51" t="e">
        <f t="shared" si="38"/>
        <v>#REF!</v>
      </c>
      <c r="Y79" s="57" t="e">
        <f t="shared" si="4"/>
        <v>#REF!</v>
      </c>
      <c r="Z79" s="55" t="e">
        <f>IF(Y79=#REF!,"0",(Y79/$Y$16))</f>
        <v>#REF!</v>
      </c>
      <c r="AB79" s="296" t="str">
        <f>IF($E$6=87,(C79/1000),"")</f>
        <v/>
      </c>
      <c r="AC79" s="283" t="str">
        <f t="shared" si="12"/>
        <v/>
      </c>
      <c r="AD79" s="51" t="str">
        <f t="shared" si="36"/>
        <v/>
      </c>
      <c r="AE79" s="212" t="str">
        <f t="shared" si="5"/>
        <v/>
      </c>
      <c r="AF79" s="213" t="str">
        <f t="shared" si="13"/>
        <v/>
      </c>
      <c r="AH79" s="296" t="str">
        <f>IF($E$7=87,(C79/1000),"")</f>
        <v/>
      </c>
      <c r="AI79" s="211" t="str">
        <f t="shared" si="14"/>
        <v/>
      </c>
      <c r="AJ79" s="51" t="str">
        <f t="shared" si="15"/>
        <v/>
      </c>
      <c r="AK79" s="286" t="str">
        <f t="shared" si="16"/>
        <v/>
      </c>
      <c r="AL79" s="51" t="str">
        <f t="shared" si="17"/>
        <v/>
      </c>
      <c r="AN79" s="296" t="str">
        <f>IF($E$8=87,(C79/1000),"")</f>
        <v/>
      </c>
      <c r="AO79" s="211" t="str">
        <f t="shared" si="18"/>
        <v/>
      </c>
      <c r="AP79" s="51" t="str">
        <f t="shared" si="19"/>
        <v/>
      </c>
      <c r="AQ79" s="286" t="str">
        <f t="shared" si="20"/>
        <v/>
      </c>
      <c r="AR79" s="51" t="str">
        <f t="shared" si="21"/>
        <v/>
      </c>
      <c r="AT79" s="296" t="str">
        <f>IF($E$9=87,(C79/1000),"")</f>
        <v/>
      </c>
      <c r="AU79" s="267" t="str">
        <f t="shared" si="22"/>
        <v/>
      </c>
      <c r="AV79" s="202" t="str">
        <f t="shared" si="23"/>
        <v/>
      </c>
      <c r="AW79" s="293" t="str">
        <f t="shared" si="24"/>
        <v/>
      </c>
      <c r="AX79" s="291" t="str">
        <f t="shared" si="25"/>
        <v/>
      </c>
      <c r="AZ79" s="210" t="str">
        <f>IF($E$10=87,(C79/1000),"")</f>
        <v/>
      </c>
      <c r="BA79" s="267" t="str">
        <f t="shared" si="26"/>
        <v/>
      </c>
      <c r="BB79" s="208" t="str">
        <f t="shared" si="27"/>
        <v/>
      </c>
      <c r="BC79" s="293" t="str">
        <f t="shared" si="28"/>
        <v/>
      </c>
      <c r="BD79" s="291" t="str">
        <f t="shared" si="29"/>
        <v/>
      </c>
      <c r="BF79" s="296" t="str">
        <f>IF($E$11=87,(C79/1000),"")</f>
        <v/>
      </c>
      <c r="BG79" s="267" t="str">
        <f t="shared" si="30"/>
        <v/>
      </c>
      <c r="BH79" s="51" t="str">
        <f t="shared" si="31"/>
        <v/>
      </c>
      <c r="BI79" s="293" t="str">
        <f t="shared" si="32"/>
        <v/>
      </c>
      <c r="BJ79" s="272" t="str">
        <f t="shared" si="33"/>
        <v/>
      </c>
    </row>
    <row r="80" spans="1:83" x14ac:dyDescent="0.25">
      <c r="C80" s="111"/>
      <c r="D80" s="162"/>
      <c r="N80" s="56"/>
    </row>
    <row r="81" spans="3:4" x14ac:dyDescent="0.25">
      <c r="C81" s="111"/>
      <c r="D81" s="162"/>
    </row>
    <row r="82" spans="3:4" x14ac:dyDescent="0.25">
      <c r="C82" s="30"/>
      <c r="D82" s="30"/>
    </row>
    <row r="83" spans="3:4" x14ac:dyDescent="0.25">
      <c r="C83" s="30"/>
      <c r="D83" s="30"/>
    </row>
    <row r="84" spans="3:4" x14ac:dyDescent="0.25">
      <c r="C84" s="30"/>
      <c r="D84" s="30"/>
    </row>
    <row r="85" spans="3:4" x14ac:dyDescent="0.25">
      <c r="C85" s="30"/>
      <c r="D85" s="30"/>
    </row>
    <row r="86" spans="3:4" x14ac:dyDescent="0.25">
      <c r="C86" s="30"/>
      <c r="D86" s="30"/>
    </row>
    <row r="87" spans="3:4" x14ac:dyDescent="0.25">
      <c r="C87" s="30"/>
      <c r="D87" s="30"/>
    </row>
  </sheetData>
  <sortState caseSensitive="1" ref="C48:D56">
    <sortCondition ref="D48:D56"/>
  </sortState>
  <mergeCells count="20">
    <mergeCell ref="F5:I5"/>
    <mergeCell ref="F4:I4"/>
    <mergeCell ref="S13:Z14"/>
    <mergeCell ref="AZ13:BD14"/>
    <mergeCell ref="BF13:BJ14"/>
    <mergeCell ref="B1:K1"/>
    <mergeCell ref="B13:D13"/>
    <mergeCell ref="AT13:AX14"/>
    <mergeCell ref="AB13:AF14"/>
    <mergeCell ref="AN13:AR14"/>
    <mergeCell ref="F3:I3"/>
    <mergeCell ref="F6:I6"/>
    <mergeCell ref="F7:I7"/>
    <mergeCell ref="F8:I8"/>
    <mergeCell ref="F9:I9"/>
    <mergeCell ref="F10:I10"/>
    <mergeCell ref="F11:I11"/>
    <mergeCell ref="F13:H13"/>
    <mergeCell ref="M13:Q14"/>
    <mergeCell ref="AH13:AL14"/>
  </mergeCells>
  <conditionalFormatting sqref="E13">
    <cfRule type="cellIs" dxfId="0" priority="1" operator="greaterThan">
      <formula>0.5</formula>
    </cfRule>
  </conditionalFormatting>
  <pageMargins left="0.70866141732283472" right="0.70866141732283472" top="0.94488188976377963" bottom="0.74803149606299213" header="0.31496062992125984" footer="0.31496062992125984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FEUILLE DE DONNEES</vt:lpstr>
      <vt:lpstr>COMPOSITTIONS</vt:lpstr>
      <vt:lpstr>CACHER</vt:lpstr>
      <vt:lpstr>especes</vt:lpstr>
      <vt:lpstr>NUMEROCLASSEMENTCOMPO</vt:lpstr>
      <vt:lpstr>Reference</vt:lpstr>
      <vt:lpstr>tableaucompo</vt:lpstr>
      <vt:lpstr>TABLEAUCOMPOSITIONS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gaic</dc:creator>
  <cp:lastModifiedBy>gaic</cp:lastModifiedBy>
  <cp:lastPrinted>2016-09-01T16:05:30Z</cp:lastPrinted>
  <dcterms:created xsi:type="dcterms:W3CDTF">2016-06-03T07:01:26Z</dcterms:created>
  <dcterms:modified xsi:type="dcterms:W3CDTF">2018-09-12T11:53:27Z</dcterms:modified>
</cp:coreProperties>
</file>