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340" yWindow="465" windowWidth="20745" windowHeight="11460" tabRatio="858" activeTab="4"/>
  </bookViews>
  <sheets>
    <sheet name="mémo pour remplir le tableau" sheetId="19" r:id="rId1"/>
    <sheet name="Données" sheetId="15" r:id="rId2"/>
    <sheet name="Bilans" sheetId="16" r:id="rId3"/>
    <sheet name="listes" sheetId="6" r:id="rId4"/>
    <sheet name="Regroupements" sheetId="20" r:id="rId5"/>
  </sheets>
  <externalReferences>
    <externalReference r:id="rId6"/>
  </externalReferences>
  <definedNames>
    <definedName name="_xlnm._FilterDatabase" localSheetId="1" hidden="1">Données!$A$1:$M$316</definedName>
    <definedName name="Buers">listes!$J$2:$J$8</definedName>
    <definedName name="Charpennes">listes!$K$2:$K$12</definedName>
    <definedName name="Collège">listes!$V$2:$V$12</definedName>
    <definedName name="Cusset">listes!$L$2:$L$11</definedName>
    <definedName name="Cyprien">listes!$M$2:$M$9</definedName>
    <definedName name="Elémentaire">listes!$U$2:$U$14</definedName>
    <definedName name="FDL">listes!$B$2</definedName>
    <definedName name="Ferrandière">listes!$N$2:$N$8</definedName>
    <definedName name="Gratteciel">listes!$O$2:$O$17</definedName>
    <definedName name="horsvilleurbanne">listes!$R$2</definedName>
    <definedName name="Lycée">listes!$W$2:$W$11</definedName>
    <definedName name="Maternelle">listes!$T$2:$T$11</definedName>
    <definedName name="MLIS">listes!$B$3:$B$7</definedName>
    <definedName name="PACBUS">listes!$B$9</definedName>
    <definedName name="Perralière">listes!$P$2:$P$10</definedName>
    <definedName name="Réseau">listes!$C$2:$C$9</definedName>
    <definedName name="RIZE">listes!$B$10:$B$12</definedName>
    <definedName name="Rizehorsmed">listes!$D$2:$D$3</definedName>
    <definedName name="Saintjean">listes!$Q$2:$Q$7</definedName>
    <definedName name="Tonkin">listes!$B$8</definedName>
    <definedName name="Total">listes!$B$2:$B$12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M4" i="15" l="1"/>
  <c r="M5" i="15"/>
  <c r="M7" i="15"/>
  <c r="G47" i="16"/>
  <c r="G46" i="16"/>
  <c r="F47" i="16"/>
  <c r="F46" i="16"/>
  <c r="D47" i="16"/>
  <c r="D46" i="16"/>
  <c r="C46" i="16"/>
  <c r="C47" i="16"/>
  <c r="K4" i="15"/>
  <c r="K5" i="15"/>
  <c r="K8" i="15"/>
  <c r="G48" i="16"/>
  <c r="F48" i="16"/>
  <c r="D48" i="16"/>
  <c r="C48" i="16"/>
  <c r="N7" i="15"/>
  <c r="N2" i="15"/>
  <c r="N3" i="15"/>
  <c r="N6" i="15"/>
  <c r="N11" i="15"/>
  <c r="O4" i="15"/>
  <c r="O5" i="15"/>
  <c r="C31" i="16"/>
  <c r="C28" i="16"/>
  <c r="N4" i="15"/>
  <c r="N5" i="15"/>
  <c r="O2" i="15"/>
  <c r="O3" i="15"/>
  <c r="K2" i="15"/>
  <c r="K3" i="15"/>
  <c r="H8" i="16"/>
  <c r="H33" i="16"/>
  <c r="H5" i="16"/>
  <c r="H11" i="16"/>
  <c r="H14" i="16"/>
  <c r="H30" i="16"/>
  <c r="H27" i="16"/>
  <c r="H21" i="16"/>
  <c r="H24" i="16"/>
  <c r="T2" i="15"/>
  <c r="T3" i="15"/>
  <c r="T4" i="15"/>
  <c r="T5" i="15"/>
  <c r="T6" i="15"/>
  <c r="T7" i="15"/>
  <c r="T8" i="15"/>
  <c r="T9" i="15"/>
  <c r="T10" i="15"/>
  <c r="T11" i="15"/>
  <c r="T12" i="15"/>
  <c r="T13" i="15"/>
  <c r="T14" i="15"/>
  <c r="T15" i="15"/>
  <c r="T16" i="15"/>
  <c r="T17" i="15"/>
  <c r="T18" i="15"/>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T79" i="15"/>
  <c r="T80" i="15"/>
  <c r="T81" i="15"/>
  <c r="T82" i="15"/>
  <c r="T83" i="15"/>
  <c r="T84" i="15"/>
  <c r="T85" i="15"/>
  <c r="T86" i="15"/>
  <c r="T87" i="15"/>
  <c r="T88" i="15"/>
  <c r="T89" i="15"/>
  <c r="T90"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T164" i="15"/>
  <c r="T165" i="15"/>
  <c r="T166" i="15"/>
  <c r="T167" i="15"/>
  <c r="T168" i="15"/>
  <c r="T169" i="15"/>
  <c r="T170" i="15"/>
  <c r="T171" i="15"/>
  <c r="T172" i="15"/>
  <c r="T173" i="15"/>
  <c r="T174" i="15"/>
  <c r="T175" i="15"/>
  <c r="T176" i="15"/>
  <c r="T177" i="15"/>
  <c r="T178" i="15"/>
  <c r="T179" i="15"/>
  <c r="T180" i="15"/>
  <c r="T181" i="15"/>
  <c r="T182" i="15"/>
  <c r="T183" i="15"/>
  <c r="T184" i="15"/>
  <c r="T185" i="15"/>
  <c r="T186" i="15"/>
  <c r="T187" i="15"/>
  <c r="T188" i="15"/>
  <c r="T189" i="15"/>
  <c r="T190" i="15"/>
  <c r="T191" i="15"/>
  <c r="T192" i="15"/>
  <c r="T193" i="15"/>
  <c r="T194" i="15"/>
  <c r="T195" i="15"/>
  <c r="T196" i="15"/>
  <c r="T197" i="15"/>
  <c r="T198" i="15"/>
  <c r="T199" i="15"/>
  <c r="T200" i="15"/>
  <c r="T201" i="15"/>
  <c r="T202" i="15"/>
  <c r="T203" i="15"/>
  <c r="T204" i="15"/>
  <c r="T205" i="15"/>
  <c r="T206" i="15"/>
  <c r="T207" i="15"/>
  <c r="T208" i="15"/>
  <c r="T209" i="15"/>
  <c r="T210" i="15"/>
  <c r="T211" i="15"/>
  <c r="T212" i="15"/>
  <c r="T213" i="15"/>
  <c r="T214" i="15"/>
  <c r="T215" i="15"/>
  <c r="T216" i="15"/>
  <c r="T217" i="15"/>
  <c r="T218" i="15"/>
  <c r="T219" i="15"/>
  <c r="T220" i="15"/>
  <c r="T221" i="15"/>
  <c r="T222" i="15"/>
  <c r="T223" i="15"/>
  <c r="T224" i="15"/>
  <c r="T225" i="15"/>
  <c r="T226" i="15"/>
  <c r="T227" i="15"/>
  <c r="T228" i="15"/>
  <c r="T229" i="15"/>
  <c r="T230" i="15"/>
  <c r="T231" i="15"/>
  <c r="T232" i="15"/>
  <c r="T233" i="15"/>
  <c r="T234" i="15"/>
  <c r="T235" i="15"/>
  <c r="T236" i="15"/>
  <c r="T237" i="15"/>
  <c r="T238" i="15"/>
  <c r="T239" i="15"/>
  <c r="T240" i="15"/>
  <c r="T241" i="15"/>
  <c r="T242" i="15"/>
  <c r="T243" i="15"/>
  <c r="T244" i="15"/>
  <c r="T245" i="15"/>
  <c r="T246" i="15"/>
  <c r="T247" i="15"/>
  <c r="T248" i="15"/>
  <c r="T249" i="15"/>
  <c r="T250" i="15"/>
  <c r="R2" i="15"/>
  <c r="U94" i="15"/>
  <c r="U5" i="15"/>
  <c r="U2" i="15"/>
  <c r="U4" i="15"/>
  <c r="U6" i="15"/>
  <c r="U8" i="15"/>
  <c r="U10" i="15"/>
  <c r="U12" i="15"/>
  <c r="U14" i="15"/>
  <c r="U16" i="15"/>
  <c r="U18" i="15"/>
  <c r="U20" i="15"/>
  <c r="U22" i="15"/>
  <c r="U24" i="15"/>
  <c r="U26" i="15"/>
  <c r="U28" i="15"/>
  <c r="U30" i="15"/>
  <c r="U32" i="15"/>
  <c r="U34" i="15"/>
  <c r="U36" i="15"/>
  <c r="U38" i="15"/>
  <c r="U40" i="15"/>
  <c r="U42" i="15"/>
  <c r="U44" i="15"/>
  <c r="U46" i="15"/>
  <c r="U48" i="15"/>
  <c r="U50" i="15"/>
  <c r="U52" i="15"/>
  <c r="U54" i="15"/>
  <c r="U56" i="15"/>
  <c r="U58" i="15"/>
  <c r="U60" i="15"/>
  <c r="U62" i="15"/>
  <c r="U64" i="15"/>
  <c r="U66" i="15"/>
  <c r="U68" i="15"/>
  <c r="U70" i="15"/>
  <c r="U72" i="15"/>
  <c r="U74" i="15"/>
  <c r="U76" i="15"/>
  <c r="U78" i="15"/>
  <c r="U80" i="15"/>
  <c r="U82" i="15"/>
  <c r="U86" i="15"/>
  <c r="U90" i="15"/>
  <c r="U250" i="15"/>
  <c r="U248" i="15"/>
  <c r="U246" i="15"/>
  <c r="U244" i="15"/>
  <c r="U242" i="15"/>
  <c r="U240" i="15"/>
  <c r="U238" i="15"/>
  <c r="U236" i="15"/>
  <c r="U234" i="15"/>
  <c r="U232" i="15"/>
  <c r="U230" i="15"/>
  <c r="U228" i="15"/>
  <c r="U226" i="15"/>
  <c r="U224" i="15"/>
  <c r="U222" i="15"/>
  <c r="U220" i="15"/>
  <c r="U218" i="15"/>
  <c r="U216" i="15"/>
  <c r="U214" i="15"/>
  <c r="U212" i="15"/>
  <c r="U210" i="15"/>
  <c r="U208" i="15"/>
  <c r="U206" i="15"/>
  <c r="U204" i="15"/>
  <c r="U202" i="15"/>
  <c r="U200" i="15"/>
  <c r="U198" i="15"/>
  <c r="U196" i="15"/>
  <c r="U194" i="15"/>
  <c r="U192" i="15"/>
  <c r="U190" i="15"/>
  <c r="U188" i="15"/>
  <c r="U186" i="15"/>
  <c r="U184" i="15"/>
  <c r="U182" i="15"/>
  <c r="U180" i="15"/>
  <c r="U178" i="15"/>
  <c r="U176" i="15"/>
  <c r="U174" i="15"/>
  <c r="U172" i="15"/>
  <c r="U170" i="15"/>
  <c r="U168" i="15"/>
  <c r="U166" i="15"/>
  <c r="U164" i="15"/>
  <c r="U162" i="15"/>
  <c r="U160" i="15"/>
  <c r="U158" i="15"/>
  <c r="U156" i="15"/>
  <c r="U154" i="15"/>
  <c r="U152" i="15"/>
  <c r="U150" i="15"/>
  <c r="U148" i="15"/>
  <c r="U146" i="15"/>
  <c r="U144" i="15"/>
  <c r="U142" i="15"/>
  <c r="U140" i="15"/>
  <c r="U138" i="15"/>
  <c r="U136" i="15"/>
  <c r="U134" i="15"/>
  <c r="U132" i="15"/>
  <c r="U130" i="15"/>
  <c r="U128" i="15"/>
  <c r="U126" i="15"/>
  <c r="U124" i="15"/>
  <c r="U122" i="15"/>
  <c r="U120" i="15"/>
  <c r="U118" i="15"/>
  <c r="U116" i="15"/>
  <c r="U114" i="15"/>
  <c r="U112" i="15"/>
  <c r="U110" i="15"/>
  <c r="U108" i="15"/>
  <c r="U106" i="15"/>
  <c r="U104" i="15"/>
  <c r="U102" i="15"/>
  <c r="U100" i="15"/>
  <c r="U98" i="15"/>
  <c r="U96" i="15"/>
  <c r="U249" i="15"/>
  <c r="U247" i="15"/>
  <c r="U245" i="15"/>
  <c r="U243" i="15"/>
  <c r="U241" i="15"/>
  <c r="U239" i="15"/>
  <c r="U237" i="15"/>
  <c r="U235" i="15"/>
  <c r="U233" i="15"/>
  <c r="U231" i="15"/>
  <c r="U229" i="15"/>
  <c r="U227" i="15"/>
  <c r="U225" i="15"/>
  <c r="U223" i="15"/>
  <c r="U221" i="15"/>
  <c r="U219" i="15"/>
  <c r="U217" i="15"/>
  <c r="U215" i="15"/>
  <c r="U213" i="15"/>
  <c r="U211" i="15"/>
  <c r="U209" i="15"/>
  <c r="U207" i="15"/>
  <c r="U205" i="15"/>
  <c r="U203" i="15"/>
  <c r="U201" i="15"/>
  <c r="U199" i="15"/>
  <c r="U197" i="15"/>
  <c r="U195" i="15"/>
  <c r="U193" i="15"/>
  <c r="U191" i="15"/>
  <c r="U189" i="15"/>
  <c r="U187" i="15"/>
  <c r="U185" i="15"/>
  <c r="U183" i="15"/>
  <c r="U181" i="15"/>
  <c r="U179" i="15"/>
  <c r="U177" i="15"/>
  <c r="U175" i="15"/>
  <c r="U173" i="15"/>
  <c r="U171" i="15"/>
  <c r="U169" i="15"/>
  <c r="U167" i="15"/>
  <c r="U165" i="15"/>
  <c r="U163" i="15"/>
  <c r="U161" i="15"/>
  <c r="U159" i="15"/>
  <c r="U157" i="15"/>
  <c r="U155" i="15"/>
  <c r="U153" i="15"/>
  <c r="U151" i="15"/>
  <c r="U149" i="15"/>
  <c r="U147" i="15"/>
  <c r="U145" i="15"/>
  <c r="U143" i="15"/>
  <c r="U141" i="15"/>
  <c r="U139" i="15"/>
  <c r="U137" i="15"/>
  <c r="U135" i="15"/>
  <c r="U133" i="15"/>
  <c r="U131" i="15"/>
  <c r="U129" i="15"/>
  <c r="U127" i="15"/>
  <c r="U125" i="15"/>
  <c r="U123" i="15"/>
  <c r="U121" i="15"/>
  <c r="U119" i="15"/>
  <c r="U117" i="15"/>
  <c r="U115" i="15"/>
  <c r="U113" i="15"/>
  <c r="U111" i="15"/>
  <c r="U109" i="15"/>
  <c r="U107" i="15"/>
  <c r="U105" i="15"/>
  <c r="U103" i="15"/>
  <c r="U101" i="15"/>
  <c r="U99" i="15"/>
  <c r="U97" i="15"/>
  <c r="U95" i="15"/>
  <c r="U93" i="15"/>
  <c r="U91" i="15"/>
  <c r="U89" i="15"/>
  <c r="U87" i="15"/>
  <c r="U85" i="15"/>
  <c r="U83" i="15"/>
  <c r="U3" i="15"/>
  <c r="U7" i="15"/>
  <c r="U9" i="15"/>
  <c r="U11" i="15"/>
  <c r="U13" i="15"/>
  <c r="U15" i="15"/>
  <c r="U17" i="15"/>
  <c r="U19" i="15"/>
  <c r="U21" i="15"/>
  <c r="U23" i="15"/>
  <c r="U25" i="15"/>
  <c r="U27" i="15"/>
  <c r="U29" i="15"/>
  <c r="U31" i="15"/>
  <c r="U33" i="15"/>
  <c r="U35" i="15"/>
  <c r="U37" i="15"/>
  <c r="U39" i="15"/>
  <c r="U41" i="15"/>
  <c r="U43" i="15"/>
  <c r="U45" i="15"/>
  <c r="U47" i="15"/>
  <c r="U49" i="15"/>
  <c r="U51" i="15"/>
  <c r="U53" i="15"/>
  <c r="U55" i="15"/>
  <c r="U57" i="15"/>
  <c r="U59" i="15"/>
  <c r="U61" i="15"/>
  <c r="U63" i="15"/>
  <c r="U65" i="15"/>
  <c r="U67" i="15"/>
  <c r="U69" i="15"/>
  <c r="U71" i="15"/>
  <c r="U73" i="15"/>
  <c r="U75" i="15"/>
  <c r="U77" i="15"/>
  <c r="U79" i="15"/>
  <c r="U81" i="15"/>
  <c r="U84" i="15"/>
  <c r="U88" i="15"/>
  <c r="U92" i="15"/>
  <c r="P2" i="15"/>
  <c r="P3"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R3" i="15"/>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134" i="15"/>
  <c r="R135" i="15"/>
  <c r="R136" i="15"/>
  <c r="R137" i="15"/>
  <c r="R138" i="15"/>
  <c r="R139" i="15"/>
  <c r="R140" i="15"/>
  <c r="R141" i="15"/>
  <c r="R142" i="15"/>
  <c r="R143" i="15"/>
  <c r="R144" i="15"/>
  <c r="R145" i="15"/>
  <c r="R146" i="15"/>
  <c r="R147" i="15"/>
  <c r="R148" i="15"/>
  <c r="R149" i="15"/>
  <c r="R150" i="15"/>
  <c r="R151" i="15"/>
  <c r="R152" i="15"/>
  <c r="R153" i="15"/>
  <c r="R154" i="15"/>
  <c r="R155" i="15"/>
  <c r="R156" i="15"/>
  <c r="R157" i="15"/>
  <c r="R158" i="15"/>
  <c r="R159" i="15"/>
  <c r="R160" i="15"/>
  <c r="R161" i="15"/>
  <c r="R162" i="15"/>
  <c r="R163" i="15"/>
  <c r="R164" i="15"/>
  <c r="R165" i="15"/>
  <c r="R166" i="15"/>
  <c r="R167" i="15"/>
  <c r="R168" i="15"/>
  <c r="R169" i="15"/>
  <c r="R170" i="15"/>
  <c r="R171" i="15"/>
  <c r="R172" i="15"/>
  <c r="R173" i="15"/>
  <c r="R174" i="15"/>
  <c r="R175" i="15"/>
  <c r="R176" i="15"/>
  <c r="R177" i="15"/>
  <c r="R178" i="15"/>
  <c r="R179" i="15"/>
  <c r="R180" i="15"/>
  <c r="R181" i="15"/>
  <c r="R182" i="15"/>
  <c r="R183" i="15"/>
  <c r="R184" i="15"/>
  <c r="R185" i="15"/>
  <c r="R186" i="15"/>
  <c r="R187" i="15"/>
  <c r="R188" i="15"/>
  <c r="R189" i="15"/>
  <c r="R190" i="15"/>
  <c r="R191" i="15"/>
  <c r="R192" i="15"/>
  <c r="R193" i="15"/>
  <c r="R194" i="15"/>
  <c r="R195" i="15"/>
  <c r="R196" i="15"/>
  <c r="R197" i="15"/>
  <c r="R198" i="15"/>
  <c r="R199" i="15"/>
  <c r="R200" i="15"/>
  <c r="R201" i="15"/>
  <c r="R202" i="15"/>
  <c r="R203" i="15"/>
  <c r="R204" i="15"/>
  <c r="R205" i="15"/>
  <c r="R206" i="15"/>
  <c r="R207" i="15"/>
  <c r="R208" i="15"/>
  <c r="R209" i="15"/>
  <c r="R210" i="15"/>
  <c r="R211" i="15"/>
  <c r="R212" i="15"/>
  <c r="R213" i="15"/>
  <c r="R214" i="15"/>
  <c r="R215" i="15"/>
  <c r="R216" i="15"/>
  <c r="R217" i="15"/>
  <c r="R218" i="15"/>
  <c r="R219" i="15"/>
  <c r="R220" i="15"/>
  <c r="R221" i="15"/>
  <c r="R222" i="15"/>
  <c r="R223" i="15"/>
  <c r="R224" i="15"/>
  <c r="R225" i="15"/>
  <c r="R226" i="15"/>
  <c r="R227" i="15"/>
  <c r="R228" i="15"/>
  <c r="R229" i="15"/>
  <c r="R230" i="15"/>
  <c r="R231" i="15"/>
  <c r="R232" i="15"/>
  <c r="R233" i="15"/>
  <c r="R234" i="15"/>
  <c r="R235" i="15"/>
  <c r="R236" i="15"/>
  <c r="R237" i="15"/>
  <c r="R238" i="15"/>
  <c r="R239" i="15"/>
  <c r="R240" i="15"/>
  <c r="R241" i="15"/>
  <c r="R242" i="15"/>
  <c r="R243" i="15"/>
  <c r="R244" i="15"/>
  <c r="R245" i="15"/>
  <c r="R246" i="15"/>
  <c r="R247" i="15"/>
  <c r="R248" i="15"/>
  <c r="R249" i="15"/>
  <c r="R250"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M144" i="15"/>
  <c r="N144" i="15"/>
  <c r="M145" i="15"/>
  <c r="N145" i="15"/>
  <c r="M146" i="15"/>
  <c r="N146" i="15"/>
  <c r="M147" i="15"/>
  <c r="N147" i="15"/>
  <c r="M148" i="15"/>
  <c r="N148" i="15"/>
  <c r="M149" i="15"/>
  <c r="N149" i="15"/>
  <c r="M150" i="15"/>
  <c r="N150" i="15"/>
  <c r="M151" i="15"/>
  <c r="N151" i="15"/>
  <c r="M152" i="15"/>
  <c r="N152" i="15"/>
  <c r="M153" i="15"/>
  <c r="N153" i="15"/>
  <c r="M154" i="15"/>
  <c r="N154" i="15"/>
  <c r="M155" i="15"/>
  <c r="N155" i="15"/>
  <c r="M156" i="15"/>
  <c r="N156" i="15"/>
  <c r="M157" i="15"/>
  <c r="N157" i="15"/>
  <c r="M158" i="15"/>
  <c r="N158" i="15"/>
  <c r="M159" i="15"/>
  <c r="N159" i="15"/>
  <c r="M160" i="15"/>
  <c r="N160" i="15"/>
  <c r="M161" i="15"/>
  <c r="N161" i="15"/>
  <c r="M162" i="15"/>
  <c r="N162" i="15"/>
  <c r="M163" i="15"/>
  <c r="N163" i="15"/>
  <c r="M164" i="15"/>
  <c r="N164" i="15"/>
  <c r="M165" i="15"/>
  <c r="N165" i="15"/>
  <c r="M166" i="15"/>
  <c r="N166" i="15"/>
  <c r="M167" i="15"/>
  <c r="N167" i="15"/>
  <c r="M168" i="15"/>
  <c r="N168" i="15"/>
  <c r="M169" i="15"/>
  <c r="N169" i="15"/>
  <c r="M170" i="15"/>
  <c r="N170" i="15"/>
  <c r="M171" i="15"/>
  <c r="N171" i="15"/>
  <c r="M172" i="15"/>
  <c r="N172" i="15"/>
  <c r="M173" i="15"/>
  <c r="N173" i="15"/>
  <c r="M174" i="15"/>
  <c r="N174" i="15"/>
  <c r="M175" i="15"/>
  <c r="N175" i="15"/>
  <c r="M176" i="15"/>
  <c r="N176" i="15"/>
  <c r="M177" i="15"/>
  <c r="N177" i="15"/>
  <c r="M178" i="15"/>
  <c r="N178" i="15"/>
  <c r="M179" i="15"/>
  <c r="N179" i="15"/>
  <c r="M180" i="15"/>
  <c r="N180" i="15"/>
  <c r="M181" i="15"/>
  <c r="N181" i="15"/>
  <c r="M182" i="15"/>
  <c r="N182" i="15"/>
  <c r="M183" i="15"/>
  <c r="N183" i="15"/>
  <c r="M184" i="15"/>
  <c r="N184" i="15"/>
  <c r="M185" i="15"/>
  <c r="N185" i="15"/>
  <c r="M186" i="15"/>
  <c r="N186" i="15"/>
  <c r="M187" i="15"/>
  <c r="N187" i="15"/>
  <c r="M188" i="15"/>
  <c r="N188" i="15"/>
  <c r="M189" i="15"/>
  <c r="N189" i="15"/>
  <c r="M190" i="15"/>
  <c r="N190" i="15"/>
  <c r="M191" i="15"/>
  <c r="N191" i="15"/>
  <c r="M192" i="15"/>
  <c r="N192" i="15"/>
  <c r="M193" i="15"/>
  <c r="N193" i="15"/>
  <c r="M194" i="15"/>
  <c r="N194" i="15"/>
  <c r="M195" i="15"/>
  <c r="N195" i="15"/>
  <c r="M196" i="15"/>
  <c r="N196" i="15"/>
  <c r="M197" i="15"/>
  <c r="N197" i="15"/>
  <c r="M198" i="15"/>
  <c r="N198" i="15"/>
  <c r="M199" i="15"/>
  <c r="N199" i="15"/>
  <c r="M200" i="15"/>
  <c r="N200" i="15"/>
  <c r="M201" i="15"/>
  <c r="N201" i="15"/>
  <c r="M202" i="15"/>
  <c r="N202" i="15"/>
  <c r="M203" i="15"/>
  <c r="N203" i="15"/>
  <c r="M204" i="15"/>
  <c r="N204" i="15"/>
  <c r="M205" i="15"/>
  <c r="N205" i="15"/>
  <c r="M206" i="15"/>
  <c r="N206" i="15"/>
  <c r="M207" i="15"/>
  <c r="N207" i="15"/>
  <c r="M208" i="15"/>
  <c r="N208" i="15"/>
  <c r="M209" i="15"/>
  <c r="N209" i="15"/>
  <c r="M210" i="15"/>
  <c r="N210" i="15"/>
  <c r="M211" i="15"/>
  <c r="N211" i="15"/>
  <c r="M212" i="15"/>
  <c r="N212" i="15"/>
  <c r="M213" i="15"/>
  <c r="N213" i="15"/>
  <c r="M214" i="15"/>
  <c r="N214" i="15"/>
  <c r="M215" i="15"/>
  <c r="N215" i="15"/>
  <c r="M216" i="15"/>
  <c r="N216" i="15"/>
  <c r="M217" i="15"/>
  <c r="N217" i="15"/>
  <c r="M218" i="15"/>
  <c r="N218" i="15"/>
  <c r="M219" i="15"/>
  <c r="N219" i="15"/>
  <c r="M220" i="15"/>
  <c r="N220" i="15"/>
  <c r="M221" i="15"/>
  <c r="N221" i="15"/>
  <c r="M222" i="15"/>
  <c r="N222" i="15"/>
  <c r="M223" i="15"/>
  <c r="N223" i="15"/>
  <c r="M224" i="15"/>
  <c r="N224" i="15"/>
  <c r="M225" i="15"/>
  <c r="N225" i="15"/>
  <c r="M226" i="15"/>
  <c r="N226" i="15"/>
  <c r="M227" i="15"/>
  <c r="N227" i="15"/>
  <c r="M228" i="15"/>
  <c r="N228" i="15"/>
  <c r="M229" i="15"/>
  <c r="N229" i="15"/>
  <c r="M230" i="15"/>
  <c r="N230" i="15"/>
  <c r="M231" i="15"/>
  <c r="N231" i="15"/>
  <c r="M232" i="15"/>
  <c r="N232" i="15"/>
  <c r="M233" i="15"/>
  <c r="N233" i="15"/>
  <c r="M234" i="15"/>
  <c r="N234" i="15"/>
  <c r="M235" i="15"/>
  <c r="N235" i="15"/>
  <c r="M236" i="15"/>
  <c r="N236" i="15"/>
  <c r="M237" i="15"/>
  <c r="N237" i="15"/>
  <c r="M238" i="15"/>
  <c r="N238" i="15"/>
  <c r="M239" i="15"/>
  <c r="N239" i="15"/>
  <c r="M240" i="15"/>
  <c r="N240" i="15"/>
  <c r="M241" i="15"/>
  <c r="N241" i="15"/>
  <c r="M242" i="15"/>
  <c r="N242" i="15"/>
  <c r="M243" i="15"/>
  <c r="N243" i="15"/>
  <c r="M244" i="15"/>
  <c r="N244" i="15"/>
  <c r="M245" i="15"/>
  <c r="N245" i="15"/>
  <c r="M246" i="15"/>
  <c r="N246" i="15"/>
  <c r="M247" i="15"/>
  <c r="N247" i="15"/>
  <c r="M248" i="15"/>
  <c r="N248" i="15"/>
  <c r="M249" i="15"/>
  <c r="N249" i="15"/>
  <c r="M250" i="15"/>
  <c r="N250" i="15"/>
  <c r="M3" i="15"/>
  <c r="H13" i="16"/>
  <c r="H12" i="16"/>
  <c r="S2" i="15"/>
  <c r="S250" i="15"/>
  <c r="S248" i="15"/>
  <c r="S246" i="15"/>
  <c r="S244" i="15"/>
  <c r="S242" i="15"/>
  <c r="S240" i="15"/>
  <c r="S238" i="15"/>
  <c r="S236" i="15"/>
  <c r="S234" i="15"/>
  <c r="S232" i="15"/>
  <c r="S230" i="15"/>
  <c r="S228" i="15"/>
  <c r="S226" i="15"/>
  <c r="S224" i="15"/>
  <c r="S222" i="15"/>
  <c r="S220" i="15"/>
  <c r="S218" i="15"/>
  <c r="S216" i="15"/>
  <c r="S214" i="15"/>
  <c r="S212" i="15"/>
  <c r="S210" i="15"/>
  <c r="S208" i="15"/>
  <c r="S206" i="15"/>
  <c r="S204" i="15"/>
  <c r="S202" i="15"/>
  <c r="S200" i="15"/>
  <c r="S198" i="15"/>
  <c r="S196" i="15"/>
  <c r="S194" i="15"/>
  <c r="S192" i="15"/>
  <c r="S190" i="15"/>
  <c r="S188" i="15"/>
  <c r="S186" i="15"/>
  <c r="S184" i="15"/>
  <c r="S182" i="15"/>
  <c r="S180" i="15"/>
  <c r="S178" i="15"/>
  <c r="S176" i="15"/>
  <c r="S174" i="15"/>
  <c r="S172" i="15"/>
  <c r="S170" i="15"/>
  <c r="S168" i="15"/>
  <c r="S166" i="15"/>
  <c r="S164" i="15"/>
  <c r="S162" i="15"/>
  <c r="S160" i="15"/>
  <c r="S158" i="15"/>
  <c r="S156" i="15"/>
  <c r="S154" i="15"/>
  <c r="S152" i="15"/>
  <c r="S150" i="15"/>
  <c r="S148" i="15"/>
  <c r="S146" i="15"/>
  <c r="S144" i="15"/>
  <c r="S142" i="15"/>
  <c r="S140" i="15"/>
  <c r="S138" i="15"/>
  <c r="S136" i="15"/>
  <c r="S134" i="15"/>
  <c r="S132" i="15"/>
  <c r="S130" i="15"/>
  <c r="S128" i="15"/>
  <c r="S126" i="15"/>
  <c r="S124" i="15"/>
  <c r="S122" i="15"/>
  <c r="S120" i="15"/>
  <c r="S118" i="15"/>
  <c r="S116" i="15"/>
  <c r="S114" i="15"/>
  <c r="S112" i="15"/>
  <c r="S110" i="15"/>
  <c r="S108" i="15"/>
  <c r="S106" i="15"/>
  <c r="S104" i="15"/>
  <c r="S102" i="15"/>
  <c r="S100" i="15"/>
  <c r="S98" i="15"/>
  <c r="S96" i="15"/>
  <c r="S94" i="15"/>
  <c r="S92" i="15"/>
  <c r="S90" i="15"/>
  <c r="S88" i="15"/>
  <c r="S86" i="15"/>
  <c r="S84" i="15"/>
  <c r="S82" i="15"/>
  <c r="S80" i="15"/>
  <c r="Q2" i="15"/>
  <c r="S249" i="15"/>
  <c r="S247" i="15"/>
  <c r="S245" i="15"/>
  <c r="S243" i="15"/>
  <c r="S241" i="15"/>
  <c r="S239" i="15"/>
  <c r="S237" i="15"/>
  <c r="S235" i="15"/>
  <c r="S233" i="15"/>
  <c r="S231" i="15"/>
  <c r="S229" i="15"/>
  <c r="S227" i="15"/>
  <c r="S225" i="15"/>
  <c r="S223" i="15"/>
  <c r="S221" i="15"/>
  <c r="S219" i="15"/>
  <c r="S217" i="15"/>
  <c r="S215" i="15"/>
  <c r="S213" i="15"/>
  <c r="S211" i="15"/>
  <c r="S209" i="15"/>
  <c r="S207" i="15"/>
  <c r="S205" i="15"/>
  <c r="S203" i="15"/>
  <c r="S201" i="15"/>
  <c r="S199" i="15"/>
  <c r="S197" i="15"/>
  <c r="S195" i="15"/>
  <c r="S193" i="15"/>
  <c r="S191" i="15"/>
  <c r="S189" i="15"/>
  <c r="S187" i="15"/>
  <c r="S185" i="15"/>
  <c r="S183" i="15"/>
  <c r="S181" i="15"/>
  <c r="S179" i="15"/>
  <c r="S177" i="15"/>
  <c r="S175" i="15"/>
  <c r="S173" i="15"/>
  <c r="S171" i="15"/>
  <c r="S169" i="15"/>
  <c r="S167" i="15"/>
  <c r="S165" i="15"/>
  <c r="S163" i="15"/>
  <c r="S161" i="15"/>
  <c r="S159" i="15"/>
  <c r="S157" i="15"/>
  <c r="S155" i="15"/>
  <c r="S153" i="15"/>
  <c r="S151" i="15"/>
  <c r="S149" i="15"/>
  <c r="S147" i="15"/>
  <c r="S145" i="15"/>
  <c r="S143" i="15"/>
  <c r="S141" i="15"/>
  <c r="S139" i="15"/>
  <c r="S137" i="15"/>
  <c r="S135" i="15"/>
  <c r="S133" i="15"/>
  <c r="S131" i="15"/>
  <c r="S129" i="15"/>
  <c r="S127" i="15"/>
  <c r="S125" i="15"/>
  <c r="S123" i="15"/>
  <c r="S121" i="15"/>
  <c r="S119" i="15"/>
  <c r="S117" i="15"/>
  <c r="S115" i="15"/>
  <c r="S113" i="15"/>
  <c r="S111" i="15"/>
  <c r="S109" i="15"/>
  <c r="S107" i="15"/>
  <c r="S105" i="15"/>
  <c r="S103" i="15"/>
  <c r="S101" i="15"/>
  <c r="S99" i="15"/>
  <c r="S97" i="15"/>
  <c r="S95" i="15"/>
  <c r="S93" i="15"/>
  <c r="S91" i="15"/>
  <c r="S89" i="15"/>
  <c r="S87" i="15"/>
  <c r="S85" i="15"/>
  <c r="S83" i="15"/>
  <c r="S81" i="15"/>
  <c r="S79" i="15"/>
  <c r="S77" i="15"/>
  <c r="S75" i="15"/>
  <c r="S73" i="15"/>
  <c r="S71" i="15"/>
  <c r="S69" i="15"/>
  <c r="S67" i="15"/>
  <c r="S65" i="15"/>
  <c r="S63" i="15"/>
  <c r="S61" i="15"/>
  <c r="S59" i="15"/>
  <c r="S57" i="15"/>
  <c r="S55" i="15"/>
  <c r="S53" i="15"/>
  <c r="S51" i="15"/>
  <c r="S49" i="15"/>
  <c r="S47" i="15"/>
  <c r="S45" i="15"/>
  <c r="S43" i="15"/>
  <c r="S41" i="15"/>
  <c r="S39" i="15"/>
  <c r="S37" i="15"/>
  <c r="S35" i="15"/>
  <c r="S33" i="15"/>
  <c r="S31" i="15"/>
  <c r="S29" i="15"/>
  <c r="S27" i="15"/>
  <c r="S25" i="15"/>
  <c r="S23" i="15"/>
  <c r="S21" i="15"/>
  <c r="S19" i="15"/>
  <c r="S17" i="15"/>
  <c r="S15" i="15"/>
  <c r="S13" i="15"/>
  <c r="S11" i="15"/>
  <c r="S9" i="15"/>
  <c r="S7" i="15"/>
  <c r="S5" i="15"/>
  <c r="S3" i="15"/>
  <c r="S78" i="15"/>
  <c r="S76" i="15"/>
  <c r="S74" i="15"/>
  <c r="S72" i="15"/>
  <c r="S70" i="15"/>
  <c r="S68" i="15"/>
  <c r="S66" i="15"/>
  <c r="S64" i="15"/>
  <c r="S62" i="15"/>
  <c r="S60" i="15"/>
  <c r="S58" i="15"/>
  <c r="S56" i="15"/>
  <c r="S54" i="15"/>
  <c r="S52" i="15"/>
  <c r="S50" i="15"/>
  <c r="S48" i="15"/>
  <c r="S46" i="15"/>
  <c r="S44" i="15"/>
  <c r="S42" i="15"/>
  <c r="S40" i="15"/>
  <c r="S38" i="15"/>
  <c r="S36" i="15"/>
  <c r="S34" i="15"/>
  <c r="S32" i="15"/>
  <c r="S30" i="15"/>
  <c r="S28" i="15"/>
  <c r="S26" i="15"/>
  <c r="S24" i="15"/>
  <c r="S22" i="15"/>
  <c r="S20" i="15"/>
  <c r="S18" i="15"/>
  <c r="S16" i="15"/>
  <c r="S14" i="15"/>
  <c r="S12" i="15"/>
  <c r="S10" i="15"/>
  <c r="S8" i="15"/>
  <c r="S6" i="15"/>
  <c r="S4" i="15"/>
  <c r="Q89" i="15"/>
  <c r="Q250" i="15"/>
  <c r="Q248" i="15"/>
  <c r="Q246" i="15"/>
  <c r="Q244" i="15"/>
  <c r="Q242" i="15"/>
  <c r="Q240" i="15"/>
  <c r="Q238" i="15"/>
  <c r="Q236" i="15"/>
  <c r="Q234" i="15"/>
  <c r="Q232" i="15"/>
  <c r="Q230" i="15"/>
  <c r="Q228" i="15"/>
  <c r="Q226" i="15"/>
  <c r="Q224" i="15"/>
  <c r="Q222" i="15"/>
  <c r="Q220" i="15"/>
  <c r="Q218" i="15"/>
  <c r="Q216" i="15"/>
  <c r="Q214" i="15"/>
  <c r="Q212" i="15"/>
  <c r="Q210" i="15"/>
  <c r="Q208" i="15"/>
  <c r="Q206" i="15"/>
  <c r="Q204" i="15"/>
  <c r="Q202" i="15"/>
  <c r="Q200" i="15"/>
  <c r="Q198" i="15"/>
  <c r="Q196" i="15"/>
  <c r="Q194" i="15"/>
  <c r="Q192" i="15"/>
  <c r="Q190" i="15"/>
  <c r="Q188" i="15"/>
  <c r="Q186" i="15"/>
  <c r="Q184" i="15"/>
  <c r="Q182" i="15"/>
  <c r="Q180" i="15"/>
  <c r="Q178" i="15"/>
  <c r="Q176" i="15"/>
  <c r="Q174" i="15"/>
  <c r="Q172" i="15"/>
  <c r="Q169" i="15"/>
  <c r="Q165" i="15"/>
  <c r="Q161" i="15"/>
  <c r="Q157" i="15"/>
  <c r="Q153" i="15"/>
  <c r="Q149" i="15"/>
  <c r="Q145" i="15"/>
  <c r="Q141" i="15"/>
  <c r="Q137" i="15"/>
  <c r="Q133" i="15"/>
  <c r="Q129" i="15"/>
  <c r="Q125" i="15"/>
  <c r="Q121" i="15"/>
  <c r="Q117" i="15"/>
  <c r="Q113" i="15"/>
  <c r="Q109" i="15"/>
  <c r="Q105" i="15"/>
  <c r="Q101" i="15"/>
  <c r="Q97" i="15"/>
  <c r="Q93" i="15"/>
  <c r="Q4" i="15"/>
  <c r="Q6" i="15"/>
  <c r="Q8" i="15"/>
  <c r="Q10" i="15"/>
  <c r="Q12" i="15"/>
  <c r="Q14" i="15"/>
  <c r="Q16" i="15"/>
  <c r="Q18" i="15"/>
  <c r="Q20" i="15"/>
  <c r="Q22" i="15"/>
  <c r="Q24" i="15"/>
  <c r="Q26" i="15"/>
  <c r="Q28" i="15"/>
  <c r="Q30" i="15"/>
  <c r="Q32" i="15"/>
  <c r="Q34" i="15"/>
  <c r="Q36" i="15"/>
  <c r="Q38" i="15"/>
  <c r="Q40" i="15"/>
  <c r="Q42" i="15"/>
  <c r="Q44" i="15"/>
  <c r="Q46" i="15"/>
  <c r="Q48" i="15"/>
  <c r="Q50" i="15"/>
  <c r="Q52" i="15"/>
  <c r="Q54" i="15"/>
  <c r="Q56" i="15"/>
  <c r="Q58" i="15"/>
  <c r="Q60" i="15"/>
  <c r="Q62" i="15"/>
  <c r="Q64" i="15"/>
  <c r="Q66" i="15"/>
  <c r="Q68" i="15"/>
  <c r="Q70" i="15"/>
  <c r="Q72" i="15"/>
  <c r="Q74" i="15"/>
  <c r="Q76" i="15"/>
  <c r="Q78" i="15"/>
  <c r="Q80" i="15"/>
  <c r="Q82" i="15"/>
  <c r="Q84" i="15"/>
  <c r="Q86" i="15"/>
  <c r="Q88" i="15"/>
  <c r="Q90" i="15"/>
  <c r="Q92" i="15"/>
  <c r="Q94" i="15"/>
  <c r="Q96" i="15"/>
  <c r="Q98" i="15"/>
  <c r="Q100" i="15"/>
  <c r="Q102" i="15"/>
  <c r="Q104" i="15"/>
  <c r="Q106" i="15"/>
  <c r="Q108" i="15"/>
  <c r="Q110" i="15"/>
  <c r="Q112" i="15"/>
  <c r="Q114" i="15"/>
  <c r="Q116" i="15"/>
  <c r="Q118" i="15"/>
  <c r="Q120" i="15"/>
  <c r="Q122" i="15"/>
  <c r="Q124" i="15"/>
  <c r="Q126" i="15"/>
  <c r="Q128" i="15"/>
  <c r="Q130" i="15"/>
  <c r="Q132" i="15"/>
  <c r="Q134" i="15"/>
  <c r="Q136" i="15"/>
  <c r="Q138" i="15"/>
  <c r="Q140" i="15"/>
  <c r="Q142" i="15"/>
  <c r="Q144" i="15"/>
  <c r="Q146" i="15"/>
  <c r="Q148" i="15"/>
  <c r="Q150" i="15"/>
  <c r="Q152" i="15"/>
  <c r="Q154" i="15"/>
  <c r="Q156" i="15"/>
  <c r="Q158" i="15"/>
  <c r="Q160" i="15"/>
  <c r="Q162" i="15"/>
  <c r="Q164" i="15"/>
  <c r="Q166" i="15"/>
  <c r="Q168" i="15"/>
  <c r="Q170" i="15"/>
  <c r="Q3" i="15"/>
  <c r="Q5" i="15"/>
  <c r="Q7" i="15"/>
  <c r="Q9" i="15"/>
  <c r="Q11" i="15"/>
  <c r="Q13" i="15"/>
  <c r="Q15" i="15"/>
  <c r="Q17" i="15"/>
  <c r="Q19" i="15"/>
  <c r="Q21" i="15"/>
  <c r="Q23" i="15"/>
  <c r="Q25" i="15"/>
  <c r="Q27" i="15"/>
  <c r="Q29" i="15"/>
  <c r="Q31" i="15"/>
  <c r="Q33" i="15"/>
  <c r="Q35" i="15"/>
  <c r="Q37" i="15"/>
  <c r="Q39" i="15"/>
  <c r="Q41" i="15"/>
  <c r="Q43" i="15"/>
  <c r="Q45" i="15"/>
  <c r="Q47" i="15"/>
  <c r="Q49" i="15"/>
  <c r="Q51" i="15"/>
  <c r="Q53" i="15"/>
  <c r="Q55" i="15"/>
  <c r="Q57" i="15"/>
  <c r="Q59" i="15"/>
  <c r="Q61" i="15"/>
  <c r="Q63" i="15"/>
  <c r="Q65" i="15"/>
  <c r="Q67" i="15"/>
  <c r="Q69" i="15"/>
  <c r="Q71" i="15"/>
  <c r="Q73" i="15"/>
  <c r="Q75" i="15"/>
  <c r="Q77" i="15"/>
  <c r="Q79" i="15"/>
  <c r="Q81" i="15"/>
  <c r="Q83" i="15"/>
  <c r="Q85" i="15"/>
  <c r="Q249" i="15"/>
  <c r="Q247" i="15"/>
  <c r="Q245" i="15"/>
  <c r="Q243" i="15"/>
  <c r="Q241" i="15"/>
  <c r="Q239" i="15"/>
  <c r="Q237" i="15"/>
  <c r="Q235" i="15"/>
  <c r="Q233" i="15"/>
  <c r="Q231" i="15"/>
  <c r="Q229" i="15"/>
  <c r="Q227" i="15"/>
  <c r="Q225" i="15"/>
  <c r="Q223" i="15"/>
  <c r="Q221" i="15"/>
  <c r="Q219" i="15"/>
  <c r="Q217" i="15"/>
  <c r="Q215" i="15"/>
  <c r="Q213" i="15"/>
  <c r="Q211" i="15"/>
  <c r="Q209" i="15"/>
  <c r="Q207" i="15"/>
  <c r="Q205" i="15"/>
  <c r="Q203" i="15"/>
  <c r="Q201" i="15"/>
  <c r="Q199" i="15"/>
  <c r="Q197" i="15"/>
  <c r="Q195" i="15"/>
  <c r="Q193" i="15"/>
  <c r="Q191" i="15"/>
  <c r="Q189" i="15"/>
  <c r="Q187" i="15"/>
  <c r="Q185" i="15"/>
  <c r="Q183" i="15"/>
  <c r="Q181" i="15"/>
  <c r="Q179" i="15"/>
  <c r="Q177" i="15"/>
  <c r="Q175" i="15"/>
  <c r="Q173" i="15"/>
  <c r="Q171" i="15"/>
  <c r="Q167" i="15"/>
  <c r="Q163" i="15"/>
  <c r="Q159" i="15"/>
  <c r="Q155" i="15"/>
  <c r="Q151" i="15"/>
  <c r="Q147" i="15"/>
  <c r="Q143" i="15"/>
  <c r="Q139" i="15"/>
  <c r="Q135" i="15"/>
  <c r="Q131" i="15"/>
  <c r="Q127" i="15"/>
  <c r="Q123" i="15"/>
  <c r="Q119" i="15"/>
  <c r="Q115" i="15"/>
  <c r="Q111" i="15"/>
  <c r="Q107" i="15"/>
  <c r="Q103" i="15"/>
  <c r="Q99" i="15"/>
  <c r="Q95" i="15"/>
  <c r="Q91" i="15"/>
  <c r="Q87" i="15"/>
  <c r="L3" i="15"/>
  <c r="L4" i="15"/>
  <c r="L5" i="15"/>
  <c r="L6" i="15"/>
  <c r="L7" i="15"/>
  <c r="L8" i="15"/>
  <c r="L9" i="15"/>
  <c r="L10" i="15"/>
  <c r="L11" i="15"/>
  <c r="L12" i="15"/>
  <c r="L13" i="15"/>
  <c r="L14" i="15"/>
  <c r="C6" i="16"/>
  <c r="K6" i="15"/>
  <c r="M6" i="15"/>
  <c r="K7" i="15"/>
  <c r="M8" i="15"/>
  <c r="K9" i="15"/>
  <c r="M9" i="15"/>
  <c r="N9" i="15"/>
  <c r="K10" i="15"/>
  <c r="M10" i="15"/>
  <c r="N10" i="15"/>
  <c r="M2" i="15"/>
  <c r="L2" i="15"/>
  <c r="H4" i="16"/>
  <c r="H3" i="16"/>
  <c r="H7" i="16"/>
  <c r="H6" i="16"/>
  <c r="N8" i="15"/>
  <c r="L137" i="15"/>
  <c r="L138" i="15"/>
  <c r="L139" i="15"/>
  <c r="L140" i="15"/>
  <c r="L141" i="15"/>
  <c r="L142" i="15"/>
  <c r="L143" i="15"/>
  <c r="K33" i="15"/>
  <c r="M33" i="15"/>
  <c r="N33" i="15"/>
  <c r="L33" i="15"/>
  <c r="K31" i="15"/>
  <c r="M31" i="15"/>
  <c r="N31" i="15"/>
  <c r="L31" i="15"/>
  <c r="K32" i="15"/>
  <c r="M32" i="15"/>
  <c r="N32" i="15"/>
  <c r="L32" i="15"/>
  <c r="K35" i="15"/>
  <c r="M35" i="15"/>
  <c r="N35" i="15"/>
  <c r="L35" i="15"/>
  <c r="K34" i="15"/>
  <c r="M34" i="15"/>
  <c r="N34" i="15"/>
  <c r="L34" i="15"/>
  <c r="K38" i="15"/>
  <c r="M38" i="15"/>
  <c r="N38" i="15"/>
  <c r="L38" i="15"/>
  <c r="K36" i="15"/>
  <c r="M36" i="15"/>
  <c r="N36" i="15"/>
  <c r="L36" i="15"/>
  <c r="K42" i="15"/>
  <c r="M42" i="15"/>
  <c r="N42" i="15"/>
  <c r="L42" i="15"/>
  <c r="K40" i="15"/>
  <c r="M40" i="15"/>
  <c r="N40" i="15"/>
  <c r="L40" i="15"/>
  <c r="K46" i="15"/>
  <c r="M46" i="15"/>
  <c r="N46" i="15"/>
  <c r="L46" i="15"/>
  <c r="K72" i="15"/>
  <c r="M72" i="15"/>
  <c r="N72" i="15"/>
  <c r="L72" i="15"/>
  <c r="K73" i="15"/>
  <c r="M73" i="15"/>
  <c r="N73" i="15"/>
  <c r="L73" i="15"/>
  <c r="K76" i="15"/>
  <c r="M76" i="15"/>
  <c r="N76" i="15"/>
  <c r="L76" i="15"/>
  <c r="K78" i="15"/>
  <c r="M78" i="15"/>
  <c r="N78" i="15"/>
  <c r="L78" i="15"/>
  <c r="K79" i="15"/>
  <c r="M79" i="15"/>
  <c r="N79" i="15"/>
  <c r="L79" i="15"/>
  <c r="K80" i="15"/>
  <c r="M80" i="15"/>
  <c r="N80" i="15"/>
  <c r="L80" i="15"/>
  <c r="K82" i="15"/>
  <c r="M82" i="15"/>
  <c r="N82" i="15"/>
  <c r="L82" i="15"/>
  <c r="K85" i="15"/>
  <c r="M85" i="15"/>
  <c r="N85" i="15"/>
  <c r="L85" i="15"/>
  <c r="K87" i="15"/>
  <c r="M87" i="15"/>
  <c r="N87" i="15"/>
  <c r="L87" i="15"/>
  <c r="K89" i="15"/>
  <c r="M89" i="15"/>
  <c r="N89" i="15"/>
  <c r="L89" i="15"/>
  <c r="M129" i="15"/>
  <c r="N129" i="15"/>
  <c r="K129" i="15"/>
  <c r="C88" i="16"/>
  <c r="K135" i="15"/>
  <c r="L123" i="15"/>
  <c r="M123" i="15"/>
  <c r="N123" i="15"/>
  <c r="K123" i="15"/>
  <c r="L108" i="15"/>
  <c r="M108" i="15"/>
  <c r="N108" i="15"/>
  <c r="K108" i="15"/>
  <c r="L75" i="15"/>
  <c r="M75" i="15"/>
  <c r="N75" i="15"/>
  <c r="K75" i="15"/>
  <c r="K12" i="15"/>
  <c r="K14" i="15"/>
  <c r="K88" i="15"/>
  <c r="K143" i="15"/>
  <c r="L135" i="15"/>
  <c r="M135" i="15"/>
  <c r="N135" i="15"/>
  <c r="L64" i="15"/>
  <c r="M12" i="15"/>
  <c r="N12" i="15"/>
  <c r="L88" i="15"/>
  <c r="M88" i="15"/>
  <c r="N88" i="15"/>
  <c r="M143" i="15"/>
  <c r="N143" i="15"/>
  <c r="M82" i="16"/>
  <c r="M81" i="16"/>
  <c r="J82" i="16"/>
  <c r="J81" i="16"/>
  <c r="G82" i="16"/>
  <c r="G81" i="16"/>
  <c r="D82" i="16"/>
  <c r="D81" i="16"/>
  <c r="M140" i="15"/>
  <c r="N140" i="15"/>
  <c r="K140" i="15"/>
  <c r="M139" i="15"/>
  <c r="N139" i="15"/>
  <c r="K139" i="15"/>
  <c r="K132" i="15"/>
  <c r="M132" i="15"/>
  <c r="N132" i="15"/>
  <c r="L99" i="15"/>
  <c r="M99" i="15"/>
  <c r="N99" i="15"/>
  <c r="K99" i="15"/>
  <c r="M53" i="15"/>
  <c r="N53" i="15"/>
  <c r="M55" i="15"/>
  <c r="N55" i="15"/>
  <c r="M60" i="15"/>
  <c r="N60" i="15"/>
  <c r="K60" i="15"/>
  <c r="M65" i="15"/>
  <c r="N65" i="15"/>
  <c r="M83" i="15"/>
  <c r="N83" i="15"/>
  <c r="M92" i="15"/>
  <c r="N92" i="15"/>
  <c r="M97" i="15"/>
  <c r="N97" i="15"/>
  <c r="M104" i="15"/>
  <c r="N104" i="15"/>
  <c r="M138" i="15"/>
  <c r="N138" i="15"/>
  <c r="M130" i="15"/>
  <c r="N130" i="15"/>
  <c r="M131" i="15"/>
  <c r="N131" i="15"/>
  <c r="M136" i="15"/>
  <c r="N136" i="15"/>
  <c r="M122" i="15"/>
  <c r="N122" i="15"/>
  <c r="M141" i="15"/>
  <c r="N141" i="15"/>
  <c r="M37" i="15"/>
  <c r="N37" i="15"/>
  <c r="M44" i="15"/>
  <c r="N44" i="15"/>
  <c r="M51" i="15"/>
  <c r="N51" i="15"/>
  <c r="M54" i="15"/>
  <c r="N54" i="15"/>
  <c r="M56" i="15"/>
  <c r="N56" i="15"/>
  <c r="M63" i="15"/>
  <c r="N63" i="15"/>
  <c r="M69" i="15"/>
  <c r="N69" i="15"/>
  <c r="M81" i="15"/>
  <c r="N81" i="15"/>
  <c r="M21" i="15"/>
  <c r="N21" i="15"/>
  <c r="M11" i="15"/>
  <c r="M14" i="15"/>
  <c r="N14" i="15"/>
  <c r="M15" i="15"/>
  <c r="N15" i="15"/>
  <c r="M17" i="15"/>
  <c r="N17" i="15"/>
  <c r="M19" i="15"/>
  <c r="N19" i="15"/>
  <c r="M23" i="15"/>
  <c r="N23" i="15"/>
  <c r="M25" i="15"/>
  <c r="N25" i="15"/>
  <c r="M26" i="15"/>
  <c r="N26" i="15"/>
  <c r="M29" i="15"/>
  <c r="N29" i="15"/>
  <c r="M41" i="15"/>
  <c r="N41" i="15"/>
  <c r="M43" i="15"/>
  <c r="N43" i="15"/>
  <c r="K53" i="15"/>
  <c r="K55" i="15"/>
  <c r="K65" i="15"/>
  <c r="K83" i="15"/>
  <c r="K92" i="15"/>
  <c r="K97" i="15"/>
  <c r="K104" i="15"/>
  <c r="K138" i="15"/>
  <c r="K130" i="15"/>
  <c r="K131" i="15"/>
  <c r="K136" i="15"/>
  <c r="K122" i="15"/>
  <c r="K141" i="15"/>
  <c r="K37" i="15"/>
  <c r="K44" i="15"/>
  <c r="K51" i="15"/>
  <c r="K54" i="15"/>
  <c r="K56" i="15"/>
  <c r="K63" i="15"/>
  <c r="K69" i="15"/>
  <c r="K81" i="15"/>
  <c r="K21" i="15"/>
  <c r="K11" i="15"/>
  <c r="K15" i="15"/>
  <c r="K17" i="15"/>
  <c r="K19" i="15"/>
  <c r="K23" i="15"/>
  <c r="K25" i="15"/>
  <c r="K26" i="15"/>
  <c r="K29" i="15"/>
  <c r="K41" i="15"/>
  <c r="K43" i="15"/>
  <c r="M59" i="15"/>
  <c r="N59" i="15"/>
  <c r="M64" i="15"/>
  <c r="N64" i="15"/>
  <c r="M71" i="15"/>
  <c r="N71" i="15"/>
  <c r="M84" i="15"/>
  <c r="N84" i="15"/>
  <c r="M86" i="15"/>
  <c r="N86" i="15"/>
  <c r="M100" i="15"/>
  <c r="N100" i="15"/>
  <c r="M105" i="15"/>
  <c r="N105" i="15"/>
  <c r="M27" i="15"/>
  <c r="N27" i="15"/>
  <c r="M107" i="15"/>
  <c r="N107" i="15"/>
  <c r="M112" i="15"/>
  <c r="N112" i="15"/>
  <c r="M118" i="15"/>
  <c r="N118" i="15"/>
  <c r="M121" i="15"/>
  <c r="N121" i="15"/>
  <c r="M124" i="15"/>
  <c r="N124" i="15"/>
  <c r="M49" i="15"/>
  <c r="N49" i="15"/>
  <c r="M52" i="15"/>
  <c r="N52" i="15"/>
  <c r="M66" i="15"/>
  <c r="N66" i="15"/>
  <c r="M90" i="15"/>
  <c r="N90" i="15"/>
  <c r="M91" i="15"/>
  <c r="N91" i="15"/>
  <c r="M95" i="15"/>
  <c r="N95" i="15"/>
  <c r="M96" i="15"/>
  <c r="N96" i="15"/>
  <c r="M109" i="15"/>
  <c r="N109" i="15"/>
  <c r="M113" i="15"/>
  <c r="N113" i="15"/>
  <c r="M116" i="15"/>
  <c r="N116" i="15"/>
  <c r="M126" i="15"/>
  <c r="N126" i="15"/>
  <c r="M137" i="15"/>
  <c r="N137" i="15"/>
  <c r="M128" i="15"/>
  <c r="N128" i="15"/>
  <c r="M142" i="15"/>
  <c r="N142" i="15"/>
  <c r="M24" i="15"/>
  <c r="N24" i="15"/>
  <c r="M28" i="15"/>
  <c r="N28" i="15"/>
  <c r="M47" i="15"/>
  <c r="N47" i="15"/>
  <c r="M39" i="15"/>
  <c r="N39" i="15"/>
  <c r="M48" i="15"/>
  <c r="N48" i="15"/>
  <c r="M50" i="15"/>
  <c r="N50" i="15"/>
  <c r="M57" i="15"/>
  <c r="N57" i="15"/>
  <c r="M68" i="15"/>
  <c r="N68" i="15"/>
  <c r="M93" i="15"/>
  <c r="N93" i="15"/>
  <c r="M101" i="15"/>
  <c r="N101" i="15"/>
  <c r="M106" i="15"/>
  <c r="N106" i="15"/>
  <c r="M117" i="15"/>
  <c r="N117" i="15"/>
  <c r="M125" i="15"/>
  <c r="N125" i="15"/>
  <c r="M133" i="15"/>
  <c r="N133" i="15"/>
  <c r="M13" i="15"/>
  <c r="N13" i="15"/>
  <c r="M16" i="15"/>
  <c r="N16" i="15"/>
  <c r="M18" i="15"/>
  <c r="N18" i="15"/>
  <c r="M20" i="15"/>
  <c r="N20" i="15"/>
  <c r="M22" i="15"/>
  <c r="N22" i="15"/>
  <c r="M30" i="15"/>
  <c r="N30" i="15"/>
  <c r="M45" i="15"/>
  <c r="N45" i="15"/>
  <c r="M62" i="15"/>
  <c r="N62" i="15"/>
  <c r="M67" i="15"/>
  <c r="N67" i="15"/>
  <c r="M70" i="15"/>
  <c r="N70" i="15"/>
  <c r="M74" i="15"/>
  <c r="N74" i="15"/>
  <c r="M102" i="15"/>
  <c r="N102" i="15"/>
  <c r="M103" i="15"/>
  <c r="N103" i="15"/>
  <c r="M110" i="15"/>
  <c r="N110" i="15"/>
  <c r="M115" i="15"/>
  <c r="N115" i="15"/>
  <c r="M61" i="15"/>
  <c r="N61" i="15"/>
  <c r="M58" i="15"/>
  <c r="N58" i="15"/>
  <c r="M77" i="15"/>
  <c r="N77" i="15"/>
  <c r="M98" i="15"/>
  <c r="N98" i="15"/>
  <c r="M94" i="15"/>
  <c r="N94" i="15"/>
  <c r="M127" i="15"/>
  <c r="N127" i="15"/>
  <c r="M114" i="15"/>
  <c r="N114" i="15"/>
  <c r="M111" i="15"/>
  <c r="N111" i="15"/>
  <c r="M119" i="15"/>
  <c r="N119" i="15"/>
  <c r="M120" i="15"/>
  <c r="N120" i="15"/>
  <c r="M134" i="15"/>
  <c r="N134" i="15"/>
  <c r="K59" i="15"/>
  <c r="K64" i="15"/>
  <c r="K71" i="15"/>
  <c r="K84" i="15"/>
  <c r="K86" i="15"/>
  <c r="K100" i="15"/>
  <c r="K105" i="15"/>
  <c r="K27" i="15"/>
  <c r="K107" i="15"/>
  <c r="K112" i="15"/>
  <c r="K118" i="15"/>
  <c r="K121" i="15"/>
  <c r="K124" i="15"/>
  <c r="K49" i="15"/>
  <c r="K52" i="15"/>
  <c r="K66" i="15"/>
  <c r="K90" i="15"/>
  <c r="K91" i="15"/>
  <c r="K95" i="15"/>
  <c r="K96" i="15"/>
  <c r="K109" i="15"/>
  <c r="K113" i="15"/>
  <c r="K116" i="15"/>
  <c r="K126" i="15"/>
  <c r="K137" i="15"/>
  <c r="K128" i="15"/>
  <c r="K142" i="15"/>
  <c r="K24" i="15"/>
  <c r="K28" i="15"/>
  <c r="K47" i="15"/>
  <c r="K39" i="15"/>
  <c r="K48" i="15"/>
  <c r="K50" i="15"/>
  <c r="K57" i="15"/>
  <c r="K68" i="15"/>
  <c r="K93" i="15"/>
  <c r="K101" i="15"/>
  <c r="K106" i="15"/>
  <c r="K117" i="15"/>
  <c r="K125" i="15"/>
  <c r="K133" i="15"/>
  <c r="K13" i="15"/>
  <c r="K16" i="15"/>
  <c r="K18" i="15"/>
  <c r="K20" i="15"/>
  <c r="K22" i="15"/>
  <c r="K30" i="15"/>
  <c r="K45" i="15"/>
  <c r="K62" i="15"/>
  <c r="K67" i="15"/>
  <c r="K70" i="15"/>
  <c r="K74" i="15"/>
  <c r="K102" i="15"/>
  <c r="K103" i="15"/>
  <c r="K110" i="15"/>
  <c r="K115" i="15"/>
  <c r="K61" i="15"/>
  <c r="K58" i="15"/>
  <c r="K77" i="15"/>
  <c r="K98" i="15"/>
  <c r="K94" i="15"/>
  <c r="K127" i="15"/>
  <c r="K114" i="15"/>
  <c r="K111" i="15"/>
  <c r="K119" i="15"/>
  <c r="K120" i="15"/>
  <c r="K134"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L55" i="15"/>
  <c r="L60" i="15"/>
  <c r="L53" i="15"/>
  <c r="L65" i="15"/>
  <c r="L92" i="15"/>
  <c r="D88" i="16"/>
  <c r="C89" i="16"/>
  <c r="C90" i="16"/>
  <c r="C96" i="16"/>
  <c r="C95" i="16"/>
  <c r="C93" i="16"/>
  <c r="C92" i="16"/>
  <c r="C91" i="16"/>
  <c r="L83" i="15"/>
  <c r="L104" i="15"/>
  <c r="L97" i="15"/>
  <c r="L130" i="15"/>
  <c r="L131" i="15"/>
  <c r="L136" i="15"/>
  <c r="L122" i="15"/>
  <c r="L37" i="15"/>
  <c r="L44" i="15"/>
  <c r="L51" i="15"/>
  <c r="L54" i="15"/>
  <c r="L56" i="15"/>
  <c r="L63" i="15"/>
  <c r="L69" i="15"/>
  <c r="L81" i="15"/>
  <c r="L21" i="15"/>
  <c r="L15" i="15"/>
  <c r="L17" i="15"/>
  <c r="L19" i="15"/>
  <c r="L23" i="15"/>
  <c r="L25" i="15"/>
  <c r="L26" i="15"/>
  <c r="L29" i="15"/>
  <c r="L41" i="15"/>
  <c r="L43" i="15"/>
  <c r="L59" i="15"/>
  <c r="L71" i="15"/>
  <c r="L84" i="15"/>
  <c r="L86" i="15"/>
  <c r="L100" i="15"/>
  <c r="L105" i="15"/>
  <c r="L27" i="15"/>
  <c r="L107" i="15"/>
  <c r="L112" i="15"/>
  <c r="L118" i="15"/>
  <c r="L121" i="15"/>
  <c r="L124" i="15"/>
  <c r="L129" i="15"/>
  <c r="L132" i="15"/>
  <c r="L49" i="15"/>
  <c r="L52" i="15"/>
  <c r="L66" i="15"/>
  <c r="L90" i="15"/>
  <c r="L91" i="15"/>
  <c r="L95" i="15"/>
  <c r="L96" i="15"/>
  <c r="L109" i="15"/>
  <c r="L113" i="15"/>
  <c r="L116" i="15"/>
  <c r="L126" i="15"/>
  <c r="L128" i="15"/>
  <c r="L24" i="15"/>
  <c r="L28" i="15"/>
  <c r="L47" i="15"/>
  <c r="L39" i="15"/>
  <c r="L48" i="15"/>
  <c r="L50" i="15"/>
  <c r="L57" i="15"/>
  <c r="L68" i="15"/>
  <c r="L93" i="15"/>
  <c r="L101" i="15"/>
  <c r="L106" i="15"/>
  <c r="L117" i="15"/>
  <c r="L125" i="15"/>
  <c r="L133" i="15"/>
  <c r="L16" i="15"/>
  <c r="L18" i="15"/>
  <c r="L20" i="15"/>
  <c r="L22" i="15"/>
  <c r="L30" i="15"/>
  <c r="L45" i="15"/>
  <c r="L62" i="15"/>
  <c r="L67" i="15"/>
  <c r="L70" i="15"/>
  <c r="L74" i="15"/>
  <c r="L102" i="15"/>
  <c r="L103" i="15"/>
  <c r="L110" i="15"/>
  <c r="L115" i="15"/>
  <c r="L61" i="15"/>
  <c r="L58" i="15"/>
  <c r="L77" i="15"/>
  <c r="L98" i="15"/>
  <c r="L94" i="15"/>
  <c r="L127" i="15"/>
  <c r="L114" i="15"/>
  <c r="L111" i="15"/>
  <c r="L119" i="15"/>
  <c r="L120" i="15"/>
  <c r="L134" i="15"/>
  <c r="G39" i="16"/>
  <c r="C39" i="16"/>
  <c r="F39" i="16"/>
  <c r="D43" i="16"/>
  <c r="D39" i="16"/>
  <c r="D96" i="16"/>
  <c r="D95" i="16"/>
  <c r="D93" i="16"/>
  <c r="D92" i="16"/>
  <c r="D91" i="16"/>
  <c r="D90" i="16"/>
  <c r="D89" i="16"/>
  <c r="G43" i="16"/>
  <c r="F43" i="16"/>
  <c r="C43" i="16"/>
  <c r="D6" i="16"/>
  <c r="D40" i="16"/>
  <c r="F6" i="16"/>
  <c r="F42" i="16"/>
  <c r="G42" i="16"/>
  <c r="G8" i="16"/>
  <c r="D28" i="16"/>
  <c r="F19" i="16"/>
  <c r="F7" i="16"/>
  <c r="D19" i="16"/>
  <c r="F25" i="16"/>
  <c r="D29" i="16"/>
  <c r="D26" i="16"/>
  <c r="C29" i="16"/>
  <c r="G26" i="16"/>
  <c r="G20" i="16"/>
  <c r="C7" i="16"/>
  <c r="G7" i="16"/>
  <c r="D8" i="16"/>
  <c r="O134" i="15"/>
  <c r="O120" i="15"/>
  <c r="O111" i="15"/>
  <c r="O127" i="15"/>
  <c r="O98" i="15"/>
  <c r="O58" i="15"/>
  <c r="O115" i="15"/>
  <c r="O103" i="15"/>
  <c r="O74" i="15"/>
  <c r="O67" i="15"/>
  <c r="O45" i="15"/>
  <c r="O22" i="15"/>
  <c r="O18" i="15"/>
  <c r="O13" i="15"/>
  <c r="O125" i="15"/>
  <c r="O106" i="15"/>
  <c r="O93" i="15"/>
  <c r="O57" i="15"/>
  <c r="O48" i="15"/>
  <c r="O47" i="15"/>
  <c r="O24" i="15"/>
  <c r="O128" i="15"/>
  <c r="O126" i="15"/>
  <c r="O113" i="15"/>
  <c r="O96" i="15"/>
  <c r="O91" i="15"/>
  <c r="O66" i="15"/>
  <c r="O49" i="15"/>
  <c r="O121" i="15"/>
  <c r="O112" i="15"/>
  <c r="O27" i="15"/>
  <c r="O100" i="15"/>
  <c r="O84" i="15"/>
  <c r="O64" i="15"/>
  <c r="O43" i="15"/>
  <c r="O29" i="15"/>
  <c r="O25" i="15"/>
  <c r="O19" i="15"/>
  <c r="O15" i="15"/>
  <c r="O11" i="15"/>
  <c r="O151" i="15"/>
  <c r="O150" i="15"/>
  <c r="O158" i="15"/>
  <c r="O166" i="15"/>
  <c r="O247" i="15"/>
  <c r="O239" i="15"/>
  <c r="O231" i="15"/>
  <c r="O149" i="15"/>
  <c r="O144" i="15"/>
  <c r="O152" i="15"/>
  <c r="O160" i="15"/>
  <c r="O168" i="15"/>
  <c r="O245" i="15"/>
  <c r="O237" i="15"/>
  <c r="O229" i="15"/>
  <c r="O221" i="15"/>
  <c r="O213" i="15"/>
  <c r="O9" i="15"/>
  <c r="O7" i="15"/>
  <c r="O153" i="15"/>
  <c r="O169" i="15"/>
  <c r="O178" i="15"/>
  <c r="O186" i="15"/>
  <c r="O194" i="15"/>
  <c r="O202" i="15"/>
  <c r="O210" i="15"/>
  <c r="O218" i="15"/>
  <c r="O226" i="15"/>
  <c r="O234" i="15"/>
  <c r="O242" i="15"/>
  <c r="O250" i="15"/>
  <c r="O167" i="15"/>
  <c r="O177" i="15"/>
  <c r="O185" i="15"/>
  <c r="O193" i="15"/>
  <c r="O201" i="15"/>
  <c r="O209" i="15"/>
  <c r="O223" i="15"/>
  <c r="O165" i="15"/>
  <c r="O176" i="15"/>
  <c r="O184" i="15"/>
  <c r="O192" i="15"/>
  <c r="O200" i="15"/>
  <c r="O208" i="15"/>
  <c r="O216" i="15"/>
  <c r="O224" i="15"/>
  <c r="O232" i="15"/>
  <c r="O240" i="15"/>
  <c r="O248" i="15"/>
  <c r="O163" i="15"/>
  <c r="O175" i="15"/>
  <c r="O183" i="15"/>
  <c r="O191" i="15"/>
  <c r="O199" i="15"/>
  <c r="O207" i="15"/>
  <c r="O219" i="15"/>
  <c r="O147" i="15"/>
  <c r="O146" i="15"/>
  <c r="O154" i="15"/>
  <c r="O162" i="15"/>
  <c r="O170" i="15"/>
  <c r="O243" i="15"/>
  <c r="O235" i="15"/>
  <c r="O145" i="15"/>
  <c r="O148" i="15"/>
  <c r="O156" i="15"/>
  <c r="O164" i="15"/>
  <c r="O249" i="15"/>
  <c r="O241" i="15"/>
  <c r="O233" i="15"/>
  <c r="O225" i="15"/>
  <c r="O217" i="15"/>
  <c r="O10" i="15"/>
  <c r="O8" i="15"/>
  <c r="O6" i="15"/>
  <c r="O161" i="15"/>
  <c r="O174" i="15"/>
  <c r="O182" i="15"/>
  <c r="O190" i="15"/>
  <c r="O198" i="15"/>
  <c r="O206" i="15"/>
  <c r="O214" i="15"/>
  <c r="O222" i="15"/>
  <c r="O230" i="15"/>
  <c r="O238" i="15"/>
  <c r="O246" i="15"/>
  <c r="O159" i="15"/>
  <c r="O173" i="15"/>
  <c r="O181" i="15"/>
  <c r="O189" i="15"/>
  <c r="O197" i="15"/>
  <c r="O205" i="15"/>
  <c r="O215" i="15"/>
  <c r="O157" i="15"/>
  <c r="O172" i="15"/>
  <c r="O180" i="15"/>
  <c r="O188" i="15"/>
  <c r="O196" i="15"/>
  <c r="O204" i="15"/>
  <c r="O212" i="15"/>
  <c r="O220" i="15"/>
  <c r="O228" i="15"/>
  <c r="O236" i="15"/>
  <c r="O244" i="15"/>
  <c r="O155" i="15"/>
  <c r="O171" i="15"/>
  <c r="O179" i="15"/>
  <c r="O187" i="15"/>
  <c r="O195" i="15"/>
  <c r="O203" i="15"/>
  <c r="O211" i="15"/>
  <c r="O227" i="15"/>
  <c r="O81" i="15"/>
  <c r="O63" i="15"/>
  <c r="O54" i="15"/>
  <c r="O44" i="15"/>
  <c r="O141" i="15"/>
  <c r="O136" i="15"/>
  <c r="O130" i="15"/>
  <c r="O104" i="15"/>
  <c r="O92" i="15"/>
  <c r="O65" i="15"/>
  <c r="O60" i="15"/>
  <c r="O53" i="15"/>
  <c r="O99" i="15"/>
  <c r="O132" i="15"/>
  <c r="O143" i="15"/>
  <c r="O75" i="15"/>
  <c r="O123" i="15"/>
  <c r="O87" i="15"/>
  <c r="O82" i="15"/>
  <c r="O79" i="15"/>
  <c r="O76" i="15"/>
  <c r="O72" i="15"/>
  <c r="O40" i="15"/>
  <c r="O36" i="15"/>
  <c r="O34" i="15"/>
  <c r="O32" i="15"/>
  <c r="O33" i="15"/>
  <c r="O119" i="15"/>
  <c r="O114" i="15"/>
  <c r="O94" i="15"/>
  <c r="O77" i="15"/>
  <c r="O61" i="15"/>
  <c r="O110" i="15"/>
  <c r="O102" i="15"/>
  <c r="O70" i="15"/>
  <c r="O62" i="15"/>
  <c r="O30" i="15"/>
  <c r="O20" i="15"/>
  <c r="O16" i="15"/>
  <c r="O133" i="15"/>
  <c r="O117" i="15"/>
  <c r="O101" i="15"/>
  <c r="O68" i="15"/>
  <c r="O50" i="15"/>
  <c r="O39" i="15"/>
  <c r="O28" i="15"/>
  <c r="O142" i="15"/>
  <c r="O137" i="15"/>
  <c r="O116" i="15"/>
  <c r="O109" i="15"/>
  <c r="O95" i="15"/>
  <c r="O90" i="15"/>
  <c r="O52" i="15"/>
  <c r="O124" i="15"/>
  <c r="O118" i="15"/>
  <c r="O107" i="15"/>
  <c r="O105" i="15"/>
  <c r="O86" i="15"/>
  <c r="O71" i="15"/>
  <c r="O59" i="15"/>
  <c r="O41" i="15"/>
  <c r="O26" i="15"/>
  <c r="O23" i="15"/>
  <c r="O17" i="15"/>
  <c r="O14" i="15"/>
  <c r="O21" i="15"/>
  <c r="O69" i="15"/>
  <c r="O56" i="15"/>
  <c r="O51" i="15"/>
  <c r="O37" i="15"/>
  <c r="O122" i="15"/>
  <c r="O131" i="15"/>
  <c r="O138" i="15"/>
  <c r="O97" i="15"/>
  <c r="O83" i="15"/>
  <c r="O55" i="15"/>
  <c r="O139" i="15"/>
  <c r="O140" i="15"/>
  <c r="O88" i="15"/>
  <c r="O12" i="15"/>
  <c r="O135" i="15"/>
  <c r="O108" i="15"/>
  <c r="O129" i="15"/>
  <c r="O89" i="15"/>
  <c r="O85" i="15"/>
  <c r="O80" i="15"/>
  <c r="O78" i="15"/>
  <c r="O73" i="15"/>
  <c r="O46" i="15"/>
  <c r="O42" i="15"/>
  <c r="O38" i="15"/>
  <c r="O35" i="15"/>
  <c r="O31" i="15"/>
  <c r="C55" i="16"/>
  <c r="C19" i="16"/>
  <c r="E19" i="16"/>
  <c r="E43" i="16"/>
  <c r="D38" i="16"/>
  <c r="D87" i="16"/>
  <c r="S80" i="16"/>
  <c r="Q60" i="16"/>
  <c r="S74" i="16"/>
  <c r="S73" i="16"/>
  <c r="R68" i="16"/>
  <c r="Q63" i="16"/>
  <c r="Q59" i="16"/>
  <c r="S70" i="16"/>
  <c r="C69" i="16"/>
  <c r="E69" i="16"/>
  <c r="L60" i="16"/>
  <c r="N60" i="16"/>
  <c r="F65" i="16"/>
  <c r="S69" i="16"/>
  <c r="P76" i="16"/>
  <c r="S64" i="16"/>
  <c r="R71" i="16"/>
  <c r="S67" i="16"/>
  <c r="F64" i="16"/>
  <c r="H64" i="16"/>
  <c r="Q79" i="16"/>
  <c r="S62" i="16"/>
  <c r="I64" i="16"/>
  <c r="K64" i="16"/>
  <c r="R67" i="16"/>
  <c r="S63" i="16"/>
  <c r="S54" i="16"/>
  <c r="P70" i="16"/>
  <c r="F45" i="16"/>
  <c r="G41" i="16"/>
  <c r="D24" i="16"/>
  <c r="E29" i="16"/>
  <c r="H43" i="16"/>
  <c r="F8" i="16"/>
  <c r="L75" i="16"/>
  <c r="N75" i="16"/>
  <c r="S59" i="16"/>
  <c r="Q75" i="16"/>
  <c r="I65" i="16"/>
  <c r="S61" i="16"/>
  <c r="C64" i="16"/>
  <c r="E64" i="16"/>
  <c r="F63" i="16"/>
  <c r="H63" i="16"/>
  <c r="F29" i="16"/>
  <c r="C27" i="16"/>
  <c r="S60" i="16"/>
  <c r="C8" i="16"/>
  <c r="D44" i="16"/>
  <c r="E39" i="16"/>
  <c r="O73" i="16"/>
  <c r="D45" i="16"/>
  <c r="F41" i="16"/>
  <c r="L69" i="16"/>
  <c r="N69" i="16"/>
  <c r="L54" i="16"/>
  <c r="N54" i="16"/>
  <c r="I63" i="16"/>
  <c r="K63" i="16"/>
  <c r="S76" i="16"/>
  <c r="S55" i="16"/>
  <c r="R59" i="16"/>
  <c r="Q71" i="16"/>
  <c r="Q55" i="16"/>
  <c r="S79" i="16"/>
  <c r="S58" i="16"/>
  <c r="D21" i="16"/>
  <c r="D27" i="16"/>
  <c r="E27" i="16"/>
  <c r="R76" i="16"/>
  <c r="S65" i="16"/>
  <c r="S56" i="16"/>
  <c r="R77" i="16"/>
  <c r="R80" i="16"/>
  <c r="C20" i="16"/>
  <c r="R72" i="16"/>
  <c r="E26" i="16"/>
  <c r="D94" i="16"/>
  <c r="D97" i="16"/>
  <c r="F20" i="16"/>
  <c r="R69" i="16"/>
  <c r="C21" i="16"/>
  <c r="P56" i="16"/>
  <c r="D25" i="16"/>
  <c r="G44" i="16"/>
  <c r="F38" i="16"/>
  <c r="C38" i="16"/>
  <c r="E38" i="16"/>
  <c r="C23" i="16"/>
  <c r="C40" i="16"/>
  <c r="D23" i="16"/>
  <c r="L63" i="16"/>
  <c r="N63" i="16"/>
  <c r="F69" i="16"/>
  <c r="H69" i="16"/>
  <c r="D7" i="16"/>
  <c r="E7" i="16"/>
  <c r="L80" i="16"/>
  <c r="I66" i="16"/>
  <c r="K66" i="16"/>
  <c r="C63" i="16"/>
  <c r="E63" i="16"/>
  <c r="S68" i="16"/>
  <c r="R79" i="16"/>
  <c r="R55" i="16"/>
  <c r="Q67" i="16"/>
  <c r="P80" i="16"/>
  <c r="S71" i="16"/>
  <c r="L65" i="16"/>
  <c r="G21" i="16"/>
  <c r="C65" i="16"/>
  <c r="R74" i="16"/>
  <c r="R73" i="16"/>
  <c r="C30" i="16"/>
  <c r="S77" i="16"/>
  <c r="F27" i="16"/>
  <c r="C94" i="16"/>
  <c r="C97" i="16"/>
  <c r="P66" i="16"/>
  <c r="D20" i="16"/>
  <c r="G29" i="16"/>
  <c r="S78" i="16"/>
  <c r="G25" i="16"/>
  <c r="G19" i="16"/>
  <c r="E28" i="16"/>
  <c r="C62" i="16"/>
  <c r="F44" i="16"/>
  <c r="E6" i="16"/>
  <c r="G28" i="16"/>
  <c r="C22" i="16"/>
  <c r="D42" i="16"/>
  <c r="G22" i="16"/>
  <c r="C24" i="16"/>
  <c r="E24" i="16"/>
  <c r="G38" i="16"/>
  <c r="C42" i="16"/>
  <c r="G40" i="16"/>
  <c r="F40" i="16"/>
  <c r="G24" i="16"/>
  <c r="G23" i="16"/>
  <c r="P74" i="16"/>
  <c r="L72" i="16"/>
  <c r="N72" i="16"/>
  <c r="R57" i="16"/>
  <c r="R64" i="16"/>
  <c r="I60" i="16"/>
  <c r="K60" i="16"/>
  <c r="Q57" i="16"/>
  <c r="R78" i="16"/>
  <c r="Q54" i="16"/>
  <c r="Q80" i="16"/>
  <c r="Q58" i="16"/>
  <c r="O78" i="16"/>
  <c r="T78" i="16"/>
  <c r="V78" i="16"/>
  <c r="L64" i="16"/>
  <c r="N64" i="16"/>
  <c r="I69" i="16"/>
  <c r="K69" i="16"/>
  <c r="I73" i="16"/>
  <c r="K73" i="16"/>
  <c r="F77" i="16"/>
  <c r="R54" i="16"/>
  <c r="L70" i="16"/>
  <c r="N70" i="16"/>
  <c r="O79" i="16"/>
  <c r="P72" i="16"/>
  <c r="P65" i="16"/>
  <c r="Q69" i="16"/>
  <c r="O67" i="16"/>
  <c r="Q78" i="16"/>
  <c r="S75" i="16"/>
  <c r="R63" i="16"/>
  <c r="P78" i="16"/>
  <c r="R65" i="16"/>
  <c r="P69" i="16"/>
  <c r="R61" i="16"/>
  <c r="P54" i="16"/>
  <c r="O76" i="16"/>
  <c r="R66" i="16"/>
  <c r="P60" i="16"/>
  <c r="Q70" i="16"/>
  <c r="O77" i="16"/>
  <c r="C56" i="16"/>
  <c r="O63" i="16"/>
  <c r="P71" i="16"/>
  <c r="F59" i="16"/>
  <c r="I71" i="16"/>
  <c r="Q68" i="16"/>
  <c r="R56" i="16"/>
  <c r="P67" i="16"/>
  <c r="Q64" i="16"/>
  <c r="Q72" i="16"/>
  <c r="Q56" i="16"/>
  <c r="O65" i="16"/>
  <c r="I62" i="16"/>
  <c r="F70" i="16"/>
  <c r="H70" i="16"/>
  <c r="L77" i="16"/>
  <c r="P61" i="16"/>
  <c r="C77" i="16"/>
  <c r="Q73" i="16"/>
  <c r="R70" i="16"/>
  <c r="Q65" i="16"/>
  <c r="P62" i="16"/>
  <c r="O56" i="16"/>
  <c r="P63" i="16"/>
  <c r="L73" i="16"/>
  <c r="N73" i="16"/>
  <c r="L68" i="16"/>
  <c r="Q77" i="16"/>
  <c r="O58" i="16"/>
  <c r="O80" i="16"/>
  <c r="T80" i="16"/>
  <c r="L61" i="16"/>
  <c r="N61" i="16"/>
  <c r="L66" i="16"/>
  <c r="N66" i="16"/>
  <c r="L57" i="16"/>
  <c r="N57" i="16"/>
  <c r="I59" i="16"/>
  <c r="G31" i="16"/>
  <c r="O64" i="16"/>
  <c r="L76" i="16"/>
  <c r="N76" i="16"/>
  <c r="F66" i="16"/>
  <c r="H66" i="16"/>
  <c r="C79" i="16"/>
  <c r="E79" i="16"/>
  <c r="C72" i="16"/>
  <c r="E72" i="16"/>
  <c r="F75" i="16"/>
  <c r="H75" i="16"/>
  <c r="I75" i="16"/>
  <c r="K75" i="16"/>
  <c r="O59" i="16"/>
  <c r="T59" i="16"/>
  <c r="F68" i="16"/>
  <c r="C73" i="16"/>
  <c r="E73" i="16"/>
  <c r="I61" i="16"/>
  <c r="K61" i="16"/>
  <c r="P57" i="16"/>
  <c r="S72" i="16"/>
  <c r="S66" i="16"/>
  <c r="O69" i="16"/>
  <c r="T69" i="16"/>
  <c r="V69" i="16"/>
  <c r="O62" i="16"/>
  <c r="L62" i="16"/>
  <c r="O61" i="16"/>
  <c r="I68" i="16"/>
  <c r="O70" i="16"/>
  <c r="I54" i="16"/>
  <c r="K54" i="16"/>
  <c r="R60" i="16"/>
  <c r="O55" i="16"/>
  <c r="F62" i="16"/>
  <c r="C68" i="16"/>
  <c r="O60" i="16"/>
  <c r="O72" i="16"/>
  <c r="T72" i="16"/>
  <c r="V72" i="16"/>
  <c r="F9" i="16"/>
  <c r="D11" i="16"/>
  <c r="F67" i="16"/>
  <c r="H67" i="16"/>
  <c r="I55" i="16"/>
  <c r="K55" i="16"/>
  <c r="E55" i="16"/>
  <c r="L55" i="16"/>
  <c r="N55" i="16"/>
  <c r="F54" i="16"/>
  <c r="H54" i="16"/>
  <c r="I56" i="16"/>
  <c r="Q74" i="16"/>
  <c r="F72" i="16"/>
  <c r="H72" i="16"/>
  <c r="F60" i="16"/>
  <c r="H60" i="16"/>
  <c r="P59" i="16"/>
  <c r="I57" i="16"/>
  <c r="K57" i="16"/>
  <c r="O74" i="16"/>
  <c r="L74" i="16"/>
  <c r="F76" i="16"/>
  <c r="H76" i="16"/>
  <c r="C67" i="16"/>
  <c r="E67" i="16"/>
  <c r="P73" i="16"/>
  <c r="T73" i="16"/>
  <c r="V73" i="16"/>
  <c r="I74" i="16"/>
  <c r="L67" i="16"/>
  <c r="N67" i="16"/>
  <c r="O66" i="16"/>
  <c r="C70" i="16"/>
  <c r="E70" i="16"/>
  <c r="L58" i="16"/>
  <c r="N58" i="16"/>
  <c r="F11" i="16"/>
  <c r="F57" i="16"/>
  <c r="H57" i="16"/>
  <c r="C60" i="16"/>
  <c r="E60" i="16"/>
  <c r="C66" i="16"/>
  <c r="E66" i="16"/>
  <c r="L78" i="16"/>
  <c r="N78" i="16"/>
  <c r="I79" i="16"/>
  <c r="K79" i="16"/>
  <c r="C61" i="16"/>
  <c r="E61" i="16"/>
  <c r="S57" i="16"/>
  <c r="F79" i="16"/>
  <c r="H79" i="16"/>
  <c r="I67" i="16"/>
  <c r="K67" i="16"/>
  <c r="C74" i="16"/>
  <c r="L59" i="16"/>
  <c r="L56" i="16"/>
  <c r="C76" i="16"/>
  <c r="E76" i="16"/>
  <c r="C58" i="16"/>
  <c r="E58" i="16"/>
  <c r="I77" i="16"/>
  <c r="C57" i="16"/>
  <c r="E57" i="16"/>
  <c r="F10" i="16"/>
  <c r="G9" i="16"/>
  <c r="D32" i="16"/>
  <c r="C32" i="16"/>
  <c r="F33" i="16"/>
  <c r="O57" i="16"/>
  <c r="C75" i="16"/>
  <c r="E75" i="16"/>
  <c r="G10" i="16"/>
  <c r="D10" i="16"/>
  <c r="C10" i="16"/>
  <c r="C11" i="16"/>
  <c r="F31" i="16"/>
  <c r="G33" i="16"/>
  <c r="D33" i="16"/>
  <c r="F32" i="16"/>
  <c r="F56" i="16"/>
  <c r="G11" i="16"/>
  <c r="D9" i="16"/>
  <c r="G32" i="16"/>
  <c r="D31" i="16"/>
  <c r="C33" i="16"/>
  <c r="H39" i="16"/>
  <c r="I58" i="16"/>
  <c r="K58" i="16"/>
  <c r="F61" i="16"/>
  <c r="H61" i="16"/>
  <c r="F74" i="16"/>
  <c r="C80" i="16"/>
  <c r="F55" i="16"/>
  <c r="C59" i="16"/>
  <c r="F58" i="16"/>
  <c r="H58" i="16"/>
  <c r="F80" i="16"/>
  <c r="I76" i="16"/>
  <c r="K76" i="16"/>
  <c r="L71" i="16"/>
  <c r="F78" i="16"/>
  <c r="H78" i="16"/>
  <c r="F73" i="16"/>
  <c r="H73" i="16"/>
  <c r="I80" i="16"/>
  <c r="I70" i="16"/>
  <c r="K70" i="16"/>
  <c r="P68" i="16"/>
  <c r="L79" i="16"/>
  <c r="P55" i="16"/>
  <c r="F71" i="16"/>
  <c r="P77" i="16"/>
  <c r="O68" i="16"/>
  <c r="P58" i="16"/>
  <c r="P79" i="16"/>
  <c r="Q76" i="16"/>
  <c r="O71" i="16"/>
  <c r="T71" i="16"/>
  <c r="P64" i="16"/>
  <c r="R58" i="16"/>
  <c r="C71" i="16"/>
  <c r="C45" i="16"/>
  <c r="G45" i="16"/>
  <c r="G6" i="16"/>
  <c r="C44" i="16"/>
  <c r="I78" i="16"/>
  <c r="K78" i="16"/>
  <c r="C78" i="16"/>
  <c r="E78" i="16"/>
  <c r="I72" i="16"/>
  <c r="K72" i="16"/>
  <c r="C54" i="16"/>
  <c r="E54" i="16"/>
  <c r="D41" i="16"/>
  <c r="C41" i="16"/>
  <c r="F23" i="16"/>
  <c r="P75" i="16"/>
  <c r="F22" i="16"/>
  <c r="D22" i="16"/>
  <c r="F24" i="16"/>
  <c r="O75" i="16"/>
  <c r="F28" i="16"/>
  <c r="F26" i="16"/>
  <c r="Q61" i="16"/>
  <c r="R62" i="16"/>
  <c r="R83" i="16"/>
  <c r="O54" i="16"/>
  <c r="Q66" i="16"/>
  <c r="R75" i="16"/>
  <c r="Q62" i="16"/>
  <c r="G27" i="16"/>
  <c r="C87" i="16"/>
  <c r="S83" i="16"/>
  <c r="E8" i="16"/>
  <c r="E21" i="16"/>
  <c r="S82" i="16"/>
  <c r="R81" i="16"/>
  <c r="H23" i="16"/>
  <c r="H22" i="16"/>
  <c r="H20" i="16"/>
  <c r="H19" i="16"/>
  <c r="H9" i="16"/>
  <c r="H25" i="16"/>
  <c r="G30" i="16"/>
  <c r="D30" i="16"/>
  <c r="E30" i="16"/>
  <c r="F21" i="16"/>
  <c r="F30" i="16"/>
  <c r="H29" i="16"/>
  <c r="H10" i="16"/>
  <c r="H32" i="16"/>
  <c r="H26" i="16"/>
  <c r="H31" i="16"/>
  <c r="H28" i="16"/>
  <c r="H38" i="16"/>
  <c r="E11" i="16"/>
  <c r="S81" i="16"/>
  <c r="T66" i="16"/>
  <c r="V66" i="16"/>
  <c r="T77" i="16"/>
  <c r="P81" i="16"/>
  <c r="E48" i="16"/>
  <c r="H48" i="16"/>
  <c r="C12" i="16"/>
  <c r="E9" i="16"/>
  <c r="E31" i="16"/>
  <c r="D4" i="16"/>
  <c r="D13" i="16"/>
  <c r="D3" i="16"/>
  <c r="D12" i="16"/>
  <c r="E33" i="16"/>
  <c r="E40" i="16"/>
  <c r="H40" i="16"/>
  <c r="T63" i="16"/>
  <c r="V63" i="16"/>
  <c r="T76" i="16"/>
  <c r="V76" i="16"/>
  <c r="L81" i="16"/>
  <c r="N81" i="16"/>
  <c r="T60" i="16"/>
  <c r="V60" i="16"/>
  <c r="T65" i="16"/>
  <c r="E23" i="16"/>
  <c r="C13" i="16"/>
  <c r="E20" i="16"/>
  <c r="E42" i="16"/>
  <c r="G3" i="16"/>
  <c r="G12" i="16"/>
  <c r="I83" i="16"/>
  <c r="T70" i="16"/>
  <c r="V70" i="16"/>
  <c r="L83" i="16"/>
  <c r="T67" i="16"/>
  <c r="V67" i="16"/>
  <c r="R82" i="16"/>
  <c r="T64" i="16"/>
  <c r="V64" i="16"/>
  <c r="T55" i="16"/>
  <c r="V55" i="16"/>
  <c r="C82" i="16"/>
  <c r="E82" i="16"/>
  <c r="T79" i="16"/>
  <c r="V79" i="16"/>
  <c r="T74" i="16"/>
  <c r="I82" i="16"/>
  <c r="K82" i="16"/>
  <c r="O82" i="16"/>
  <c r="E41" i="16"/>
  <c r="T62" i="16"/>
  <c r="T57" i="16"/>
  <c r="V57" i="16"/>
  <c r="T56" i="16"/>
  <c r="T68" i="16"/>
  <c r="P82" i="16"/>
  <c r="F83" i="16"/>
  <c r="F81" i="16"/>
  <c r="H81" i="16"/>
  <c r="E10" i="16"/>
  <c r="P83" i="16"/>
  <c r="C81" i="16"/>
  <c r="E81" i="16"/>
  <c r="Q82" i="16"/>
  <c r="T75" i="16"/>
  <c r="V75" i="16"/>
  <c r="E32" i="16"/>
  <c r="Q83" i="16"/>
  <c r="E46" i="16"/>
  <c r="G4" i="16"/>
  <c r="G13" i="16"/>
  <c r="O83" i="16"/>
  <c r="N79" i="16"/>
  <c r="L82" i="16"/>
  <c r="N82" i="16"/>
  <c r="E25" i="16"/>
  <c r="E45" i="16"/>
  <c r="T61" i="16"/>
  <c r="V61" i="16"/>
  <c r="F3" i="16"/>
  <c r="F12" i="16"/>
  <c r="C83" i="16"/>
  <c r="G5" i="16"/>
  <c r="G14" i="16"/>
  <c r="O81" i="16"/>
  <c r="T54" i="16"/>
  <c r="V54" i="16"/>
  <c r="F4" i="16"/>
  <c r="F13" i="16"/>
  <c r="Q81" i="16"/>
  <c r="I81" i="16"/>
  <c r="K81" i="16"/>
  <c r="E22" i="16"/>
  <c r="E47" i="16"/>
  <c r="C5" i="16"/>
  <c r="C14" i="16"/>
  <c r="E44" i="16"/>
  <c r="T58" i="16"/>
  <c r="V58" i="16"/>
  <c r="F82" i="16"/>
  <c r="H82" i="16"/>
  <c r="H55" i="16"/>
  <c r="F5" i="16"/>
  <c r="F14" i="16"/>
  <c r="D5" i="16"/>
  <c r="D14" i="16"/>
  <c r="E3" i="16"/>
  <c r="H42" i="16"/>
  <c r="E4" i="16"/>
  <c r="H41" i="16"/>
  <c r="T82" i="16"/>
  <c r="V82" i="16"/>
  <c r="T83" i="16"/>
  <c r="T81" i="16"/>
  <c r="V81" i="16"/>
  <c r="H46" i="16"/>
  <c r="H47" i="16"/>
  <c r="H44" i="16"/>
  <c r="H45" i="16"/>
  <c r="E5" i="16"/>
  <c r="E14" i="16"/>
  <c r="E12" i="16"/>
  <c r="E13" i="16"/>
</calcChain>
</file>

<file path=xl/comments1.xml><?xml version="1.0" encoding="utf-8"?>
<comments xmlns="http://schemas.openxmlformats.org/spreadsheetml/2006/main">
  <authors>
    <author>Vinant Manon</author>
  </authors>
  <commentList>
    <comment ref="R1" authorId="0">
      <text>
        <r>
          <rPr>
            <b/>
            <sz val="9"/>
            <color indexed="81"/>
            <rFont val="Tahoma"/>
            <family val="2"/>
          </rPr>
          <t>Vinant Manon:</t>
        </r>
        <r>
          <rPr>
            <sz val="9"/>
            <color indexed="81"/>
            <rFont val="Tahoma"/>
            <family val="2"/>
          </rPr>
          <t xml:space="preserve">
Comprend Rize ARCHI VALO et MEDIATHEQUE</t>
        </r>
      </text>
    </comment>
  </commentList>
</comments>
</file>

<file path=xl/comments2.xml><?xml version="1.0" encoding="utf-8"?>
<comments xmlns="http://schemas.openxmlformats.org/spreadsheetml/2006/main">
  <authors>
    <author>Utilisateur de Microsoft Office</author>
  </authors>
  <commentList>
    <comment ref="A3" authorId="0">
      <text>
        <r>
          <rPr>
            <b/>
            <sz val="10"/>
            <color indexed="81"/>
            <rFont val="Calibri"/>
            <family val="2"/>
          </rPr>
          <t>Utilisateur de Microsoft Office:</t>
        </r>
        <r>
          <rPr>
            <sz val="10"/>
            <color indexed="81"/>
            <rFont val="Calibri"/>
            <family val="2"/>
          </rPr>
          <t xml:space="preserve">
Comprend aussi les accueils en binôme du Rize, dans lesquels les médiathécaires ont participé.</t>
        </r>
      </text>
    </comment>
    <comment ref="A6" authorId="0">
      <text>
        <r>
          <rPr>
            <b/>
            <sz val="10"/>
            <color indexed="81"/>
            <rFont val="Calibri"/>
            <family val="2"/>
          </rPr>
          <t>Utilisateur de Microsoft Office:</t>
        </r>
        <r>
          <rPr>
            <sz val="10"/>
            <color indexed="81"/>
            <rFont val="Calibri"/>
            <family val="2"/>
          </rPr>
          <t xml:space="preserve">
Accueils en binôme avec la partie médiathèque comptés dans la ligne "Réseau des médiathèques"
Compte donc seulement sur la colonne B. Quand Rize Archi ou Rize Valo est en binôme de Rize Med en colonne C, il est comptabilisé dans Réseau des méd.</t>
        </r>
      </text>
    </comment>
    <comment ref="K9" authorId="0">
      <text>
        <r>
          <rPr>
            <b/>
            <sz val="10"/>
            <color indexed="81"/>
            <rFont val="Calibri"/>
            <family val="2"/>
          </rPr>
          <t>Utilisateur de Microsoft Office:</t>
        </r>
        <r>
          <rPr>
            <sz val="10"/>
            <color indexed="81"/>
            <rFont val="Calibri"/>
            <family val="2"/>
          </rPr>
          <t xml:space="preserve">
/! Mettre RIZE MED toujours en colonne B et non C. Jamais en secteur binôme.
</t>
        </r>
      </text>
    </comment>
    <comment ref="A22" authorId="0">
      <text>
        <r>
          <rPr>
            <b/>
            <sz val="10"/>
            <color indexed="81"/>
            <rFont val="Calibri"/>
            <family val="2"/>
          </rPr>
          <t>Utilisateur de Microsoft Office:</t>
        </r>
        <r>
          <rPr>
            <sz val="10"/>
            <color indexed="81"/>
            <rFont val="Calibri"/>
            <family val="2"/>
          </rPr>
          <t xml:space="preserve">
Accueils au Rize que ce soit aux archives, à la médiathèque ou en valorisation culturelle</t>
        </r>
      </text>
    </comment>
    <comment ref="A36" authorId="0">
      <text>
        <r>
          <rPr>
            <b/>
            <sz val="10"/>
            <color indexed="81"/>
            <rFont val="Calibri"/>
            <family val="2"/>
          </rPr>
          <t>Utilisateur de Microsoft Office:</t>
        </r>
        <r>
          <rPr>
            <sz val="10"/>
            <color indexed="81"/>
            <rFont val="Calibri"/>
            <family val="2"/>
          </rPr>
          <t xml:space="preserve">
Un accueil de classe effectué en binôme sera alors compté 2 fois, une fois dans chaque secteur.
</t>
        </r>
      </text>
    </comment>
    <comment ref="A44" authorId="0">
      <text>
        <r>
          <rPr>
            <b/>
            <sz val="10"/>
            <color indexed="81"/>
            <rFont val="Calibri"/>
            <family val="2"/>
          </rPr>
          <t>Utilisateur de Microsoft Office:</t>
        </r>
        <r>
          <rPr>
            <sz val="10"/>
            <color indexed="81"/>
            <rFont val="Calibri"/>
            <family val="2"/>
          </rPr>
          <t xml:space="preserve">
/! Mettre RIZE MED toujours en colonne B et non C. Jamais en secteur binôme.
</t>
        </r>
      </text>
    </comment>
  </commentList>
</comments>
</file>

<file path=xl/sharedStrings.xml><?xml version="1.0" encoding="utf-8"?>
<sst xmlns="http://schemas.openxmlformats.org/spreadsheetml/2006/main" count="683" uniqueCount="245">
  <si>
    <t>Date venue</t>
  </si>
  <si>
    <t>Commentaires</t>
  </si>
  <si>
    <t>Niveau de classe</t>
  </si>
  <si>
    <t>Recherche documentaire</t>
  </si>
  <si>
    <t>Niveaux classe</t>
  </si>
  <si>
    <t>ps</t>
  </si>
  <si>
    <t>ps/ms</t>
  </si>
  <si>
    <t>ps/gs</t>
  </si>
  <si>
    <t>tps</t>
  </si>
  <si>
    <t>ms</t>
  </si>
  <si>
    <t>ms/gs</t>
  </si>
  <si>
    <t>cp</t>
  </si>
  <si>
    <t>cp/ce1</t>
  </si>
  <si>
    <t>ce1</t>
  </si>
  <si>
    <t>ce1/ce2</t>
  </si>
  <si>
    <t>ce2</t>
  </si>
  <si>
    <t>ce2/cm1</t>
  </si>
  <si>
    <t>cm1</t>
  </si>
  <si>
    <t>cm1/cm2</t>
  </si>
  <si>
    <t>cm2</t>
  </si>
  <si>
    <t>6°</t>
  </si>
  <si>
    <t>5°</t>
  </si>
  <si>
    <t>4°</t>
  </si>
  <si>
    <t>3°</t>
  </si>
  <si>
    <t>2°</t>
  </si>
  <si>
    <t>1°</t>
  </si>
  <si>
    <t>Tle</t>
  </si>
  <si>
    <t>autres (maternelle)</t>
  </si>
  <si>
    <t>autres (collège)</t>
  </si>
  <si>
    <t>Tonkin</t>
  </si>
  <si>
    <t>Rize</t>
  </si>
  <si>
    <t>Première lecture</t>
  </si>
  <si>
    <t>Conte</t>
  </si>
  <si>
    <t>Album</t>
  </si>
  <si>
    <t>Il était une fois l'art contemporain</t>
  </si>
  <si>
    <t>Et si on parlait d'art ?</t>
  </si>
  <si>
    <t>Diptyque</t>
  </si>
  <si>
    <t>La maison des livres</t>
  </si>
  <si>
    <t>Louis Armand</t>
  </si>
  <si>
    <t>Berthelot</t>
  </si>
  <si>
    <t>Albert Camus</t>
  </si>
  <si>
    <t>Château-Gaillard</t>
  </si>
  <si>
    <t>Croix-Luizet</t>
  </si>
  <si>
    <t>Descartes</t>
  </si>
  <si>
    <t>Jules Ferry</t>
  </si>
  <si>
    <t>Anatole France</t>
  </si>
  <si>
    <t>Lazare Goujon</t>
  </si>
  <si>
    <t>Jules Guesde</t>
  </si>
  <si>
    <t>Léon Jouhaux</t>
  </si>
  <si>
    <t>Lakanal</t>
  </si>
  <si>
    <t>Jean Moulin</t>
  </si>
  <si>
    <t>René Pellet (déficients visuels)</t>
  </si>
  <si>
    <t>Louis Pasteur</t>
  </si>
  <si>
    <t>Antonin Perrin</t>
  </si>
  <si>
    <t>Jean Zay</t>
  </si>
  <si>
    <t>Emile Zola</t>
  </si>
  <si>
    <t>Collège des Iris</t>
  </si>
  <si>
    <t>Hors Villeurbanne</t>
  </si>
  <si>
    <t>Collège Jean Macé</t>
  </si>
  <si>
    <t>Jacques Prévert</t>
  </si>
  <si>
    <t>Saint Exupéry</t>
  </si>
  <si>
    <t>François Truffaut</t>
  </si>
  <si>
    <t>Collège Lamartine</t>
  </si>
  <si>
    <t>Collège du Tonkin</t>
  </si>
  <si>
    <t>Collège Louis Jouvet</t>
  </si>
  <si>
    <t>Tapis à conter</t>
  </si>
  <si>
    <t>Jean Jaurès (primaire)</t>
  </si>
  <si>
    <t>Tonkin/Nigritelle</t>
  </si>
  <si>
    <t>Résidence FDL</t>
  </si>
  <si>
    <t>Projet FDL</t>
  </si>
  <si>
    <t>Arrêt Bibliobus</t>
  </si>
  <si>
    <t>Exploration urbaine</t>
  </si>
  <si>
    <t>Visite découverte</t>
  </si>
  <si>
    <t>Visite à la carte</t>
  </si>
  <si>
    <t>Autre</t>
  </si>
  <si>
    <t>Visite thématique</t>
  </si>
  <si>
    <t>Collège</t>
  </si>
  <si>
    <t>Lycée</t>
  </si>
  <si>
    <t>autres (lycée)</t>
  </si>
  <si>
    <t>ULIS (école)</t>
  </si>
  <si>
    <t>ULIS (collège)</t>
  </si>
  <si>
    <t>ULIS (lycée)</t>
  </si>
  <si>
    <t>Buers-Croix-Luizet</t>
  </si>
  <si>
    <t>Charpennes-Tonkin</t>
  </si>
  <si>
    <t>Cusset-Bonnevay</t>
  </si>
  <si>
    <t>Saint Jean</t>
  </si>
  <si>
    <t>Gratte-ciel-Dedieu-Charmettes</t>
  </si>
  <si>
    <t>Artothèque</t>
  </si>
  <si>
    <t>Collège des Gratte-Ciel (Môrice Leroux)</t>
  </si>
  <si>
    <t>gs</t>
  </si>
  <si>
    <t>Nombre enfants</t>
  </si>
  <si>
    <t>2° pro</t>
  </si>
  <si>
    <t>1° pro</t>
  </si>
  <si>
    <t>Tle pro</t>
  </si>
  <si>
    <t>Lycée Alfred de Musset</t>
  </si>
  <si>
    <t>Lycée Marie Curie</t>
  </si>
  <si>
    <t>Lycée Pierre Brossolette</t>
  </si>
  <si>
    <t>Rosa Parks</t>
  </si>
  <si>
    <t>Ernest Renan A</t>
  </si>
  <si>
    <t>Ernest Renan B</t>
  </si>
  <si>
    <t>Lycée Magenta</t>
  </si>
  <si>
    <t>In situ / hors les murs</t>
  </si>
  <si>
    <t>In situ</t>
  </si>
  <si>
    <t>Hors les murs</t>
  </si>
  <si>
    <t>De la littérature au cinéma</t>
  </si>
  <si>
    <t>MLIS</t>
  </si>
  <si>
    <t>Secteur jeunesse</t>
  </si>
  <si>
    <t>Secteur adultes</t>
  </si>
  <si>
    <t>Collège Jean Jaurès</t>
  </si>
  <si>
    <t>MTK</t>
  </si>
  <si>
    <t>PAC-BUS</t>
  </si>
  <si>
    <t>MLIS DV</t>
  </si>
  <si>
    <t>EMM</t>
  </si>
  <si>
    <t>MLIS J</t>
  </si>
  <si>
    <t>MLIS A</t>
  </si>
  <si>
    <t>Discothèque-vidéothèque</t>
  </si>
  <si>
    <t>Espace multimédia</t>
  </si>
  <si>
    <t>PAC - Bibliobus</t>
  </si>
  <si>
    <t>Secteur organisateur</t>
  </si>
  <si>
    <t>ARTO</t>
  </si>
  <si>
    <t>Lycée Frédéric Faÿs</t>
  </si>
  <si>
    <t>Ferrandière-Maisons Neuves</t>
  </si>
  <si>
    <t>Spectacle</t>
  </si>
  <si>
    <t>RIZE</t>
  </si>
  <si>
    <t>FDL</t>
  </si>
  <si>
    <t>Enseignant référent (Nom Prénom)</t>
  </si>
  <si>
    <t>autres (élémentaire)</t>
  </si>
  <si>
    <t>Beth Menahem (privé)</t>
  </si>
  <si>
    <t>Ecole juive de Lyon (privé)</t>
  </si>
  <si>
    <t>Immaculée conception (privé)</t>
  </si>
  <si>
    <t>La Nativité (privé)</t>
  </si>
  <si>
    <t>Mère Teresa (privé)</t>
  </si>
  <si>
    <t>Montessori (privé)</t>
  </si>
  <si>
    <t>Ste Thérèse (privé)</t>
  </si>
  <si>
    <t>Collège Jean-Vilar</t>
  </si>
  <si>
    <t>Quartier</t>
  </si>
  <si>
    <t>Quartiers</t>
  </si>
  <si>
    <t>Maternelle</t>
  </si>
  <si>
    <t>Elémentaire</t>
  </si>
  <si>
    <t>Groupe niveau</t>
  </si>
  <si>
    <t>Classe accueillie pour la…fois</t>
  </si>
  <si>
    <t>Ateliers</t>
  </si>
  <si>
    <t>Exposition</t>
  </si>
  <si>
    <t>Visite médiathèque</t>
  </si>
  <si>
    <t>Double jeu</t>
  </si>
  <si>
    <t>Coder avec Scratch</t>
  </si>
  <si>
    <t>Image &amp; son,  passages</t>
  </si>
  <si>
    <t>Secteur organisateur binôme</t>
  </si>
  <si>
    <t>Accueils de classe effectués</t>
  </si>
  <si>
    <t>Enfants accueillis</t>
  </si>
  <si>
    <t>Classes accueillies</t>
  </si>
  <si>
    <t>Ecole (Mat+Element)</t>
  </si>
  <si>
    <t>Totaux</t>
  </si>
  <si>
    <t>Nb de</t>
  </si>
  <si>
    <t>Bilan par établissement sur l'année scolaire</t>
  </si>
  <si>
    <t>TONKIN</t>
  </si>
  <si>
    <t>Bilan par secteur sur l'année scolaire</t>
  </si>
  <si>
    <t>MLIS D/V</t>
  </si>
  <si>
    <t>MLIS EMM</t>
  </si>
  <si>
    <t>PAC/BUS</t>
  </si>
  <si>
    <t>RIZE MED</t>
  </si>
  <si>
    <t>RIZE ARCHI</t>
  </si>
  <si>
    <t>Etablissement accueillant</t>
  </si>
  <si>
    <t>Accueils menés seulement par le Rize (hors médiathèque)</t>
  </si>
  <si>
    <t>Réseau des médiathèques*</t>
  </si>
  <si>
    <t>Autour de  la musique</t>
  </si>
  <si>
    <t>Autour du cinéma</t>
  </si>
  <si>
    <t>Visite poésie</t>
  </si>
  <si>
    <t>Recherche multimédias</t>
  </si>
  <si>
    <t>RIZE VALO</t>
  </si>
  <si>
    <t>Exploration sensorielle</t>
  </si>
  <si>
    <t>Exploration Gratte-Ciel</t>
  </si>
  <si>
    <t>Visite couplée</t>
  </si>
  <si>
    <t>ARTOTHEQUE</t>
  </si>
  <si>
    <t>RIZE ARCHIVES</t>
  </si>
  <si>
    <t>RIZE MEDIATHEQUE</t>
  </si>
  <si>
    <t>RIZE VALORISATION CULTURELLE</t>
  </si>
  <si>
    <t>TOTAUX</t>
  </si>
  <si>
    <t>Bilan par quartier sur l'année scolaire</t>
  </si>
  <si>
    <t>TKN</t>
  </si>
  <si>
    <t>Accueillie par</t>
  </si>
  <si>
    <t>Total</t>
  </si>
  <si>
    <t>%</t>
  </si>
  <si>
    <t>Sur</t>
  </si>
  <si>
    <t>Nb accueilli</t>
  </si>
  <si>
    <t>/</t>
  </si>
  <si>
    <t>Cyprian-les-Brosses</t>
  </si>
  <si>
    <t>Perralière-Grandclément</t>
  </si>
  <si>
    <t>Nombre d'accueils de classe in situ/hors les murs</t>
  </si>
  <si>
    <t>Nb d'accueils total</t>
  </si>
  <si>
    <t>MEMO POUR REMPLIR LE TABLEAU</t>
  </si>
  <si>
    <t>Ajouter un événement</t>
  </si>
  <si>
    <t>*</t>
  </si>
  <si>
    <t>Ne jamais insérer une nouvelle ligne, pour éviter des erreurs aux conséquences fatales (!)</t>
  </si>
  <si>
    <t>Se positionner à la fin du tableau, sur la première ligne non remplie et entrer les données</t>
  </si>
  <si>
    <t>Mes événements ont disparu : vérifier qu'un filtre n'est pas actif</t>
  </si>
  <si>
    <t>Pour désactiver le filtre, cliquer sur cet entonnoir, puis à la fin du menu déroulant, activer la case "sélectionner tout", cliquez sur OK : tous les cellules réapparaissent</t>
  </si>
  <si>
    <t>Attention, plusieurs filtres peuvent être activés en même temps : il faut tous les désactiver en suivant la procédure ci-dessus</t>
  </si>
  <si>
    <t>Se positionner à la fin du tableau sur une nouvelle ligne</t>
  </si>
  <si>
    <t>Remplir obligatoirement les colonnes A à J</t>
  </si>
  <si>
    <t>Colonne K "Commentaires" optionnelle</t>
  </si>
  <si>
    <t>Tableaux bilans</t>
  </si>
  <si>
    <r>
      <rPr>
        <b/>
        <sz val="11"/>
        <rFont val="Calibri"/>
        <family val="2"/>
        <scheme val="minor"/>
      </rPr>
      <t>Nombre d'enfants accueillis</t>
    </r>
    <r>
      <rPr>
        <sz val="11"/>
        <rFont val="Calibri"/>
        <family val="2"/>
        <charset val="1"/>
        <scheme val="minor"/>
      </rPr>
      <t xml:space="preserve"> : Relatif au nombre de classes accueillies. Ex : 25 enfants ayant été accueillis sur un cycle de 3 séances compteront pour 25. (ne compte que si la colonne J indique "Classe accueillie pour la 1ère fois")</t>
    </r>
  </si>
  <si>
    <t>Remplir la colonne F "Enseignant référent" en inscrivant d'abord le nom de l'enseignant, puis son prénom</t>
  </si>
  <si>
    <t>Type de visite</t>
  </si>
  <si>
    <t>Etablissement scolaire</t>
  </si>
  <si>
    <t>Niveau classe</t>
  </si>
  <si>
    <t>Données des colonnes L,M, N calculées de manière automatique, servant aux tableaux bilans : Ne pas y toucher</t>
  </si>
  <si>
    <t>Je veux ajouter un nouvel accueil entre deux déjà existants, de manière chronologique</t>
  </si>
  <si>
    <t xml:space="preserve">Dans chaque cellule de la première ligne du tableau, si un filtre est actif, un petit entonnoir apparaît : </t>
  </si>
  <si>
    <r>
      <rPr>
        <b/>
        <sz val="11"/>
        <rFont val="Calibri"/>
        <family val="2"/>
        <scheme val="minor"/>
      </rPr>
      <t>Nombre d’accueils de classe effectués</t>
    </r>
    <r>
      <rPr>
        <sz val="11"/>
        <rFont val="Calibri"/>
        <family val="2"/>
        <charset val="1"/>
        <scheme val="minor"/>
      </rPr>
      <t xml:space="preserve"> : On rend compte du nombre de passages de classes au sein de la bibliothèque. Ex : Une classe se rendant dans la bibliothèque tous les mois pendant un an sera comptée pour 12</t>
    </r>
  </si>
  <si>
    <r>
      <rPr>
        <b/>
        <sz val="11"/>
        <rFont val="Calibri"/>
        <family val="2"/>
      </rPr>
      <t>Nombre de classes accueillies</t>
    </r>
    <r>
      <rPr>
        <sz val="11"/>
        <rFont val="Calibri"/>
        <family val="2"/>
        <charset val="1"/>
      </rPr>
      <t xml:space="preserve"> : on ne compte pas le nombre de passages de classes dans les locaux de la bibliothèque mais le nombre de classes touchées par les actions de la bibliothèque. Ex : Une classe se rendant dans la bibliothèque tous les mois pendant un an sera comptée pour 1 et non pour 12</t>
    </r>
  </si>
  <si>
    <t>Se positionner sur la cellule A1 "Date venue", cliquer sur la flèche en bas à droite de la cellule et sélectionner "Trier du plus ancien au plus récent" afin de positionner les accueils dans l'ordre chronologique</t>
  </si>
  <si>
    <r>
      <t xml:space="preserve">Cas des accueils organisés en binôme : Inscrire dans l'ordre que vous souhaitez les deux secteurs concernés. SAUF pour les accueils effectués par la médiathèque du Rize (RIZE MED) qui doivent toujours être inscrits en colonne B.
</t>
    </r>
    <r>
      <rPr>
        <i/>
        <sz val="11"/>
        <rFont val="Calibri"/>
        <family val="2"/>
        <scheme val="minor"/>
      </rPr>
      <t>Ex : Accueil couplée médiathèque/médiation culturelle : En colonne B "RIZE MED", en colonne C "RIZE VALO"</t>
    </r>
  </si>
  <si>
    <t>Edouard Herriot</t>
  </si>
  <si>
    <t>Stop motion</t>
  </si>
  <si>
    <t>Ecole Horizons (privé)</t>
  </si>
  <si>
    <t>Collège Simone Lagrange</t>
  </si>
  <si>
    <t>Nombre d'accueils de classe effectués</t>
  </si>
  <si>
    <t>Simone Veil</t>
  </si>
  <si>
    <t>UP2A (élémentaire)</t>
  </si>
  <si>
    <t>UP2A (collège)</t>
  </si>
  <si>
    <t>Bilan global sur l'année scolaire 2018/2019</t>
  </si>
  <si>
    <t>Ecole (Mat+ Element)</t>
  </si>
  <si>
    <t>Réseau</t>
  </si>
  <si>
    <t>CléEtablissement</t>
  </si>
  <si>
    <t>DUPONT Laure</t>
  </si>
  <si>
    <t>CléRize</t>
  </si>
  <si>
    <t>Rizehorsmed</t>
  </si>
  <si>
    <t>CléRéseau-Rize horsmed</t>
  </si>
  <si>
    <t>cptréseau-rizehormed</t>
  </si>
  <si>
    <t>cptEtablissement</t>
  </si>
  <si>
    <t>cléTotal</t>
  </si>
  <si>
    <t>cptTotal</t>
  </si>
  <si>
    <t>cptrize</t>
  </si>
  <si>
    <t>GRIS Jean</t>
  </si>
  <si>
    <t>TROIS Pierre</t>
  </si>
  <si>
    <t>Résumé</t>
  </si>
  <si>
    <t>Il y a 11 secteurs</t>
  </si>
  <si>
    <t>constituant le réseau</t>
  </si>
  <si>
    <t>5 établissements</t>
  </si>
  <si>
    <t>Hors ville</t>
  </si>
  <si>
    <t>https://www.commentcamarche.net/forum/affich-35499266-calculer-l-occurrence-de-deux-donnees-pas-somme#p35504763</t>
  </si>
  <si>
    <t>x</t>
  </si>
  <si>
    <t>QUARTIERS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</si>
</sst>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30">
    <font>
      <sz val="11"/>
      <color theme="1"/>
      <name val="Calibri"/>
      <family val="2"/>
      <scheme val="minor"/>
    </font>
    <font>
      <sz val="11"/>
      <name val="Calibri"/>
      <family val="2"/>
      <charset val="1"/>
    </font>
    <font>
      <sz val="11"/>
      <name val="Calibri"/>
      <family val="2"/>
      <charset val="1"/>
      <scheme val="minor"/>
    </font>
    <font>
      <b/>
      <sz val="11"/>
      <color theme="1"/>
      <name val="Calibri"/>
      <family val="2"/>
      <scheme val="minor"/>
    </font>
    <font>
      <b/>
      <sz val="18"/>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sz val="10"/>
      <color indexed="81"/>
      <name val="Calibri"/>
      <family val="2"/>
    </font>
    <font>
      <b/>
      <sz val="10"/>
      <color indexed="81"/>
      <name val="Calibri"/>
      <family val="2"/>
    </font>
    <font>
      <b/>
      <sz val="14"/>
      <name val="Calibri"/>
      <family val="2"/>
    </font>
    <font>
      <sz val="11"/>
      <name val="Calibri"/>
      <family val="2"/>
      <scheme val="minor"/>
    </font>
    <font>
      <sz val="10"/>
      <name val="Univers"/>
      <family val="2"/>
    </font>
    <font>
      <b/>
      <sz val="11"/>
      <name val="Calibri"/>
      <family val="2"/>
      <scheme val="minor"/>
    </font>
    <font>
      <sz val="11"/>
      <name val="Calibri"/>
      <family val="2"/>
    </font>
    <font>
      <i/>
      <sz val="11"/>
      <name val="Calibri"/>
      <family val="2"/>
      <scheme val="minor"/>
    </font>
    <font>
      <b/>
      <sz val="11"/>
      <name val="Calibri"/>
      <family val="2"/>
    </font>
    <font>
      <sz val="9"/>
      <color theme="0"/>
      <name val="Calibri"/>
      <family val="2"/>
      <scheme val="minor"/>
    </font>
    <font>
      <sz val="11"/>
      <color rgb="FF000000"/>
      <name val="Calibri"/>
      <family val="2"/>
      <scheme val="minor"/>
    </font>
    <font>
      <b/>
      <sz val="9"/>
      <name val="Calibri"/>
      <family val="2"/>
      <scheme val="minor"/>
    </font>
    <font>
      <sz val="9"/>
      <color indexed="81"/>
      <name val="Tahoma"/>
      <family val="2"/>
    </font>
    <font>
      <b/>
      <sz val="9"/>
      <color indexed="81"/>
      <name val="Tahoma"/>
      <family val="2"/>
    </font>
    <font>
      <sz val="9"/>
      <color rgb="FFFF0000"/>
      <name val="Calibri"/>
      <family val="2"/>
      <scheme val="minor"/>
    </font>
    <font>
      <sz val="10"/>
      <color rgb="FFFF0000"/>
      <name val="Calibri"/>
      <family val="2"/>
      <scheme val="minor"/>
    </font>
    <font>
      <b/>
      <sz val="11"/>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s>
  <cellStyleXfs count="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11">
    <xf numFmtId="0" fontId="0" fillId="0" borderId="0" xfId="0"/>
    <xf numFmtId="0" fontId="0" fillId="0" borderId="0" xfId="0" applyAlignment="1">
      <alignment wrapText="1"/>
    </xf>
    <xf numFmtId="0" fontId="8" fillId="3" borderId="8" xfId="0" applyFont="1" applyFill="1" applyBorder="1" applyAlignment="1" applyProtection="1">
      <alignment horizontal="center" vertical="center"/>
    </xf>
    <xf numFmtId="0" fontId="0" fillId="0" borderId="0" xfId="0" applyBorder="1"/>
    <xf numFmtId="0" fontId="0" fillId="0" borderId="0" xfId="0" applyAlignment="1">
      <alignment horizontal="center"/>
    </xf>
    <xf numFmtId="0" fontId="0" fillId="5" borderId="37" xfId="0" applyFill="1" applyBorder="1" applyAlignment="1" applyProtection="1"/>
    <xf numFmtId="0" fontId="8" fillId="3" borderId="4" xfId="0" applyFont="1" applyFill="1" applyBorder="1" applyAlignment="1" applyProtection="1">
      <alignment horizontal="center" vertical="center"/>
    </xf>
    <xf numFmtId="0" fontId="6" fillId="3" borderId="3" xfId="0" applyFont="1" applyFill="1" applyBorder="1" applyAlignment="1" applyProtection="1">
      <alignment horizontal="center" wrapText="1"/>
    </xf>
    <xf numFmtId="0" fontId="6" fillId="3" borderId="39" xfId="0" applyFont="1" applyFill="1" applyBorder="1" applyAlignment="1" applyProtection="1">
      <alignment horizontal="center" wrapText="1"/>
    </xf>
    <xf numFmtId="0" fontId="8" fillId="3" borderId="16" xfId="0" applyFont="1" applyFill="1" applyBorder="1" applyAlignment="1" applyProtection="1">
      <alignment horizontal="center" vertical="center"/>
    </xf>
    <xf numFmtId="0" fontId="12" fillId="5" borderId="43" xfId="0" applyFont="1" applyFill="1" applyBorder="1" applyAlignment="1" applyProtection="1">
      <alignment horizontal="center"/>
    </xf>
    <xf numFmtId="0" fontId="3" fillId="3" borderId="14"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8" fillId="3" borderId="34" xfId="0" applyFont="1" applyFill="1" applyBorder="1" applyAlignment="1" applyProtection="1">
      <alignment horizontal="center" vertical="center"/>
    </xf>
    <xf numFmtId="0" fontId="6" fillId="7" borderId="39" xfId="0" applyFont="1" applyFill="1" applyBorder="1" applyAlignment="1" applyProtection="1">
      <alignment horizontal="center" wrapText="1"/>
    </xf>
    <xf numFmtId="0" fontId="8" fillId="7" borderId="23" xfId="0" applyFont="1" applyFill="1" applyBorder="1" applyAlignment="1" applyProtection="1">
      <alignment horizontal="center" vertical="center"/>
    </xf>
    <xf numFmtId="0" fontId="0" fillId="5" borderId="14" xfId="0" applyFill="1" applyBorder="1" applyAlignment="1" applyProtection="1"/>
    <xf numFmtId="0" fontId="0" fillId="5" borderId="6" xfId="0" applyFill="1" applyBorder="1" applyAlignment="1" applyProtection="1"/>
    <xf numFmtId="0" fontId="0" fillId="0" borderId="0" xfId="0" applyAlignment="1" applyProtection="1">
      <alignment wrapText="1"/>
      <protection locked="0"/>
    </xf>
    <xf numFmtId="0" fontId="0" fillId="0" borderId="0" xfId="0" applyProtection="1">
      <protection locked="0"/>
    </xf>
    <xf numFmtId="0" fontId="0" fillId="0" borderId="0" xfId="0" applyProtection="1">
      <protection hidden="1"/>
    </xf>
    <xf numFmtId="0" fontId="0" fillId="0" borderId="0" xfId="0" applyAlignment="1" applyProtection="1">
      <alignment wrapText="1"/>
      <protection locked="0" hidden="1"/>
    </xf>
    <xf numFmtId="0" fontId="6" fillId="3" borderId="2"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7" borderId="38" xfId="0" applyFont="1" applyFill="1" applyBorder="1" applyAlignment="1" applyProtection="1">
      <alignment horizontal="center" vertical="center"/>
    </xf>
    <xf numFmtId="0" fontId="6" fillId="7" borderId="23" xfId="0" applyFont="1" applyFill="1" applyBorder="1" applyAlignment="1" applyProtection="1">
      <alignment horizontal="center" vertical="center"/>
    </xf>
    <xf numFmtId="0" fontId="6" fillId="7" borderId="36"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0" fontId="8" fillId="7" borderId="36" xfId="0" applyFont="1" applyFill="1" applyBorder="1" applyAlignment="1" applyProtection="1">
      <alignment horizontal="center" vertical="center"/>
    </xf>
    <xf numFmtId="0" fontId="8" fillId="7" borderId="16" xfId="0" applyFont="1" applyFill="1" applyBorder="1" applyAlignment="1" applyProtection="1">
      <alignment horizontal="center" vertical="center"/>
    </xf>
    <xf numFmtId="0" fontId="8" fillId="7" borderId="32"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1" xfId="0" applyFont="1" applyFill="1" applyBorder="1" applyAlignment="1" applyProtection="1">
      <alignment horizontal="center" vertical="center"/>
    </xf>
    <xf numFmtId="0" fontId="8" fillId="3" borderId="48"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6" fillId="4" borderId="3" xfId="0" applyFont="1" applyFill="1" applyBorder="1" applyAlignment="1" applyProtection="1">
      <alignment horizontal="center" wrapText="1"/>
    </xf>
    <xf numFmtId="0" fontId="8" fillId="4" borderId="16" xfId="0" applyFont="1" applyFill="1" applyBorder="1" applyAlignment="1" applyProtection="1">
      <alignment horizontal="center" vertical="center"/>
    </xf>
    <xf numFmtId="0" fontId="6" fillId="4" borderId="39" xfId="0" applyFont="1" applyFill="1" applyBorder="1" applyAlignment="1" applyProtection="1">
      <alignment horizontal="center" wrapText="1"/>
    </xf>
    <xf numFmtId="0" fontId="7"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wrapText="1"/>
    </xf>
    <xf numFmtId="0" fontId="8"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34" xfId="0" applyFont="1" applyFill="1" applyBorder="1" applyAlignment="1" applyProtection="1">
      <alignment horizontal="center" vertical="center" wrapText="1"/>
    </xf>
    <xf numFmtId="11" fontId="6" fillId="2" borderId="22" xfId="0" applyNumberFormat="1" applyFont="1" applyFill="1" applyBorder="1" applyAlignment="1" applyProtection="1">
      <alignment horizontal="center" vertical="center"/>
    </xf>
    <xf numFmtId="11" fontId="6" fillId="2" borderId="5" xfId="0" applyNumberFormat="1" applyFont="1" applyFill="1" applyBorder="1" applyAlignment="1" applyProtection="1">
      <alignment horizontal="center" vertical="center"/>
    </xf>
    <xf numFmtId="0" fontId="7" fillId="4" borderId="4"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6" fillId="3" borderId="5" xfId="0" applyFont="1" applyFill="1" applyBorder="1" applyAlignment="1" applyProtection="1">
      <alignment horizontal="center" wrapText="1"/>
    </xf>
    <xf numFmtId="0" fontId="6" fillId="4" borderId="5" xfId="0" applyFont="1" applyFill="1" applyBorder="1" applyAlignment="1" applyProtection="1">
      <alignment horizontal="center" wrapText="1"/>
    </xf>
    <xf numFmtId="9" fontId="6" fillId="3" borderId="3" xfId="0" applyNumberFormat="1" applyFont="1" applyFill="1" applyBorder="1" applyAlignment="1" applyProtection="1">
      <alignment horizontal="center" vertical="center"/>
    </xf>
    <xf numFmtId="9" fontId="6" fillId="7" borderId="39" xfId="0" applyNumberFormat="1" applyFont="1" applyFill="1" applyBorder="1" applyAlignment="1" applyProtection="1">
      <alignment horizontal="center" vertical="center"/>
    </xf>
    <xf numFmtId="9" fontId="8" fillId="3" borderId="5" xfId="0" applyNumberFormat="1" applyFont="1" applyFill="1" applyBorder="1" applyAlignment="1" applyProtection="1">
      <alignment horizontal="center" vertical="center"/>
    </xf>
    <xf numFmtId="9" fontId="8" fillId="3" borderId="3" xfId="0" applyNumberFormat="1" applyFont="1" applyFill="1" applyBorder="1" applyAlignment="1" applyProtection="1">
      <alignment horizontal="center" vertical="center"/>
    </xf>
    <xf numFmtId="9" fontId="8" fillId="7" borderId="24" xfId="0" applyNumberFormat="1" applyFont="1" applyFill="1" applyBorder="1" applyAlignment="1" applyProtection="1">
      <alignment horizontal="center" vertical="center"/>
    </xf>
    <xf numFmtId="9" fontId="8" fillId="3" borderId="17" xfId="0" applyNumberFormat="1"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9" fontId="6" fillId="3" borderId="17" xfId="0" applyNumberFormat="1"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9" fontId="6" fillId="7" borderId="24" xfId="0" applyNumberFormat="1"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9" fontId="8" fillId="3" borderId="42" xfId="0" applyNumberFormat="1"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8" fillId="4" borderId="27" xfId="0" applyFont="1" applyFill="1" applyBorder="1" applyAlignment="1" applyProtection="1">
      <alignment horizontal="center" vertical="center"/>
    </xf>
    <xf numFmtId="9" fontId="8" fillId="3" borderId="9" xfId="0" applyNumberFormat="1"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8" fillId="4" borderId="45" xfId="0" applyFont="1" applyFill="1" applyBorder="1" applyAlignment="1" applyProtection="1">
      <alignment horizontal="center" vertical="center"/>
    </xf>
    <xf numFmtId="0" fontId="6" fillId="3" borderId="35" xfId="0" applyNumberFormat="1" applyFont="1" applyFill="1" applyBorder="1" applyAlignment="1" applyProtection="1">
      <alignment horizontal="center" vertical="center"/>
    </xf>
    <xf numFmtId="0" fontId="6" fillId="3" borderId="21" xfId="0" applyNumberFormat="1" applyFont="1" applyFill="1" applyBorder="1" applyAlignment="1" applyProtection="1">
      <alignment horizontal="center" vertical="center"/>
    </xf>
    <xf numFmtId="0" fontId="6" fillId="3" borderId="3" xfId="0" applyNumberFormat="1" applyFont="1" applyFill="1" applyBorder="1" applyAlignment="1" applyProtection="1">
      <alignment horizontal="center" vertical="center"/>
    </xf>
    <xf numFmtId="0" fontId="6" fillId="7" borderId="36" xfId="0" applyNumberFormat="1" applyFont="1" applyFill="1" applyBorder="1" applyAlignment="1" applyProtection="1">
      <alignment horizontal="center" vertical="center"/>
    </xf>
    <xf numFmtId="0" fontId="6" fillId="7" borderId="1" xfId="0" applyNumberFormat="1" applyFont="1" applyFill="1" applyBorder="1" applyAlignment="1" applyProtection="1">
      <alignment horizontal="center" vertical="center"/>
    </xf>
    <xf numFmtId="0" fontId="6" fillId="7" borderId="24" xfId="0" applyNumberFormat="1" applyFont="1" applyFill="1" applyBorder="1" applyAlignment="1" applyProtection="1">
      <alignment horizontal="center" vertical="center"/>
    </xf>
    <xf numFmtId="0" fontId="8" fillId="3" borderId="48" xfId="0" applyNumberFormat="1" applyFont="1" applyFill="1" applyBorder="1" applyAlignment="1" applyProtection="1">
      <alignment horizontal="center" vertical="center"/>
    </xf>
    <xf numFmtId="0" fontId="8" fillId="3" borderId="45" xfId="0" applyNumberFormat="1" applyFont="1" applyFill="1" applyBorder="1" applyAlignment="1" applyProtection="1">
      <alignment horizontal="center" vertical="center"/>
    </xf>
    <xf numFmtId="0" fontId="8" fillId="3" borderId="42" xfId="0" applyNumberFormat="1" applyFont="1" applyFill="1" applyBorder="1" applyAlignment="1" applyProtection="1">
      <alignment horizontal="center" vertical="center"/>
    </xf>
    <xf numFmtId="0" fontId="8" fillId="3" borderId="35" xfId="0" applyNumberFormat="1" applyFont="1" applyFill="1" applyBorder="1" applyAlignment="1" applyProtection="1">
      <alignment horizontal="center" vertical="center"/>
    </xf>
    <xf numFmtId="0" fontId="8" fillId="3" borderId="21" xfId="0" applyNumberFormat="1" applyFont="1" applyFill="1" applyBorder="1" applyAlignment="1" applyProtection="1">
      <alignment horizontal="center" vertical="center"/>
    </xf>
    <xf numFmtId="0" fontId="8" fillId="3" borderId="3" xfId="0" applyNumberFormat="1" applyFont="1" applyFill="1" applyBorder="1" applyAlignment="1" applyProtection="1">
      <alignment horizontal="center" vertical="center"/>
    </xf>
    <xf numFmtId="0" fontId="8" fillId="7" borderId="36" xfId="0" applyNumberFormat="1" applyFont="1" applyFill="1" applyBorder="1" applyAlignment="1" applyProtection="1">
      <alignment horizontal="center" vertical="center"/>
    </xf>
    <xf numFmtId="0" fontId="8" fillId="7" borderId="1" xfId="0" applyNumberFormat="1" applyFont="1" applyFill="1" applyBorder="1" applyAlignment="1" applyProtection="1">
      <alignment horizontal="center" vertical="center"/>
    </xf>
    <xf numFmtId="0" fontId="8" fillId="7" borderId="24" xfId="0" applyNumberFormat="1" applyFont="1" applyFill="1" applyBorder="1" applyAlignment="1" applyProtection="1">
      <alignment horizontal="center" vertical="center"/>
    </xf>
    <xf numFmtId="0" fontId="8" fillId="3" borderId="34" xfId="0" applyNumberFormat="1" applyFont="1" applyFill="1" applyBorder="1" applyAlignment="1" applyProtection="1">
      <alignment horizontal="center" vertical="center"/>
    </xf>
    <xf numFmtId="0" fontId="8" fillId="3" borderId="22" xfId="0" applyNumberFormat="1" applyFont="1" applyFill="1" applyBorder="1" applyAlignment="1" applyProtection="1">
      <alignment horizontal="center" vertical="center"/>
    </xf>
    <xf numFmtId="0" fontId="8" fillId="3" borderId="5" xfId="0" applyNumberFormat="1" applyFont="1" applyFill="1" applyBorder="1" applyAlignment="1" applyProtection="1">
      <alignment horizontal="center" vertical="center"/>
    </xf>
    <xf numFmtId="0" fontId="8" fillId="3" borderId="32" xfId="0" applyNumberFormat="1" applyFont="1" applyFill="1" applyBorder="1" applyAlignment="1" applyProtection="1">
      <alignment horizontal="center" vertical="center"/>
    </xf>
    <xf numFmtId="0" fontId="8" fillId="3" borderId="20" xfId="0" applyNumberFormat="1" applyFont="1" applyFill="1" applyBorder="1" applyAlignment="1" applyProtection="1">
      <alignment horizontal="center" vertical="center"/>
    </xf>
    <xf numFmtId="0" fontId="8" fillId="3" borderId="17" xfId="0" applyNumberFormat="1" applyFont="1" applyFill="1" applyBorder="1" applyAlignment="1" applyProtection="1">
      <alignment horizontal="center" vertical="center"/>
    </xf>
    <xf numFmtId="0" fontId="8" fillId="3" borderId="26" xfId="0" applyNumberFormat="1" applyFont="1" applyFill="1" applyBorder="1" applyAlignment="1" applyProtection="1">
      <alignment horizontal="center" vertical="center"/>
    </xf>
    <xf numFmtId="0" fontId="8" fillId="3" borderId="27" xfId="0" applyNumberFormat="1" applyFont="1" applyFill="1" applyBorder="1" applyAlignment="1" applyProtection="1">
      <alignment horizontal="center" vertical="center"/>
    </xf>
    <xf numFmtId="0" fontId="8" fillId="3" borderId="9" xfId="0" applyNumberFormat="1" applyFont="1" applyFill="1" applyBorder="1" applyAlignment="1" applyProtection="1">
      <alignment horizontal="center" vertical="center"/>
    </xf>
    <xf numFmtId="0" fontId="6" fillId="3" borderId="32" xfId="0" applyNumberFormat="1" applyFont="1" applyFill="1" applyBorder="1" applyAlignment="1" applyProtection="1">
      <alignment horizontal="center" vertical="center"/>
    </xf>
    <xf numFmtId="0" fontId="6" fillId="3" borderId="20" xfId="0" applyNumberFormat="1" applyFont="1" applyFill="1" applyBorder="1" applyAlignment="1" applyProtection="1">
      <alignment horizontal="center" vertical="center"/>
    </xf>
    <xf numFmtId="0" fontId="6" fillId="3" borderId="17" xfId="0" applyNumberFormat="1" applyFont="1" applyFill="1" applyBorder="1" applyAlignment="1" applyProtection="1">
      <alignment horizontal="center" vertical="center"/>
    </xf>
    <xf numFmtId="0" fontId="6" fillId="3" borderId="42" xfId="0" applyFont="1" applyFill="1" applyBorder="1" applyAlignment="1" applyProtection="1">
      <alignment horizontal="center" vertical="center"/>
    </xf>
    <xf numFmtId="14" fontId="0" fillId="0" borderId="0" xfId="0" applyNumberFormat="1" applyAlignment="1" applyProtection="1">
      <alignment wrapText="1"/>
      <protection locked="0"/>
    </xf>
    <xf numFmtId="14" fontId="0" fillId="0" borderId="0" xfId="0" applyNumberFormat="1" applyProtection="1">
      <protection locked="0"/>
    </xf>
    <xf numFmtId="0" fontId="0" fillId="0" borderId="0" xfId="0"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Alignment="1">
      <alignment vertical="center" wrapText="1"/>
    </xf>
    <xf numFmtId="0" fontId="18" fillId="0" borderId="0" xfId="0" applyFont="1" applyFill="1" applyBorder="1" applyAlignment="1">
      <alignment horizontal="left" vertical="center" wrapText="1"/>
    </xf>
    <xf numFmtId="0" fontId="17" fillId="0" borderId="0" xfId="0" applyFont="1" applyFill="1" applyAlignment="1">
      <alignment horizontal="center" vertical="top" wrapText="1"/>
    </xf>
    <xf numFmtId="0" fontId="0" fillId="0" borderId="1" xfId="0" applyBorder="1"/>
    <xf numFmtId="0" fontId="0" fillId="0" borderId="1" xfId="0" applyBorder="1" applyAlignment="1">
      <alignment wrapText="1"/>
    </xf>
    <xf numFmtId="0" fontId="0" fillId="0" borderId="36" xfId="0" applyBorder="1"/>
    <xf numFmtId="0" fontId="0" fillId="0" borderId="1" xfId="0" applyFill="1" applyBorder="1"/>
    <xf numFmtId="0" fontId="0" fillId="0" borderId="36" xfId="0" applyFill="1" applyBorder="1"/>
    <xf numFmtId="0" fontId="1" fillId="0" borderId="1" xfId="0" applyFont="1" applyFill="1" applyBorder="1"/>
    <xf numFmtId="0" fontId="2" fillId="0" borderId="1" xfId="0" applyFont="1" applyBorder="1" applyAlignment="1">
      <alignment wrapText="1"/>
    </xf>
    <xf numFmtId="0" fontId="1" fillId="0" borderId="1" xfId="0" applyFont="1" applyBorder="1"/>
    <xf numFmtId="0" fontId="1" fillId="0" borderId="1" xfId="0" applyFont="1" applyBorder="1" applyAlignment="1">
      <alignment wrapText="1"/>
    </xf>
    <xf numFmtId="0" fontId="2" fillId="0" borderId="1" xfId="0" applyFont="1" applyBorder="1"/>
    <xf numFmtId="0" fontId="2" fillId="0" borderId="1" xfId="0" applyFont="1" applyFill="1" applyBorder="1" applyAlignment="1">
      <alignment wrapText="1"/>
    </xf>
    <xf numFmtId="0" fontId="0" fillId="0" borderId="1" xfId="0" applyBorder="1" applyAlignment="1">
      <alignment vertical="center"/>
    </xf>
    <xf numFmtId="0" fontId="1" fillId="0" borderId="1" xfId="0" applyFont="1" applyFill="1" applyBorder="1" applyAlignment="1">
      <alignment wrapText="1"/>
    </xf>
    <xf numFmtId="0" fontId="0" fillId="0" borderId="1" xfId="0" applyBorder="1" applyAlignment="1">
      <alignment vertical="center" wrapText="1"/>
    </xf>
    <xf numFmtId="0" fontId="1" fillId="0" borderId="52" xfId="0" applyFont="1" applyFill="1" applyBorder="1" applyAlignment="1">
      <alignment wrapText="1"/>
    </xf>
    <xf numFmtId="0" fontId="3" fillId="6" borderId="1"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9" borderId="53"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6" borderId="27" xfId="0" applyFont="1" applyFill="1" applyBorder="1" applyAlignment="1">
      <alignment horizontal="left" vertical="center" wrapText="1"/>
    </xf>
    <xf numFmtId="14" fontId="0" fillId="0" borderId="0" xfId="0" applyNumberFormat="1" applyBorder="1" applyAlignment="1" applyProtection="1">
      <alignment horizontal="right" vertical="center"/>
      <protection locked="0"/>
    </xf>
    <xf numFmtId="0" fontId="0" fillId="0" borderId="0" xfId="0"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horizontal="right" vertical="center"/>
      <protection locked="0"/>
    </xf>
    <xf numFmtId="8" fontId="0" fillId="0" borderId="0" xfId="0" applyNumberFormat="1" applyProtection="1">
      <protection locked="0"/>
    </xf>
    <xf numFmtId="0" fontId="0" fillId="3" borderId="0" xfId="0" applyFill="1"/>
    <xf numFmtId="9" fontId="22" fillId="3" borderId="3" xfId="0" applyNumberFormat="1" applyFont="1" applyFill="1" applyBorder="1" applyAlignment="1" applyProtection="1">
      <alignment horizontal="center" vertical="center"/>
    </xf>
    <xf numFmtId="9" fontId="22" fillId="3" borderId="5" xfId="0" applyNumberFormat="1" applyFont="1" applyFill="1" applyBorder="1" applyAlignment="1" applyProtection="1">
      <alignment horizontal="center" vertical="center"/>
    </xf>
    <xf numFmtId="0" fontId="22" fillId="3" borderId="21" xfId="0"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9" fontId="22" fillId="3" borderId="24" xfId="0" applyNumberFormat="1" applyFont="1" applyFill="1" applyBorder="1" applyAlignment="1" applyProtection="1">
      <alignment horizontal="center" vertical="center"/>
    </xf>
    <xf numFmtId="0" fontId="22" fillId="3" borderId="22" xfId="0" applyFont="1" applyFill="1" applyBorder="1" applyAlignment="1" applyProtection="1">
      <alignment horizontal="center" vertical="center"/>
    </xf>
    <xf numFmtId="0" fontId="0" fillId="0" borderId="0" xfId="0" applyFont="1"/>
    <xf numFmtId="0" fontId="24" fillId="3" borderId="2" xfId="0" applyFont="1" applyFill="1" applyBorder="1" applyAlignment="1" applyProtection="1">
      <alignment horizontal="center" vertical="center"/>
    </xf>
    <xf numFmtId="0" fontId="24" fillId="3" borderId="23" xfId="0" applyFont="1" applyFill="1" applyBorder="1" applyAlignment="1" applyProtection="1">
      <alignment horizontal="center" vertical="center"/>
    </xf>
    <xf numFmtId="0" fontId="24" fillId="3" borderId="4" xfId="0" applyFont="1" applyFill="1" applyBorder="1" applyAlignment="1" applyProtection="1">
      <alignment horizontal="center" vertical="center"/>
    </xf>
    <xf numFmtId="0" fontId="4" fillId="5" borderId="11" xfId="0" applyFont="1" applyFill="1" applyBorder="1" applyAlignment="1" applyProtection="1">
      <alignment horizontal="center"/>
    </xf>
    <xf numFmtId="0" fontId="4" fillId="5" borderId="12" xfId="0" applyFont="1" applyFill="1" applyBorder="1" applyAlignment="1" applyProtection="1">
      <alignment horizontal="center"/>
    </xf>
    <xf numFmtId="0" fontId="4" fillId="5" borderId="18" xfId="0" applyFont="1" applyFill="1" applyBorder="1" applyAlignment="1" applyProtection="1">
      <alignment horizontal="center"/>
    </xf>
    <xf numFmtId="0" fontId="4" fillId="5" borderId="15" xfId="0" applyFont="1" applyFill="1" applyBorder="1" applyAlignment="1" applyProtection="1">
      <alignment horizontal="center"/>
    </xf>
    <xf numFmtId="0" fontId="0" fillId="2" borderId="0" xfId="0" applyFill="1" applyProtection="1">
      <protection locked="0"/>
    </xf>
    <xf numFmtId="0" fontId="6" fillId="2" borderId="7" xfId="0" applyFont="1" applyFill="1" applyBorder="1" applyAlignment="1" applyProtection="1"/>
    <xf numFmtId="0" fontId="7" fillId="2" borderId="7" xfId="0" applyFont="1" applyFill="1" applyBorder="1" applyAlignment="1" applyProtection="1"/>
    <xf numFmtId="0" fontId="7" fillId="6" borderId="58" xfId="0" applyFont="1" applyFill="1" applyBorder="1" applyAlignment="1" applyProtection="1"/>
    <xf numFmtId="0" fontId="8" fillId="3" borderId="7" xfId="0" applyFont="1" applyFill="1" applyBorder="1" applyAlignment="1" applyProtection="1">
      <alignment horizontal="center" vertical="center"/>
    </xf>
    <xf numFmtId="0" fontId="8" fillId="7" borderId="25" xfId="0" applyFont="1" applyFill="1" applyBorder="1" applyAlignment="1" applyProtection="1">
      <alignment horizontal="center" vertical="center"/>
    </xf>
    <xf numFmtId="0" fontId="8" fillId="3" borderId="5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7" borderId="53"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8" fillId="3" borderId="58" xfId="0" applyFont="1" applyFill="1" applyBorder="1" applyAlignment="1" applyProtection="1">
      <alignment horizontal="center" vertical="center"/>
    </xf>
    <xf numFmtId="0" fontId="8" fillId="7" borderId="60" xfId="0" applyFont="1" applyFill="1" applyBorder="1" applyAlignment="1" applyProtection="1">
      <alignment horizontal="center" vertical="center"/>
    </xf>
    <xf numFmtId="0" fontId="8" fillId="3" borderId="59" xfId="0" applyFont="1" applyFill="1" applyBorder="1" applyAlignment="1" applyProtection="1">
      <alignment horizontal="center" vertical="center"/>
    </xf>
    <xf numFmtId="0" fontId="8" fillId="3" borderId="55" xfId="0" applyFont="1" applyFill="1" applyBorder="1" applyAlignment="1" applyProtection="1">
      <alignment horizontal="center" vertical="center"/>
    </xf>
    <xf numFmtId="0" fontId="0" fillId="0" borderId="0" xfId="0" applyFont="1" applyProtection="1">
      <protection hidden="1"/>
    </xf>
    <xf numFmtId="0" fontId="0" fillId="0" borderId="0" xfId="0" applyNumberFormat="1" applyProtection="1">
      <protection hidden="1"/>
    </xf>
    <xf numFmtId="0" fontId="0" fillId="0" borderId="0" xfId="0" applyNumberFormat="1" applyFont="1" applyProtection="1">
      <protection hidden="1"/>
    </xf>
    <xf numFmtId="0" fontId="0" fillId="2" borderId="7" xfId="0" applyFill="1" applyBorder="1" applyAlignment="1" applyProtection="1"/>
    <xf numFmtId="0" fontId="0" fillId="2" borderId="58" xfId="0" applyFill="1" applyBorder="1" applyAlignment="1" applyProtection="1"/>
    <xf numFmtId="0" fontId="3" fillId="3" borderId="0" xfId="0" applyFont="1" applyFill="1" applyBorder="1" applyAlignment="1" applyProtection="1">
      <alignment horizontal="center"/>
    </xf>
    <xf numFmtId="0" fontId="7" fillId="3" borderId="2" xfId="0" applyFont="1" applyFill="1" applyBorder="1" applyAlignment="1" applyProtection="1">
      <alignment vertical="center" wrapText="1"/>
    </xf>
    <xf numFmtId="0" fontId="7" fillId="3" borderId="23" xfId="0" applyFont="1" applyFill="1" applyBorder="1" applyAlignment="1" applyProtection="1">
      <alignment vertical="center"/>
    </xf>
    <xf numFmtId="0" fontId="7" fillId="3" borderId="23"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12" fillId="5" borderId="0" xfId="0" applyFont="1" applyFill="1" applyBorder="1" applyAlignment="1" applyProtection="1">
      <alignment horizontal="center"/>
    </xf>
    <xf numFmtId="0" fontId="7" fillId="10" borderId="58" xfId="0" applyFont="1" applyFill="1" applyBorder="1" applyAlignment="1" applyProtection="1">
      <alignment horizontal="center" vertical="center"/>
    </xf>
    <xf numFmtId="1" fontId="7" fillId="10" borderId="56" xfId="0" applyNumberFormat="1" applyFont="1" applyFill="1" applyBorder="1" applyAlignment="1" applyProtection="1">
      <alignment horizontal="center" vertical="center"/>
    </xf>
    <xf numFmtId="0" fontId="9" fillId="10" borderId="59" xfId="0" applyFont="1" applyFill="1" applyBorder="1" applyAlignment="1" applyProtection="1">
      <alignment horizontal="center" vertical="center"/>
    </xf>
    <xf numFmtId="0" fontId="9" fillId="10" borderId="58" xfId="0" applyFont="1" applyFill="1" applyBorder="1" applyAlignment="1" applyProtection="1">
      <alignment horizontal="center" vertical="center"/>
    </xf>
    <xf numFmtId="1" fontId="9" fillId="10" borderId="60" xfId="0" applyNumberFormat="1" applyFont="1" applyFill="1" applyBorder="1" applyAlignment="1" applyProtection="1">
      <alignment horizontal="center" vertical="center"/>
    </xf>
    <xf numFmtId="0" fontId="9" fillId="10" borderId="10" xfId="0" applyFont="1" applyFill="1" applyBorder="1" applyAlignment="1" applyProtection="1">
      <alignment horizontal="center" vertical="center"/>
    </xf>
    <xf numFmtId="1" fontId="9" fillId="10" borderId="30" xfId="0" applyNumberFormat="1" applyFont="1" applyFill="1" applyBorder="1" applyAlignment="1" applyProtection="1">
      <alignment horizontal="center" vertical="center"/>
    </xf>
    <xf numFmtId="0" fontId="9" fillId="10" borderId="29" xfId="0" applyFont="1" applyFill="1" applyBorder="1" applyAlignment="1" applyProtection="1">
      <alignment horizontal="center" vertical="center"/>
    </xf>
    <xf numFmtId="0" fontId="9" fillId="10" borderId="61" xfId="0" applyFont="1" applyFill="1" applyBorder="1" applyAlignment="1" applyProtection="1">
      <alignment horizontal="center" vertical="center"/>
    </xf>
    <xf numFmtId="0" fontId="8" fillId="10" borderId="16" xfId="0" applyFont="1" applyFill="1" applyBorder="1" applyAlignment="1" applyProtection="1">
      <alignment horizontal="center" vertical="center"/>
    </xf>
    <xf numFmtId="0" fontId="6" fillId="10" borderId="31" xfId="0" applyFont="1" applyFill="1" applyBorder="1" applyAlignment="1" applyProtection="1">
      <alignment horizontal="center"/>
    </xf>
    <xf numFmtId="0" fontId="6" fillId="10" borderId="57" xfId="0" applyFont="1" applyFill="1" applyBorder="1" applyAlignment="1" applyProtection="1">
      <alignment horizontal="center"/>
    </xf>
    <xf numFmtId="0" fontId="8" fillId="10" borderId="23" xfId="0" applyFont="1" applyFill="1" applyBorder="1" applyAlignment="1" applyProtection="1">
      <alignment horizontal="center"/>
    </xf>
    <xf numFmtId="0" fontId="8" fillId="10" borderId="60" xfId="0" applyFont="1" applyFill="1" applyBorder="1" applyAlignment="1" applyProtection="1">
      <alignment horizontal="center"/>
    </xf>
    <xf numFmtId="0" fontId="8" fillId="10" borderId="16" xfId="0" applyFont="1" applyFill="1" applyBorder="1" applyAlignment="1" applyProtection="1">
      <alignment horizontal="center"/>
    </xf>
    <xf numFmtId="0" fontId="8" fillId="10" borderId="61" xfId="0" applyFont="1" applyFill="1" applyBorder="1" applyAlignment="1" applyProtection="1">
      <alignment horizontal="center"/>
    </xf>
    <xf numFmtId="0" fontId="6" fillId="10" borderId="16" xfId="0" applyFont="1" applyFill="1" applyBorder="1" applyAlignment="1" applyProtection="1">
      <alignment horizontal="center"/>
    </xf>
    <xf numFmtId="0" fontId="6" fillId="10" borderId="61" xfId="0" applyFont="1" applyFill="1" applyBorder="1" applyAlignment="1" applyProtection="1">
      <alignment horizontal="center"/>
    </xf>
    <xf numFmtId="0" fontId="6" fillId="10" borderId="2" xfId="0" applyFont="1" applyFill="1" applyBorder="1" applyAlignment="1" applyProtection="1">
      <alignment horizontal="center"/>
    </xf>
    <xf numFmtId="0" fontId="6" fillId="10" borderId="58" xfId="0" applyFont="1" applyFill="1" applyBorder="1" applyAlignment="1" applyProtection="1">
      <alignment horizontal="center"/>
    </xf>
    <xf numFmtId="0" fontId="3" fillId="10" borderId="50" xfId="0" applyFont="1" applyFill="1" applyBorder="1" applyAlignment="1" applyProtection="1">
      <alignment horizontal="center"/>
    </xf>
    <xf numFmtId="0" fontId="3" fillId="10" borderId="54" xfId="0" applyFont="1" applyFill="1" applyBorder="1" applyAlignment="1" applyProtection="1">
      <alignment horizontal="center"/>
    </xf>
    <xf numFmtId="0" fontId="27" fillId="11" borderId="16" xfId="0" applyFont="1" applyFill="1" applyBorder="1" applyAlignment="1" applyProtection="1">
      <alignment horizontal="center" vertical="center"/>
    </xf>
    <xf numFmtId="0" fontId="8" fillId="11" borderId="23" xfId="0" applyFont="1" applyFill="1" applyBorder="1" applyAlignment="1" applyProtection="1">
      <alignment horizontal="center" vertical="center"/>
    </xf>
    <xf numFmtId="0" fontId="28" fillId="11" borderId="2" xfId="0" applyFont="1" applyFill="1" applyBorder="1" applyAlignment="1" applyProtection="1">
      <alignment horizontal="center" vertical="center"/>
    </xf>
    <xf numFmtId="0" fontId="28" fillId="11" borderId="38" xfId="0" applyFont="1" applyFill="1" applyBorder="1" applyAlignment="1" applyProtection="1">
      <alignment horizontal="center" vertical="center"/>
    </xf>
    <xf numFmtId="0" fontId="6" fillId="10" borderId="2" xfId="0" applyFont="1" applyFill="1" applyBorder="1" applyAlignment="1" applyProtection="1"/>
    <xf numFmtId="0" fontId="6" fillId="10" borderId="35" xfId="0" applyFont="1" applyFill="1" applyBorder="1" applyAlignment="1" applyProtection="1"/>
    <xf numFmtId="0" fontId="7" fillId="10" borderId="2" xfId="0" applyFont="1" applyFill="1" applyBorder="1" applyAlignment="1" applyProtection="1">
      <alignment wrapText="1"/>
    </xf>
    <xf numFmtId="0" fontId="7" fillId="10" borderId="21" xfId="0" applyFont="1" applyFill="1" applyBorder="1" applyAlignment="1" applyProtection="1"/>
    <xf numFmtId="0" fontId="7" fillId="10" borderId="3" xfId="0" applyFont="1" applyFill="1" applyBorder="1" applyAlignment="1" applyProtection="1"/>
    <xf numFmtId="0" fontId="7" fillId="10" borderId="10" xfId="0" applyFont="1" applyFill="1" applyBorder="1" applyAlignment="1" applyProtection="1"/>
    <xf numFmtId="0" fontId="8" fillId="10" borderId="32"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8" fillId="10" borderId="20" xfId="0" applyFont="1" applyFill="1" applyBorder="1" applyAlignment="1" applyProtection="1">
      <alignment horizontal="center" vertical="center"/>
    </xf>
    <xf numFmtId="0" fontId="8" fillId="10" borderId="17" xfId="0" applyFont="1" applyFill="1" applyBorder="1" applyAlignment="1" applyProtection="1">
      <alignment horizontal="center" vertical="center"/>
    </xf>
    <xf numFmtId="0" fontId="9" fillId="10" borderId="28" xfId="0" applyFont="1" applyFill="1" applyBorder="1" applyAlignment="1" applyProtection="1">
      <alignment horizontal="center" vertical="center"/>
    </xf>
    <xf numFmtId="0" fontId="8" fillId="10" borderId="23" xfId="0" applyFont="1" applyFill="1" applyBorder="1" applyAlignment="1" applyProtection="1">
      <alignment horizontal="center" vertical="center"/>
    </xf>
    <xf numFmtId="0" fontId="8" fillId="10" borderId="36" xfId="0" applyFont="1" applyFill="1" applyBorder="1" applyAlignment="1" applyProtection="1">
      <alignment horizontal="center" vertical="center"/>
    </xf>
    <xf numFmtId="0" fontId="6" fillId="10" borderId="23" xfId="0" applyFont="1" applyFill="1" applyBorder="1" applyAlignment="1" applyProtection="1">
      <alignment horizontal="center" vertical="center"/>
    </xf>
    <xf numFmtId="0" fontId="8" fillId="10" borderId="1" xfId="0" applyFont="1" applyFill="1" applyBorder="1" applyAlignment="1" applyProtection="1">
      <alignment horizontal="center" vertical="center"/>
    </xf>
    <xf numFmtId="0" fontId="8" fillId="10" borderId="24" xfId="0" applyFont="1" applyFill="1" applyBorder="1" applyAlignment="1" applyProtection="1">
      <alignment horizontal="center" vertical="center"/>
    </xf>
    <xf numFmtId="0" fontId="9" fillId="10" borderId="30" xfId="0" applyFont="1" applyFill="1" applyBorder="1" applyAlignment="1" applyProtection="1">
      <alignment horizontal="center" vertical="center"/>
    </xf>
    <xf numFmtId="0" fontId="8" fillId="10" borderId="4" xfId="0" applyFont="1" applyFill="1" applyBorder="1" applyAlignment="1" applyProtection="1">
      <alignment horizontal="center" vertical="center"/>
    </xf>
    <xf numFmtId="0" fontId="8" fillId="10" borderId="34" xfId="0" applyFont="1" applyFill="1" applyBorder="1" applyAlignment="1" applyProtection="1">
      <alignment horizontal="center" vertical="center"/>
    </xf>
    <xf numFmtId="0" fontId="6" fillId="10" borderId="4" xfId="0" applyFont="1" applyFill="1" applyBorder="1" applyAlignment="1" applyProtection="1">
      <alignment horizontal="center" vertical="center"/>
    </xf>
    <xf numFmtId="0" fontId="8" fillId="10" borderId="22" xfId="0" applyFont="1" applyFill="1" applyBorder="1" applyAlignment="1" applyProtection="1">
      <alignment horizontal="center" vertical="center"/>
    </xf>
    <xf numFmtId="0" fontId="8" fillId="10" borderId="5" xfId="0" applyFont="1" applyFill="1" applyBorder="1" applyAlignment="1" applyProtection="1">
      <alignment horizontal="center" vertical="center"/>
    </xf>
    <xf numFmtId="0" fontId="7" fillId="3" borderId="1" xfId="0" applyFont="1" applyFill="1" applyBorder="1" applyAlignment="1" applyProtection="1">
      <alignment vertical="center" wrapText="1"/>
    </xf>
    <xf numFmtId="0" fontId="7" fillId="12" borderId="1" xfId="0" applyFont="1" applyFill="1" applyBorder="1" applyAlignment="1" applyProtection="1">
      <alignment vertical="center" wrapText="1"/>
    </xf>
    <xf numFmtId="0" fontId="7" fillId="12" borderId="1" xfId="0" applyFont="1" applyFill="1" applyBorder="1" applyAlignment="1" applyProtection="1">
      <alignment vertical="center"/>
    </xf>
    <xf numFmtId="0" fontId="0" fillId="12" borderId="1" xfId="0" applyFill="1" applyBorder="1"/>
    <xf numFmtId="0" fontId="6" fillId="11" borderId="31" xfId="0" applyFont="1" applyFill="1" applyBorder="1" applyAlignment="1" applyProtection="1">
      <alignment horizontal="center" vertical="center"/>
    </xf>
    <xf numFmtId="0" fontId="6" fillId="11" borderId="23" xfId="0" applyFont="1" applyFill="1" applyBorder="1" applyAlignment="1" applyProtection="1">
      <alignment horizontal="center" vertical="center"/>
    </xf>
    <xf numFmtId="0" fontId="0" fillId="0" borderId="1" xfId="0" applyBorder="1" applyAlignment="1">
      <alignment horizontal="center"/>
    </xf>
    <xf numFmtId="0" fontId="15" fillId="8" borderId="0" xfId="0" applyFont="1" applyFill="1" applyAlignment="1">
      <alignment horizontal="center" vertical="center" wrapText="1"/>
    </xf>
    <xf numFmtId="0" fontId="15" fillId="6" borderId="0" xfId="0" applyFont="1" applyFill="1" applyAlignment="1">
      <alignment horizontal="left" vertical="center" wrapText="1"/>
    </xf>
    <xf numFmtId="0" fontId="5" fillId="3" borderId="51"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7" fillId="3" borderId="31"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3" fillId="6" borderId="49" xfId="0" applyFont="1" applyFill="1" applyBorder="1" applyAlignment="1" applyProtection="1">
      <alignment horizontal="center"/>
    </xf>
    <xf numFmtId="0" fontId="3" fillId="6" borderId="15" xfId="0" applyFont="1" applyFill="1" applyBorder="1" applyAlignment="1" applyProtection="1">
      <alignment horizontal="center"/>
    </xf>
    <xf numFmtId="0" fontId="3" fillId="2" borderId="49"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5" fillId="3" borderId="25"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4" fillId="5" borderId="11" xfId="0" applyFont="1" applyFill="1" applyBorder="1" applyAlignment="1" applyProtection="1">
      <alignment horizontal="center"/>
    </xf>
    <xf numFmtId="0" fontId="4" fillId="5" borderId="12" xfId="0" applyFont="1" applyFill="1" applyBorder="1" applyAlignment="1" applyProtection="1">
      <alignment horizontal="center"/>
    </xf>
    <xf numFmtId="0" fontId="4" fillId="5" borderId="13" xfId="0" applyFont="1" applyFill="1" applyBorder="1" applyAlignment="1" applyProtection="1">
      <alignment horizontal="center"/>
    </xf>
    <xf numFmtId="0" fontId="7" fillId="4" borderId="38"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6" fillId="2" borderId="19" xfId="0" applyFont="1" applyFill="1" applyBorder="1" applyAlignment="1" applyProtection="1">
      <alignment horizontal="center"/>
    </xf>
    <xf numFmtId="0" fontId="6" fillId="2" borderId="46" xfId="0" applyFont="1" applyFill="1" applyBorder="1" applyAlignment="1" applyProtection="1">
      <alignment horizontal="center"/>
    </xf>
    <xf numFmtId="0" fontId="7" fillId="4" borderId="19" xfId="0" applyFont="1" applyFill="1" applyBorder="1" applyAlignment="1" applyProtection="1">
      <alignment horizontal="center"/>
    </xf>
    <xf numFmtId="0" fontId="7" fillId="4" borderId="46" xfId="0" applyFont="1" applyFill="1" applyBorder="1" applyAlignment="1" applyProtection="1">
      <alignment horizontal="center"/>
    </xf>
    <xf numFmtId="0" fontId="7" fillId="4" borderId="28" xfId="0" applyFont="1" applyFill="1" applyBorder="1" applyAlignment="1" applyProtection="1">
      <alignment horizontal="center"/>
    </xf>
    <xf numFmtId="0" fontId="6" fillId="2" borderId="28" xfId="0" applyFont="1" applyFill="1" applyBorder="1" applyAlignment="1" applyProtection="1">
      <alignment horizontal="center"/>
    </xf>
    <xf numFmtId="0" fontId="23" fillId="12" borderId="1" xfId="0" applyFont="1" applyFill="1" applyBorder="1" applyAlignment="1">
      <alignment horizontal="center" vertical="center" wrapText="1" readingOrder="1"/>
    </xf>
    <xf numFmtId="0" fontId="0" fillId="0" borderId="1" xfId="0" applyBorder="1" applyAlignment="1">
      <alignment horizontal="center"/>
    </xf>
    <xf numFmtId="0" fontId="4" fillId="5" borderId="11" xfId="0" applyFont="1" applyFill="1" applyBorder="1" applyAlignment="1" applyProtection="1">
      <alignment horizontal="center" wrapText="1"/>
    </xf>
    <xf numFmtId="0" fontId="4" fillId="5" borderId="12" xfId="0" applyFont="1" applyFill="1" applyBorder="1" applyAlignment="1" applyProtection="1">
      <alignment horizontal="center" wrapText="1"/>
    </xf>
    <xf numFmtId="0" fontId="4" fillId="5" borderId="13" xfId="0" applyFont="1" applyFill="1" applyBorder="1" applyAlignment="1" applyProtection="1">
      <alignment horizontal="center" wrapText="1"/>
    </xf>
    <xf numFmtId="0" fontId="6" fillId="3" borderId="35" xfId="0" applyFont="1" applyFill="1" applyBorder="1" applyAlignment="1" applyProtection="1">
      <alignment horizontal="center" vertical="center" textRotation="90" wrapText="1"/>
    </xf>
    <xf numFmtId="0" fontId="6" fillId="3" borderId="36" xfId="0" applyFont="1" applyFill="1" applyBorder="1" applyAlignment="1" applyProtection="1">
      <alignment horizontal="center" vertical="center" textRotation="90" wrapText="1"/>
    </xf>
    <xf numFmtId="0" fontId="6" fillId="3" borderId="34" xfId="0" applyFont="1" applyFill="1" applyBorder="1" applyAlignment="1" applyProtection="1">
      <alignment horizontal="center" vertical="center" textRotation="90" wrapText="1"/>
    </xf>
    <xf numFmtId="0" fontId="3" fillId="6" borderId="1" xfId="0" applyFont="1" applyFill="1" applyBorder="1" applyAlignment="1">
      <alignment horizontal="left" vertical="center" textRotation="45" wrapText="1"/>
    </xf>
    <xf numFmtId="0" fontId="0" fillId="0" borderId="0" xfId="0" applyAlignment="1">
      <alignment textRotation="45"/>
    </xf>
    <xf numFmtId="0" fontId="0" fillId="0" borderId="2" xfId="0" applyBorder="1" applyAlignment="1">
      <alignment horizontal="center"/>
    </xf>
    <xf numFmtId="0" fontId="0" fillId="0" borderId="21" xfId="0" applyBorder="1" applyAlignment="1">
      <alignment horizontal="center"/>
    </xf>
    <xf numFmtId="0" fontId="0" fillId="0" borderId="3"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43" xfId="0" applyBorder="1" applyAlignment="1">
      <alignment textRotation="45"/>
    </xf>
    <xf numFmtId="0" fontId="3" fillId="6" borderId="36" xfId="0" applyFont="1" applyFill="1" applyBorder="1" applyAlignment="1">
      <alignment horizontal="left" vertical="center" textRotation="45" wrapText="1"/>
    </xf>
    <xf numFmtId="0" fontId="0" fillId="0" borderId="27" xfId="0" applyBorder="1" applyAlignment="1">
      <alignment horizontal="center" textRotation="45"/>
    </xf>
    <xf numFmtId="0" fontId="0" fillId="0" borderId="0" xfId="0" applyBorder="1" applyAlignment="1">
      <alignment horizontal="center"/>
    </xf>
    <xf numFmtId="0" fontId="29" fillId="0" borderId="0" xfId="0" applyFont="1" applyAlignment="1">
      <alignment textRotation="45"/>
    </xf>
  </cellXfs>
  <cellStyles count="7">
    <cellStyle name="Lien hypertexte" xfId="1" builtinId="8" hidden="1"/>
    <cellStyle name="Lien hypertexte" xfId="3" builtinId="8" hidden="1"/>
    <cellStyle name="Lien hypertexte" xfId="5" builtinId="8" hidden="1"/>
    <cellStyle name="Lien hypertexte visité" xfId="2" builtinId="9" hidden="1"/>
    <cellStyle name="Lien hypertexte visité" xfId="4" builtinId="9" hidden="1"/>
    <cellStyle name="Lien hypertexte visité" xfId="6" builtinId="9" hidden="1"/>
    <cellStyle name="Normal" xfId="0" builtinId="0"/>
  </cellStyles>
  <dxfs count="23">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protection locked="1" hidden="1"/>
    </dxf>
    <dxf>
      <protection locked="1" hidden="1"/>
    </dxf>
    <dxf>
      <protection locked="1" hidden="1"/>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9" formatCode="dd/mm/yyyy"/>
      <protection locked="0" hidden="0"/>
    </dxf>
    <dxf>
      <protection locked="1" hidden="1"/>
    </dxf>
    <dxf>
      <alignment horizontal="general" vertical="bottom" textRotation="0" wrapText="1" indent="0" justifyLastLine="0" shrinkToFit="0" readingOrder="0"/>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 de classes maternelles accueillies </a:t>
            </a:r>
            <a:r>
              <a:rPr lang="fr-FR" baseline="0"/>
              <a:t>par rapport aux effectifs connus, par quartier</a:t>
            </a:r>
            <a:endParaRPr lang="fr-FR"/>
          </a:p>
        </c:rich>
      </c:tx>
      <c:overlay val="0"/>
      <c:spPr>
        <a:noFill/>
        <a:ln>
          <a:noFill/>
        </a:ln>
        <a:effectLst/>
      </c:spPr>
    </c:title>
    <c:autoTitleDeleted val="0"/>
    <c:plotArea>
      <c:layout>
        <c:manualLayout>
          <c:layoutTarget val="inner"/>
          <c:xMode val="edge"/>
          <c:yMode val="edge"/>
          <c:x val="3.26237710413321E-2"/>
          <c:y val="0.19265788103374601"/>
          <c:w val="0.95313572067792396"/>
          <c:h val="0.76230657392044399"/>
        </c:manualLayout>
      </c:layout>
      <c:barChart>
        <c:barDir val="bar"/>
        <c:grouping val="clustered"/>
        <c:varyColors val="0"/>
        <c:ser>
          <c:idx val="0"/>
          <c:order val="0"/>
          <c:tx>
            <c:strRef>
              <c:f>Bilans!$A$54</c:f>
              <c:strCache>
                <c:ptCount val="1"/>
                <c:pt idx="0">
                  <c:v>Buers-Croix-Luizet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Bilans!$E$54</c:f>
              <c:numCache>
                <c:formatCode>0%</c:formatCode>
                <c:ptCount val="1"/>
                <c:pt idx="0">
                  <c:v>0</c:v>
                </c:pt>
              </c:numCache>
            </c:numRef>
          </c:val>
        </c:ser>
        <c:ser>
          <c:idx val="1"/>
          <c:order val="1"/>
          <c:tx>
            <c:strRef>
              <c:f>Bilans!$A$57</c:f>
              <c:strCache>
                <c:ptCount val="1"/>
                <c:pt idx="0">
                  <c:v>Charpennes-Tonkin</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Bilans!$E$57</c:f>
              <c:numCache>
                <c:formatCode>0%</c:formatCode>
                <c:ptCount val="1"/>
                <c:pt idx="0">
                  <c:v>0</c:v>
                </c:pt>
              </c:numCache>
            </c:numRef>
          </c:val>
        </c:ser>
        <c:ser>
          <c:idx val="2"/>
          <c:order val="2"/>
          <c:tx>
            <c:strRef>
              <c:f>Bilans!$A$60</c:f>
              <c:strCache>
                <c:ptCount val="1"/>
                <c:pt idx="0">
                  <c:v>Cusset-Bonnevay</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Bilans!$E$60</c:f>
              <c:numCache>
                <c:formatCode>0%</c:formatCode>
                <c:ptCount val="1"/>
                <c:pt idx="0">
                  <c:v>0</c:v>
                </c:pt>
              </c:numCache>
            </c:numRef>
          </c:val>
        </c:ser>
        <c:ser>
          <c:idx val="3"/>
          <c:order val="3"/>
          <c:tx>
            <c:strRef>
              <c:f>Bilans!$A$63</c:f>
              <c:strCache>
                <c:ptCount val="1"/>
                <c:pt idx="0">
                  <c:v>Cyprian-les-Brosses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Bilans!$E$63</c:f>
              <c:numCache>
                <c:formatCode>0%</c:formatCode>
                <c:ptCount val="1"/>
                <c:pt idx="0">
                  <c:v>0</c:v>
                </c:pt>
              </c:numCache>
            </c:numRef>
          </c:val>
        </c:ser>
        <c:ser>
          <c:idx val="4"/>
          <c:order val="4"/>
          <c:tx>
            <c:strRef>
              <c:f>Bilans!$A$66</c:f>
              <c:strCache>
                <c:ptCount val="1"/>
                <c:pt idx="0">
                  <c:v>Ferrandière-Maisons Neuves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Bilans!$E$66</c:f>
              <c:numCache>
                <c:formatCode>0%</c:formatCode>
                <c:ptCount val="1"/>
                <c:pt idx="0">
                  <c:v>0</c:v>
                </c:pt>
              </c:numCache>
            </c:numRef>
          </c:val>
        </c:ser>
        <c:ser>
          <c:idx val="5"/>
          <c:order val="5"/>
          <c:tx>
            <c:strRef>
              <c:f>Bilans!$A$69</c:f>
              <c:strCache>
                <c:ptCount val="1"/>
                <c:pt idx="0">
                  <c:v>Gratte-ciel-Dedieu-Charmettes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Bilans!$E$69</c:f>
              <c:numCache>
                <c:formatCode>0%</c:formatCode>
                <c:ptCount val="1"/>
                <c:pt idx="0">
                  <c:v>0</c:v>
                </c:pt>
              </c:numCache>
            </c:numRef>
          </c:val>
        </c:ser>
        <c:ser>
          <c:idx val="6"/>
          <c:order val="6"/>
          <c:tx>
            <c:strRef>
              <c:f>Bilans!$A$72</c:f>
              <c:strCache>
                <c:ptCount val="1"/>
                <c:pt idx="0">
                  <c:v>Perralière-Grandclément</c:v>
                </c:pt>
              </c:strCache>
            </c:strRef>
          </c:tx>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Bilans!$E$72</c:f>
              <c:numCache>
                <c:formatCode>0%</c:formatCode>
                <c:ptCount val="1"/>
                <c:pt idx="0">
                  <c:v>0</c:v>
                </c:pt>
              </c:numCache>
            </c:numRef>
          </c:val>
        </c:ser>
        <c:ser>
          <c:idx val="7"/>
          <c:order val="7"/>
          <c:tx>
            <c:strRef>
              <c:f>Bilans!$A$75</c:f>
              <c:strCache>
                <c:ptCount val="1"/>
                <c:pt idx="0">
                  <c:v>Saint Jean</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Bilans!$E$75</c:f>
              <c:numCache>
                <c:formatCode>0%</c:formatCode>
                <c:ptCount val="1"/>
                <c:pt idx="0">
                  <c:v>0</c:v>
                </c:pt>
              </c:numCache>
            </c:numRef>
          </c:val>
        </c:ser>
        <c:dLbls>
          <c:showLegendKey val="0"/>
          <c:showVal val="1"/>
          <c:showCatName val="0"/>
          <c:showSerName val="0"/>
          <c:showPercent val="0"/>
          <c:showBubbleSize val="0"/>
        </c:dLbls>
        <c:gapWidth val="150"/>
        <c:overlap val="-25"/>
        <c:axId val="541097344"/>
        <c:axId val="541095808"/>
      </c:barChart>
      <c:valAx>
        <c:axId val="541095808"/>
        <c:scaling>
          <c:orientation val="minMax"/>
        </c:scaling>
        <c:delete val="1"/>
        <c:axPos val="b"/>
        <c:numFmt formatCode="0%" sourceLinked="1"/>
        <c:majorTickMark val="out"/>
        <c:minorTickMark val="none"/>
        <c:tickLblPos val="nextTo"/>
        <c:crossAx val="541097344"/>
        <c:crosses val="autoZero"/>
        <c:crossBetween val="between"/>
      </c:valAx>
      <c:catAx>
        <c:axId val="54109734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109580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 de classes</a:t>
            </a:r>
            <a:r>
              <a:rPr lang="fr-FR" baseline="0"/>
              <a:t> </a:t>
            </a:r>
            <a:r>
              <a:rPr lang="fr-FR"/>
              <a:t>d'élémentaires</a:t>
            </a:r>
            <a:r>
              <a:rPr lang="fr-FR" baseline="0"/>
              <a:t> </a:t>
            </a:r>
            <a:r>
              <a:rPr lang="fr-FR"/>
              <a:t>accueillies </a:t>
            </a:r>
            <a:r>
              <a:rPr lang="fr-FR" baseline="0"/>
              <a:t>par rapport aux effectifs connus, par quartier</a:t>
            </a:r>
            <a:endParaRPr lang="fr-FR"/>
          </a:p>
        </c:rich>
      </c:tx>
      <c:overlay val="0"/>
      <c:spPr>
        <a:noFill/>
        <a:ln>
          <a:noFill/>
        </a:ln>
        <a:effectLst/>
      </c:spPr>
    </c:title>
    <c:autoTitleDeleted val="0"/>
    <c:plotArea>
      <c:layout>
        <c:manualLayout>
          <c:layoutTarget val="inner"/>
          <c:xMode val="edge"/>
          <c:yMode val="edge"/>
          <c:x val="2.97756693851834E-2"/>
          <c:y val="0.20924992394535999"/>
          <c:w val="0.95313572067792396"/>
          <c:h val="0.76230657392044399"/>
        </c:manualLayout>
      </c:layout>
      <c:barChart>
        <c:barDir val="bar"/>
        <c:grouping val="clustered"/>
        <c:varyColors val="0"/>
        <c:ser>
          <c:idx val="0"/>
          <c:order val="0"/>
          <c:tx>
            <c:strRef>
              <c:f>Bilans!$A$54</c:f>
              <c:strCache>
                <c:ptCount val="1"/>
                <c:pt idx="0">
                  <c:v>Buers-Croix-Luizet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Bilans!$H$54</c:f>
              <c:numCache>
                <c:formatCode>0%</c:formatCode>
                <c:ptCount val="1"/>
                <c:pt idx="0">
                  <c:v>0</c:v>
                </c:pt>
              </c:numCache>
            </c:numRef>
          </c:val>
        </c:ser>
        <c:ser>
          <c:idx val="1"/>
          <c:order val="1"/>
          <c:tx>
            <c:strRef>
              <c:f>Bilans!$A$57</c:f>
              <c:strCache>
                <c:ptCount val="1"/>
                <c:pt idx="0">
                  <c:v>Charpennes-Tonkin</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Bilans!$H$57</c:f>
              <c:numCache>
                <c:formatCode>0%</c:formatCode>
                <c:ptCount val="1"/>
                <c:pt idx="0">
                  <c:v>0</c:v>
                </c:pt>
              </c:numCache>
            </c:numRef>
          </c:val>
        </c:ser>
        <c:ser>
          <c:idx val="2"/>
          <c:order val="2"/>
          <c:tx>
            <c:strRef>
              <c:f>Bilans!$A$60</c:f>
              <c:strCache>
                <c:ptCount val="1"/>
                <c:pt idx="0">
                  <c:v>Cusset-Bonnevay</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Bilans!$H$60</c:f>
              <c:numCache>
                <c:formatCode>0%</c:formatCode>
                <c:ptCount val="1"/>
                <c:pt idx="0">
                  <c:v>0</c:v>
                </c:pt>
              </c:numCache>
            </c:numRef>
          </c:val>
        </c:ser>
        <c:ser>
          <c:idx val="3"/>
          <c:order val="3"/>
          <c:tx>
            <c:strRef>
              <c:f>Bilans!$A$63</c:f>
              <c:strCache>
                <c:ptCount val="1"/>
                <c:pt idx="0">
                  <c:v>Cyprian-les-Brosses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Bilans!$H$63</c:f>
              <c:numCache>
                <c:formatCode>0%</c:formatCode>
                <c:ptCount val="1"/>
                <c:pt idx="0">
                  <c:v>0</c:v>
                </c:pt>
              </c:numCache>
            </c:numRef>
          </c:val>
        </c:ser>
        <c:ser>
          <c:idx val="4"/>
          <c:order val="4"/>
          <c:tx>
            <c:strRef>
              <c:f>Bilans!$A$66</c:f>
              <c:strCache>
                <c:ptCount val="1"/>
                <c:pt idx="0">
                  <c:v>Ferrandière-Maisons Neuves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Bilans!$H$66</c:f>
              <c:numCache>
                <c:formatCode>0%</c:formatCode>
                <c:ptCount val="1"/>
                <c:pt idx="0">
                  <c:v>0</c:v>
                </c:pt>
              </c:numCache>
            </c:numRef>
          </c:val>
        </c:ser>
        <c:ser>
          <c:idx val="5"/>
          <c:order val="5"/>
          <c:tx>
            <c:strRef>
              <c:f>Bilans!$A$69</c:f>
              <c:strCache>
                <c:ptCount val="1"/>
                <c:pt idx="0">
                  <c:v>Gratte-ciel-Dedieu-Charmettes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Bilans!$H$69</c:f>
              <c:numCache>
                <c:formatCode>0%</c:formatCode>
                <c:ptCount val="1"/>
                <c:pt idx="0">
                  <c:v>0</c:v>
                </c:pt>
              </c:numCache>
            </c:numRef>
          </c:val>
        </c:ser>
        <c:ser>
          <c:idx val="6"/>
          <c:order val="6"/>
          <c:tx>
            <c:strRef>
              <c:f>Bilans!$A$72</c:f>
              <c:strCache>
                <c:ptCount val="1"/>
                <c:pt idx="0">
                  <c:v>Perralière-Grandclément</c:v>
                </c:pt>
              </c:strCache>
            </c:strRef>
          </c:tx>
          <c:spPr>
            <a:solidFill>
              <a:srgbClr val="FFFF00"/>
            </a:solidFill>
            <a:ln>
              <a:solidFill>
                <a:srgbClr val="FFFF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Bilans!$H$72</c:f>
              <c:numCache>
                <c:formatCode>0%</c:formatCode>
                <c:ptCount val="1"/>
                <c:pt idx="0">
                  <c:v>0</c:v>
                </c:pt>
              </c:numCache>
            </c:numRef>
          </c:val>
        </c:ser>
        <c:ser>
          <c:idx val="7"/>
          <c:order val="7"/>
          <c:tx>
            <c:strRef>
              <c:f>Bilans!$A$75</c:f>
              <c:strCache>
                <c:ptCount val="1"/>
                <c:pt idx="0">
                  <c:v>Saint Jean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Bilans!$H$75</c:f>
              <c:numCache>
                <c:formatCode>0%</c:formatCode>
                <c:ptCount val="1"/>
                <c:pt idx="0">
                  <c:v>0</c:v>
                </c:pt>
              </c:numCache>
            </c:numRef>
          </c:val>
        </c:ser>
        <c:dLbls>
          <c:showLegendKey val="0"/>
          <c:showVal val="1"/>
          <c:showCatName val="0"/>
          <c:showSerName val="0"/>
          <c:showPercent val="0"/>
          <c:showBubbleSize val="0"/>
        </c:dLbls>
        <c:gapWidth val="150"/>
        <c:overlap val="-25"/>
        <c:axId val="628889472"/>
        <c:axId val="628887936"/>
      </c:barChart>
      <c:valAx>
        <c:axId val="628887936"/>
        <c:scaling>
          <c:orientation val="minMax"/>
        </c:scaling>
        <c:delete val="1"/>
        <c:axPos val="b"/>
        <c:numFmt formatCode="0%" sourceLinked="1"/>
        <c:majorTickMark val="out"/>
        <c:minorTickMark val="none"/>
        <c:tickLblPos val="nextTo"/>
        <c:crossAx val="628889472"/>
        <c:crosses val="autoZero"/>
        <c:crossBetween val="between"/>
      </c:valAx>
      <c:catAx>
        <c:axId val="62888947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888793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Provenance</a:t>
            </a:r>
            <a:r>
              <a:rPr lang="fr-FR" baseline="0"/>
              <a:t> par quartier des classes accueillies par le Tonkin</a:t>
            </a:r>
            <a:endParaRPr lang="fr-FR"/>
          </a:p>
        </c:rich>
      </c:tx>
      <c:overlay val="0"/>
      <c:spPr>
        <a:noFill/>
        <a:ln>
          <a:noFill/>
        </a:ln>
        <a:effectLst/>
      </c:sp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1"/>
              <c:layout>
                <c:manualLayout>
                  <c:x val="-6.7174776224989297E-2"/>
                  <c:y val="-0.203985636404697"/>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5411405480980996E-2"/>
                  <c:y val="-5.9257296112908003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layout>
                    <c:manualLayout>
                      <c:w val="0.16702692162484"/>
                      <c:h val="0.125554359004029"/>
                    </c:manualLayout>
                  </c15:layout>
                </c:ext>
              </c:extLst>
            </c:dLbl>
            <c:dLbl>
              <c:idx val="6"/>
              <c:layout>
                <c:manualLayout>
                  <c:x val="-5.83860839510481E-2"/>
                  <c:y val="2.370291844516279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04528694680251E-2"/>
                  <c:y val="1.18663901948305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(Bilans!$A$54,Bilans!$A$57,Bilans!$A$60,Bilans!$A$63,Bilans!$A$66,Bilans!$A$69,Bilans!$A$72,Bilans!$A$75)</c:f>
              <c:strCache>
                <c:ptCount val="8"/>
                <c:pt idx="0">
                  <c:v>Buers-Croix-Luizet</c:v>
                </c:pt>
                <c:pt idx="1">
                  <c:v>Charpennes-Tonkin</c:v>
                </c:pt>
                <c:pt idx="2">
                  <c:v>Cusset-Bonnevay</c:v>
                </c:pt>
                <c:pt idx="3">
                  <c:v>Cyprian-les-Brosses</c:v>
                </c:pt>
                <c:pt idx="4">
                  <c:v>Ferrandière-Maisons Neuves</c:v>
                </c:pt>
                <c:pt idx="5">
                  <c:v>Gratte-ciel-Dedieu-Charmettes</c:v>
                </c:pt>
                <c:pt idx="6">
                  <c:v>Perralière-Grandclément</c:v>
                </c:pt>
                <c:pt idx="7">
                  <c:v>Saint Jean</c:v>
                </c:pt>
              </c:strCache>
            </c:strRef>
          </c:cat>
          <c:val>
            <c:numRef>
              <c:f>(Bilans!$S$54,Bilans!$S$57,Bilans!$S$60,Bilans!$S$63,Bilans!$S$66,Bilans!$S$69,Bilans!$S$72,Bilans!$S$75)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Provenance</a:t>
            </a:r>
            <a:r>
              <a:rPr lang="fr-FR" baseline="0"/>
              <a:t> par quartier des classes accueillies par le Rize</a:t>
            </a:r>
          </a:p>
        </c:rich>
      </c:tx>
      <c:overlay val="0"/>
      <c:spPr>
        <a:noFill/>
        <a:ln>
          <a:noFill/>
        </a:ln>
        <a:effectLst/>
      </c:sp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1"/>
              <c:layout>
                <c:manualLayout>
                  <c:x val="0.24920889491300999"/>
                  <c:y val="1.185145922258160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2279018427554101E-2"/>
                  <c:y val="1.7840458828777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09932238727881E-2"/>
                  <c:y val="1.50039473757883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(Bilans!$A$54,Bilans!$A$57,Bilans!$A$60,Bilans!$A$63,Bilans!$A$66,Bilans!$A$69,Bilans!$A$72,Bilans!$A$75)</c:f>
              <c:strCache>
                <c:ptCount val="8"/>
                <c:pt idx="0">
                  <c:v>Buers-Croix-Luizet</c:v>
                </c:pt>
                <c:pt idx="1">
                  <c:v>Charpennes-Tonkin</c:v>
                </c:pt>
                <c:pt idx="2">
                  <c:v>Cusset-Bonnevay</c:v>
                </c:pt>
                <c:pt idx="3">
                  <c:v>Cyprian-les-Brosses</c:v>
                </c:pt>
                <c:pt idx="4">
                  <c:v>Ferrandière-Maisons Neuves</c:v>
                </c:pt>
                <c:pt idx="5">
                  <c:v>Gratte-ciel-Dedieu-Charmettes</c:v>
                </c:pt>
                <c:pt idx="6">
                  <c:v>Perralière-Grandclément</c:v>
                </c:pt>
                <c:pt idx="7">
                  <c:v>Saint Jean</c:v>
                </c:pt>
              </c:strCache>
            </c:strRef>
          </c:cat>
          <c:val>
            <c:numRef>
              <c:f>(Bilans!$Q$54,Bilans!$Q$57,Bilans!$Q$60,Bilans!$Q$63,Bilans!$Q$66,Bilans!$Q$69,Bilans!$Q$72,Bilans!$Q$75)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Provenance</a:t>
            </a:r>
            <a:r>
              <a:rPr lang="fr-FR" baseline="0"/>
              <a:t> par quartier des classes accueillies par la MLIS</a:t>
            </a:r>
          </a:p>
        </c:rich>
      </c:tx>
      <c:overlay val="0"/>
      <c:spPr>
        <a:noFill/>
        <a:ln>
          <a:noFill/>
        </a:ln>
        <a:effectLst/>
      </c:sp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6"/>
              <c:layout>
                <c:manualLayout>
                  <c:x val="-1.6368567228822899E-2"/>
                  <c:y val="2.4038865320763901E-4"/>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(Bilans!$A$54,Bilans!$A$57,Bilans!$A$60,Bilans!$A$63,Bilans!$A$66,Bilans!$A$69,Bilans!$A$72,Bilans!$A$75)</c:f>
              <c:strCache>
                <c:ptCount val="8"/>
                <c:pt idx="0">
                  <c:v>Buers-Croix-Luizet</c:v>
                </c:pt>
                <c:pt idx="1">
                  <c:v>Charpennes-Tonkin</c:v>
                </c:pt>
                <c:pt idx="2">
                  <c:v>Cusset-Bonnevay</c:v>
                </c:pt>
                <c:pt idx="3">
                  <c:v>Cyprian-les-Brosses</c:v>
                </c:pt>
                <c:pt idx="4">
                  <c:v>Ferrandière-Maisons Neuves</c:v>
                </c:pt>
                <c:pt idx="5">
                  <c:v>Gratte-ciel-Dedieu-Charmettes</c:v>
                </c:pt>
                <c:pt idx="6">
                  <c:v>Perralière-Grandclément</c:v>
                </c:pt>
                <c:pt idx="7">
                  <c:v>Saint Jean</c:v>
                </c:pt>
              </c:strCache>
            </c:strRef>
          </c:cat>
          <c:val>
            <c:numRef>
              <c:f>(Bilans!$P$54,Bilans!$P$57,Bilans!$P$60,Bilans!$P$63,Bilans!$P$66,Bilans!$P$69,Bilans!$P$72,Bilans!$P$75)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Provenance</a:t>
            </a:r>
            <a:r>
              <a:rPr lang="fr-FR" baseline="0"/>
              <a:t> par quartier des classes accueillies par le PAC-BUS</a:t>
            </a:r>
          </a:p>
        </c:rich>
      </c:tx>
      <c:overlay val="0"/>
      <c:spPr>
        <a:noFill/>
        <a:ln>
          <a:noFill/>
        </a:ln>
        <a:effectLst/>
      </c:sp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37025321529932897"/>
                  <c:y val="0.2014748067838869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33322789376939599"/>
                  <c:y val="0.13510663513742999"/>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29193041975523998"/>
                  <c:y val="7.347904718000590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6128491321307201E-2"/>
                  <c:y val="-0.1168395237766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592405144478927"/>
                  <c:y val="0.27495385396389299"/>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62800641518078504"/>
                  <c:y val="0.20384509862840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63797477097730604"/>
                  <c:y val="0.12799575960388099"/>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698500407199999E-3"/>
                  <c:y val="2.1556217910074501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(Bilans!$A$54,Bilans!$A$57,Bilans!$A$60,Bilans!$A$63,Bilans!$A$66,Bilans!$A$69,Bilans!$A$72,Bilans!$A$75)</c:f>
              <c:strCache>
                <c:ptCount val="8"/>
                <c:pt idx="0">
                  <c:v>Buers-Croix-Luizet</c:v>
                </c:pt>
                <c:pt idx="1">
                  <c:v>Charpennes-Tonkin</c:v>
                </c:pt>
                <c:pt idx="2">
                  <c:v>Cusset-Bonnevay</c:v>
                </c:pt>
                <c:pt idx="3">
                  <c:v>Cyprian-les-Brosses</c:v>
                </c:pt>
                <c:pt idx="4">
                  <c:v>Ferrandière-Maisons Neuves</c:v>
                </c:pt>
                <c:pt idx="5">
                  <c:v>Gratte-ciel-Dedieu-Charmettes</c:v>
                </c:pt>
                <c:pt idx="6">
                  <c:v>Perralière-Grandclément</c:v>
                </c:pt>
                <c:pt idx="7">
                  <c:v>Saint Jean</c:v>
                </c:pt>
              </c:strCache>
            </c:strRef>
          </c:cat>
          <c:val>
            <c:numRef>
              <c:f>(Bilans!$R$54,Bilans!$R$57,Bilans!$R$60,Bilans!$R$63,Bilans!$R$66,Bilans!$R$69,Bilans!$R$72,Bilans!$R$75)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Provenance</a:t>
            </a:r>
            <a:r>
              <a:rPr lang="fr-FR" baseline="0"/>
              <a:t> par quartier des classes accueillies par la FDL</a:t>
            </a:r>
          </a:p>
        </c:rich>
      </c:tx>
      <c:overlay val="0"/>
      <c:spPr>
        <a:noFill/>
        <a:ln>
          <a:noFill/>
        </a:ln>
        <a:effectLst/>
      </c:sp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(Bilans!$A$54,Bilans!$A$57,Bilans!$A$60,Bilans!$A$63,Bilans!$A$66,Bilans!$A$69,Bilans!$A$72,Bilans!$A$75)</c:f>
              <c:strCache>
                <c:ptCount val="8"/>
                <c:pt idx="0">
                  <c:v>Buers-Croix-Luizet</c:v>
                </c:pt>
                <c:pt idx="1">
                  <c:v>Charpennes-Tonkin</c:v>
                </c:pt>
                <c:pt idx="2">
                  <c:v>Cusset-Bonnevay</c:v>
                </c:pt>
                <c:pt idx="3">
                  <c:v>Cyprian-les-Brosses</c:v>
                </c:pt>
                <c:pt idx="4">
                  <c:v>Ferrandière-Maisons Neuves</c:v>
                </c:pt>
                <c:pt idx="5">
                  <c:v>Gratte-ciel-Dedieu-Charmettes</c:v>
                </c:pt>
                <c:pt idx="6">
                  <c:v>Perralière-Grandclément</c:v>
                </c:pt>
                <c:pt idx="7">
                  <c:v>Saint Jean</c:v>
                </c:pt>
              </c:strCache>
            </c:strRef>
          </c:cat>
          <c:val>
            <c:numRef>
              <c:f>(Bilans!$O$54,Bilans!$O$57,Bilans!$O$60,Bilans!$O$63,Bilans!$O$66,Bilans!$O$69,Bilans!$O$72,Bilans!$O$75)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130969</xdr:colOff>
          <xdr:row>14</xdr:row>
          <xdr:rowOff>17782</xdr:rowOff>
        </xdr:from>
        <xdr:to>
          <xdr:col>8</xdr:col>
          <xdr:colOff>1145381</xdr:colOff>
          <xdr:row>51</xdr:row>
          <xdr:rowOff>90488</xdr:rowOff>
        </xdr:to>
        <xdr:pic>
          <xdr:nvPicPr>
            <xdr:cNvPr id="2" name="Image 1"/>
            <xdr:cNvPicPr>
              <a:picLocks noChangeAspect="1" noChangeArrowheads="1"/>
              <a:extLst>
                <a:ext uri="{84589F7E-364E-4C9E-8A38-B11213B215E9}">
                  <a14:cameraTool cellRange="Bilans!$A$1:$L$24" spid="_x0000_s2074"/>
                </a:ext>
              </a:extLst>
            </xdr:cNvPicPr>
          </xdr:nvPicPr>
          <xdr:blipFill>
            <a:blip xmlns:r="http://schemas.openxmlformats.org/officeDocument/2006/relationships" r:embed="rId1"/>
            <a:srcRect/>
            <a:stretch>
              <a:fillRect/>
            </a:stretch>
          </xdr:blipFill>
          <xdr:spPr bwMode="auto">
            <a:xfrm>
              <a:off x="2309813" y="3208657"/>
              <a:ext cx="9670256" cy="71093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7055</xdr:colOff>
      <xdr:row>47</xdr:row>
      <xdr:rowOff>0</xdr:rowOff>
    </xdr:from>
    <xdr:to>
      <xdr:col>33</xdr:col>
      <xdr:colOff>529165</xdr:colOff>
      <xdr:row>67</xdr:row>
      <xdr:rowOff>3527</xdr:rowOff>
    </xdr:to>
    <xdr:graphicFrame macro="">
      <xdr:nvGraphicFramePr>
        <xdr:cNvPr id="3" name="Graphique 2" title="% de Maternelles accueillis par rapport aux effectifs connu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617361</xdr:colOff>
      <xdr:row>47</xdr:row>
      <xdr:rowOff>0</xdr:rowOff>
    </xdr:from>
    <xdr:to>
      <xdr:col>44</xdr:col>
      <xdr:colOff>377471</xdr:colOff>
      <xdr:row>65</xdr:row>
      <xdr:rowOff>175683</xdr:rowOff>
    </xdr:to>
    <xdr:graphicFrame macro="">
      <xdr:nvGraphicFramePr>
        <xdr:cNvPr id="4" name="Graphique 3" title="% de Maternelles accueillis par rapport aux effectifs conn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619125</xdr:colOff>
      <xdr:row>85</xdr:row>
      <xdr:rowOff>47625</xdr:rowOff>
    </xdr:from>
    <xdr:to>
      <xdr:col>44</xdr:col>
      <xdr:colOff>449791</xdr:colOff>
      <xdr:row>118</xdr:row>
      <xdr:rowOff>66324</xdr:rowOff>
    </xdr:to>
    <xdr:graphicFrame macro="">
      <xdr:nvGraphicFramePr>
        <xdr:cNvPr id="5" name="Graphique 4" title="% de Maternelles accueillis par rapport aux effectifs conn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619125</xdr:colOff>
      <xdr:row>65</xdr:row>
      <xdr:rowOff>190500</xdr:rowOff>
    </xdr:from>
    <xdr:to>
      <xdr:col>44</xdr:col>
      <xdr:colOff>449791</xdr:colOff>
      <xdr:row>84</xdr:row>
      <xdr:rowOff>189796</xdr:rowOff>
    </xdr:to>
    <xdr:graphicFrame macro="">
      <xdr:nvGraphicFramePr>
        <xdr:cNvPr id="6" name="Graphique 5" title="% de Maternelles accueillis par rapport aux effectifs conn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59531</xdr:colOff>
      <xdr:row>85</xdr:row>
      <xdr:rowOff>142875</xdr:rowOff>
    </xdr:from>
    <xdr:to>
      <xdr:col>33</xdr:col>
      <xdr:colOff>652196</xdr:colOff>
      <xdr:row>117</xdr:row>
      <xdr:rowOff>161574</xdr:rowOff>
    </xdr:to>
    <xdr:graphicFrame macro="">
      <xdr:nvGraphicFramePr>
        <xdr:cNvPr id="8" name="Graphique 7" title="% de Maternelles accueillis par rapport aux effectifs conn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190500</xdr:colOff>
      <xdr:row>116</xdr:row>
      <xdr:rowOff>47625</xdr:rowOff>
    </xdr:from>
    <xdr:to>
      <xdr:col>34</xdr:col>
      <xdr:colOff>21165</xdr:colOff>
      <xdr:row>148</xdr:row>
      <xdr:rowOff>94546</xdr:rowOff>
    </xdr:to>
    <xdr:graphicFrame macro="">
      <xdr:nvGraphicFramePr>
        <xdr:cNvPr id="9" name="Graphique 8" title="% de Maternelles accueillis par rapport aux effectifs conn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238125</xdr:colOff>
      <xdr:row>66</xdr:row>
      <xdr:rowOff>142875</xdr:rowOff>
    </xdr:from>
    <xdr:to>
      <xdr:col>33</xdr:col>
      <xdr:colOff>571500</xdr:colOff>
      <xdr:row>85</xdr:row>
      <xdr:rowOff>285750</xdr:rowOff>
    </xdr:to>
    <xdr:graphicFrame macro="">
      <xdr:nvGraphicFramePr>
        <xdr:cNvPr id="10" name="Graphique 9" title="% de Maternelles accueillis par rapport aux effectifs conn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13</xdr:col>
          <xdr:colOff>0</xdr:colOff>
          <xdr:row>4</xdr:row>
          <xdr:rowOff>9525</xdr:rowOff>
        </xdr:from>
        <xdr:to>
          <xdr:col>14</xdr:col>
          <xdr:colOff>295275</xdr:colOff>
          <xdr:row>17</xdr:row>
          <xdr:rowOff>9525</xdr:rowOff>
        </xdr:to>
        <xdr:pic>
          <xdr:nvPicPr>
            <xdr:cNvPr id="11" name="Image 10"/>
            <xdr:cNvPicPr>
              <a:picLocks noChangeAspect="1" noChangeArrowheads="1"/>
              <a:extLst>
                <a:ext uri="{84589F7E-364E-4C9E-8A38-B11213B215E9}">
                  <a14:cameraTool cellRange="listes!$B$2:$B$12" spid="_x0000_s1042"/>
                </a:ext>
              </a:extLst>
            </xdr:cNvPicPr>
          </xdr:nvPicPr>
          <xdr:blipFill>
            <a:blip xmlns:r="http://schemas.openxmlformats.org/officeDocument/2006/relationships" r:embed="rId8"/>
            <a:srcRect/>
            <a:stretch>
              <a:fillRect/>
            </a:stretch>
          </xdr:blipFill>
          <xdr:spPr bwMode="auto">
            <a:xfrm>
              <a:off x="11449050" y="1581150"/>
              <a:ext cx="857250" cy="4200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12</xdr:row>
          <xdr:rowOff>180975</xdr:rowOff>
        </xdr:from>
        <xdr:to>
          <xdr:col>5</xdr:col>
          <xdr:colOff>152400</xdr:colOff>
          <xdr:row>30</xdr:row>
          <xdr:rowOff>170839</xdr:rowOff>
        </xdr:to>
        <xdr:pic>
          <xdr:nvPicPr>
            <xdr:cNvPr id="2" name="Image 1"/>
            <xdr:cNvPicPr>
              <a:picLocks noChangeAspect="1" noChangeArrowheads="1"/>
              <a:extLst>
                <a:ext uri="{84589F7E-364E-4C9E-8A38-B11213B215E9}">
                  <a14:cameraTool cellRange="Bilans!$K$1:$L$13" spid="_x0000_s6148"/>
                </a:ext>
              </a:extLst>
            </xdr:cNvPicPr>
          </xdr:nvPicPr>
          <xdr:blipFill>
            <a:blip xmlns:r="http://schemas.openxmlformats.org/officeDocument/2006/relationships" r:embed="rId1"/>
            <a:srcRect/>
            <a:stretch>
              <a:fillRect/>
            </a:stretch>
          </xdr:blipFill>
          <xdr:spPr bwMode="auto">
            <a:xfrm>
              <a:off x="504825" y="3924300"/>
              <a:ext cx="1819275" cy="341886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c/animations/Copie%20DE%20CLAS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embre-décembre"/>
      <sheetName val="janvier-juillet"/>
      <sheetName val="Bilans"/>
      <sheetName val="Bilan détaillé"/>
      <sheetName val="listes"/>
      <sheetName val="mémo pour remplir le tableau"/>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id="1" name="T_sept_dec" displayName="T_sept_dec" ref="A1:U250" totalsRowShown="0" headerRowDxfId="22" dataDxfId="21">
  <autoFilter ref="A1:U250"/>
  <sortState ref="A2:N143">
    <sortCondition ref="A1:A143"/>
  </sortState>
  <tableColumns count="21">
    <tableColumn id="1" name="Date venue" dataDxfId="20"/>
    <tableColumn id="2" name="Secteur organisateur" dataDxfId="19"/>
    <tableColumn id="3" name="Secteur organisateur binôme" dataDxfId="18"/>
    <tableColumn id="4" name="Etablissement scolaire" dataDxfId="17"/>
    <tableColumn id="5" name="Niveau de classe" dataDxfId="16"/>
    <tableColumn id="6" name="Enseignant référent (Nom Prénom)" dataDxfId="15"/>
    <tableColumn id="7" name="Nombre enfants" dataDxfId="14"/>
    <tableColumn id="8" name="In situ / hors les murs" dataDxfId="13"/>
    <tableColumn id="9" name="Type de visite" dataDxfId="12"/>
    <tableColumn id="11" name="Commentaires" dataDxfId="11"/>
    <tableColumn id="12" name="Groupe niveau" dataDxfId="10">
      <calculatedColumnFormula>IF(COUNTIF(Maternelle,E2)=1,listes!$T$1,IF(COUNTIF(Elémentaire,E2)=1,listes!$U$1,IF(COUNTIF(Collège,E2)=1,listes!$V$1,IF(COUNTIF(Lycée,E2)=1,listes!$W$1,""))))</calculatedColumnFormula>
    </tableColumn>
    <tableColumn id="14" name="Quartier" dataDxfId="9">
      <calculatedColumnFormula>IF(COUNTIF(Perralière,D2)=1,listes!$P$1,IF(COUNTIF(Buers,D2)=1,listes!$J$1,IF(COUNTIF(Charpennes,D2)=1,listes!$K$1,IF(COUNTIF(Cusset,D2)=1,listes!$L$1,IF(COUNTIF(Cyprien,D2)=1,listes!$M$1,IF(COUNTIF(Ferrandière,D2)=1,listes!$N$1,IF(COUNTIF(Gratteciel,D2)=1,listes!$O$1,IF(COUNTIF(Saintjean,D2)=1,listes!$Q$1,IF(COUNTIF(horsvilleurbanne,D2)=1,listes!$R$1,"")))))))))</calculatedColumnFormula>
    </tableColumn>
    <tableColumn id="13" name="Etablissement accueillant" dataDxfId="8">
      <calculatedColumnFormula>IF(COUNTIF(FDL,B2)=1,"FDL",IF(COUNTIF(RIZE,B2)=1,"RIZE",IF(COUNTIF(MLIS,B2)=1,"MLIS",IF(COUNTIF(PACBUS,B2)=1,"PAC-BUS",IF(COUNTIF(Tonkin,B2)=1,"Tonkin","")))))</calculatedColumnFormula>
    </tableColumn>
    <tableColumn id="10" name="CléEtablissement" dataDxfId="7">
      <calculatedColumnFormula>T_sept_dec[[#This Row],[Etablissement accueillant]]&amp;"-"&amp;T_sept_dec[[#This Row],[Enseignant référent (Nom Prénom)]]</calculatedColumnFormula>
    </tableColumn>
    <tableColumn id="15" name="cptEtablissement" dataDxfId="6">
      <calculatedColumnFormula>1/COUNTIF(T_sept_dec[CléEtablissement],T_sept_dec[[#This Row],[CléEtablissement]])</calculatedColumnFormula>
    </tableColumn>
    <tableColumn id="16" name="CléRéseau-Rize horsmed" dataDxfId="5">
      <calculatedColumnFormula>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calculatedColumnFormula>
    </tableColumn>
    <tableColumn id="17" name="cptréseau-rizehormed" dataDxfId="4">
      <calculatedColumnFormula>1/COUNTIF(T_sept_dec[CléRéseau-Rize horsmed],T_sept_dec[[#This Row],[CléRéseau-Rize horsmed]])</calculatedColumnFormula>
    </tableColumn>
    <tableColumn id="18" name="CléRize" dataDxfId="3">
      <calculatedColumnFormula>IF(COUNTIF(RIZE,T_sept_dec[[#This Row],[Secteur organisateur]]),"Rize_"&amp;T_sept_dec[[#This Row],[Enseignant référent (Nom Prénom)]],"")</calculatedColumnFormula>
    </tableColumn>
    <tableColumn id="19" name="cptrize" dataDxfId="2">
      <calculatedColumnFormula>1/COUNTIF(T_sept_dec[CléRize],T_sept_dec[[#This Row],[CléRize]])</calculatedColumnFormula>
    </tableColumn>
    <tableColumn id="21" name="cléTotal" dataDxfId="1">
      <calculatedColumnFormula>IF(COUNTIF(Total,T_sept_dec[[#This Row],[Secteur organisateur]]),"Total_"&amp;T_sept_dec[[#This Row],[Enseignant référent (Nom Prénom)]],"")</calculatedColumnFormula>
    </tableColumn>
    <tableColumn id="20" name="cptTotal" dataDxfId="0">
      <calculatedColumnFormula>1/COUNTIF(T_sept_dec[cléTotal],T_sept_dec[[#This Row],[cléTotal]])</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B24"/>
  <sheetViews>
    <sheetView showGridLines="0" topLeftCell="A10" workbookViewId="0">
      <selection activeCell="B25" sqref="B25"/>
    </sheetView>
  </sheetViews>
  <sheetFormatPr baseColWidth="10" defaultRowHeight="15"/>
  <cols>
    <col min="1" max="1" width="4.42578125" customWidth="1"/>
    <col min="2" max="2" width="97.42578125" customWidth="1"/>
  </cols>
  <sheetData>
    <row r="1" spans="1:2" ht="18.95">
      <c r="A1" s="251" t="s">
        <v>190</v>
      </c>
      <c r="B1" s="251"/>
    </row>
    <row r="2" spans="1:2">
      <c r="A2" s="123"/>
      <c r="B2" s="124"/>
    </row>
    <row r="3" spans="1:2" ht="18.75">
      <c r="A3" s="252" t="s">
        <v>191</v>
      </c>
      <c r="B3" s="252"/>
    </row>
    <row r="4" spans="1:2">
      <c r="A4" s="125" t="s">
        <v>192</v>
      </c>
      <c r="B4" s="124" t="s">
        <v>198</v>
      </c>
    </row>
    <row r="5" spans="1:2">
      <c r="A5" s="125" t="s">
        <v>192</v>
      </c>
      <c r="B5" s="128" t="s">
        <v>199</v>
      </c>
    </row>
    <row r="6" spans="1:2">
      <c r="A6" s="125" t="s">
        <v>192</v>
      </c>
      <c r="B6" s="124" t="s">
        <v>200</v>
      </c>
    </row>
    <row r="7" spans="1:2" ht="30">
      <c r="A7" s="125" t="s">
        <v>192</v>
      </c>
      <c r="B7" s="124" t="s">
        <v>207</v>
      </c>
    </row>
    <row r="8" spans="1:2">
      <c r="A8" s="125" t="s">
        <v>192</v>
      </c>
      <c r="B8" s="124" t="s">
        <v>203</v>
      </c>
    </row>
    <row r="9" spans="1:2" ht="60">
      <c r="A9" s="129" t="s">
        <v>192</v>
      </c>
      <c r="B9" s="124" t="s">
        <v>213</v>
      </c>
    </row>
    <row r="10" spans="1:2">
      <c r="A10" s="125"/>
      <c r="B10" s="124"/>
    </row>
    <row r="11" spans="1:2" ht="18.75">
      <c r="A11" s="252" t="s">
        <v>208</v>
      </c>
      <c r="B11" s="252"/>
    </row>
    <row r="12" spans="1:2">
      <c r="A12" s="125" t="s">
        <v>192</v>
      </c>
      <c r="B12" s="126" t="s">
        <v>193</v>
      </c>
    </row>
    <row r="13" spans="1:2">
      <c r="A13" s="125" t="s">
        <v>192</v>
      </c>
      <c r="B13" s="126" t="s">
        <v>194</v>
      </c>
    </row>
    <row r="14" spans="1:2" ht="45">
      <c r="A14" s="125" t="s">
        <v>192</v>
      </c>
      <c r="B14" s="126" t="s">
        <v>212</v>
      </c>
    </row>
    <row r="15" spans="1:2">
      <c r="A15" s="125"/>
      <c r="B15" s="124"/>
    </row>
    <row r="16" spans="1:2" ht="18.75">
      <c r="A16" s="252" t="s">
        <v>195</v>
      </c>
      <c r="B16" s="252"/>
    </row>
    <row r="17" spans="1:2">
      <c r="A17" s="125" t="s">
        <v>192</v>
      </c>
      <c r="B17" s="127" t="s">
        <v>209</v>
      </c>
    </row>
    <row r="18" spans="1:2" ht="30">
      <c r="A18" s="125" t="s">
        <v>192</v>
      </c>
      <c r="B18" s="124" t="s">
        <v>196</v>
      </c>
    </row>
    <row r="19" spans="1:2" ht="30">
      <c r="A19" s="125" t="s">
        <v>192</v>
      </c>
      <c r="B19" s="124" t="s">
        <v>197</v>
      </c>
    </row>
    <row r="21" spans="1:2" ht="18.95">
      <c r="A21" s="252" t="s">
        <v>201</v>
      </c>
      <c r="B21" s="252"/>
    </row>
    <row r="22" spans="1:2" ht="45">
      <c r="A22" s="125" t="s">
        <v>192</v>
      </c>
      <c r="B22" s="127" t="s">
        <v>211</v>
      </c>
    </row>
    <row r="23" spans="1:2" ht="45">
      <c r="A23" s="125" t="s">
        <v>192</v>
      </c>
      <c r="B23" s="124" t="s">
        <v>202</v>
      </c>
    </row>
    <row r="24" spans="1:2" ht="45">
      <c r="A24" s="125" t="s">
        <v>192</v>
      </c>
      <c r="B24" s="124" t="s">
        <v>210</v>
      </c>
    </row>
  </sheetData>
  <mergeCells count="5">
    <mergeCell ref="A1:B1"/>
    <mergeCell ref="A3:B3"/>
    <mergeCell ref="A11:B11"/>
    <mergeCell ref="A16:B16"/>
    <mergeCell ref="A21: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enableFormatConditionsCalculation="0">
    <pageSetUpPr fitToPage="1"/>
  </sheetPr>
  <dimension ref="A1:U328"/>
  <sheetViews>
    <sheetView zoomScale="80" zoomScaleNormal="80" zoomScalePageLayoutView="80" workbookViewId="0">
      <pane ySplit="1" topLeftCell="A2" activePane="bottomLeft" state="frozen"/>
      <selection pane="bottomLeft" activeCell="E8" sqref="E8"/>
    </sheetView>
  </sheetViews>
  <sheetFormatPr baseColWidth="10" defaultRowHeight="15"/>
  <cols>
    <col min="1" max="1" width="13.42578125" style="122" bestFit="1" customWidth="1"/>
    <col min="2" max="2" width="19.28515625" style="20" customWidth="1"/>
    <col min="3" max="3" width="23" style="20" customWidth="1"/>
    <col min="4" max="4" width="22.140625" style="20" customWidth="1"/>
    <col min="5" max="5" width="16.140625" style="20" customWidth="1"/>
    <col min="6" max="6" width="30" style="20" customWidth="1"/>
    <col min="7" max="7" width="18.7109375" style="20" customWidth="1"/>
    <col min="8" max="8" width="19.85546875" style="20" customWidth="1"/>
    <col min="9" max="9" width="23.7109375" style="20" customWidth="1"/>
    <col min="10" max="10" width="15.140625" style="20" customWidth="1"/>
    <col min="11" max="11" width="14.85546875" style="21" customWidth="1"/>
    <col min="13" max="13" width="32.85546875" style="21" customWidth="1"/>
    <col min="14" max="14" width="22.85546875" style="21" customWidth="1"/>
    <col min="16" max="16" width="22.85546875" customWidth="1"/>
    <col min="20" max="20" width="22" customWidth="1"/>
  </cols>
  <sheetData>
    <row r="1" spans="1:21" s="19" customFormat="1" ht="56.25" customHeight="1">
      <c r="A1" s="121" t="s">
        <v>0</v>
      </c>
      <c r="B1" s="19" t="s">
        <v>118</v>
      </c>
      <c r="C1" s="19" t="s">
        <v>147</v>
      </c>
      <c r="D1" s="19" t="s">
        <v>205</v>
      </c>
      <c r="E1" s="19" t="s">
        <v>2</v>
      </c>
      <c r="F1" s="19" t="s">
        <v>125</v>
      </c>
      <c r="G1" s="19" t="s">
        <v>90</v>
      </c>
      <c r="H1" s="19" t="s">
        <v>101</v>
      </c>
      <c r="I1" t="s">
        <v>204</v>
      </c>
      <c r="J1" s="19" t="s">
        <v>1</v>
      </c>
      <c r="K1" s="22" t="s">
        <v>139</v>
      </c>
      <c r="L1" s="22" t="s">
        <v>135</v>
      </c>
      <c r="M1" s="22" t="s">
        <v>162</v>
      </c>
      <c r="N1" s="22" t="s">
        <v>225</v>
      </c>
      <c r="O1" s="22" t="s">
        <v>231</v>
      </c>
      <c r="P1" s="22" t="s">
        <v>229</v>
      </c>
      <c r="Q1" s="22" t="s">
        <v>230</v>
      </c>
      <c r="R1" s="22" t="s">
        <v>227</v>
      </c>
      <c r="S1" s="22" t="s">
        <v>234</v>
      </c>
      <c r="T1" s="22" t="s">
        <v>232</v>
      </c>
      <c r="U1" s="22" t="s">
        <v>233</v>
      </c>
    </row>
    <row r="2" spans="1:21">
      <c r="B2" s="20" t="s">
        <v>109</v>
      </c>
      <c r="E2" s="20" t="s">
        <v>27</v>
      </c>
      <c r="F2" s="20" t="s">
        <v>235</v>
      </c>
      <c r="G2" s="20">
        <v>29</v>
      </c>
      <c r="I2" s="171"/>
      <c r="K2" s="21" t="str">
        <f>IF(COUNTIF(Maternelle,E2)=1,listes!$T$1,IF(COUNTIF(Elémentaire,E2)=1,listes!$U$1,IF(COUNTIF(Collège,E2)=1,listes!$V$1,IF(COUNTIF(Lycée,E2)=1,listes!$W$1,""))))</f>
        <v>Maternelle</v>
      </c>
      <c r="L2" s="21" t="str">
        <f>IF(COUNTIF(Perralière,D2)=1,listes!$P$1,IF(COUNTIF(Buers,D2)=1,listes!$J$1,IF(COUNTIF(Charpennes,D2)=1,listes!$K$1,IF(COUNTIF(Cusset,D2)=1,listes!$L$1,IF(COUNTIF(Cyprien,D2)=1,listes!$M$1,IF(COUNTIF(Ferrandière,D2)=1,listes!$N$1,IF(COUNTIF(Gratteciel,D2)=1,listes!$O$1,IF(COUNTIF(Saintjean,D2)=1,listes!$Q$1,IF(COUNTIF(horsvilleurbanne,D2)=1,listes!$R$1,"")))))))))</f>
        <v/>
      </c>
      <c r="M2" s="21" t="str">
        <f t="shared" ref="M2:M65" si="0">IF(COUNTIF(FDL,B2)=1,"FDL",IF(COUNTIF(RIZE,B2)=1,"RIZE",IF(COUNTIF(MLIS,B2)=1,"MLIS",IF(COUNTIF(PACBUS,B2)=1,"PAC-BUS",IF(COUNTIF(Tonkin,B2)=1,"Tonkin","")))))</f>
        <v>Tonkin</v>
      </c>
      <c r="N2" s="21" t="str">
        <f>T_sept_dec[[#This Row],[Etablissement accueillant]]&amp;"-"&amp;T_sept_dec[[#This Row],[Enseignant référent (Nom Prénom)]]</f>
        <v>Tonkin-GRIS Jean</v>
      </c>
      <c r="O2" s="21">
        <f>1/COUNTIF(T_sept_dec[CléEtablissement],T_sept_dec[[#This Row],[CléEtablissement]])</f>
        <v>0.5</v>
      </c>
      <c r="P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Réseau_GRIS Jean</v>
      </c>
      <c r="Q2" s="186">
        <f>1/COUNTIF(T_sept_dec[CléRéseau-Rize horsmed],T_sept_dec[[#This Row],[CléRéseau-Rize horsmed]])</f>
        <v>0.5</v>
      </c>
      <c r="R2" s="186" t="str">
        <f>IF(COUNTIF(RIZE,T_sept_dec[[#This Row],[Secteur organisateur]]),"Rize_"&amp;T_sept_dec[[#This Row],[Enseignant référent (Nom Prénom)]],"")</f>
        <v/>
      </c>
      <c r="S2" s="186">
        <f>1/COUNTIF(T_sept_dec[CléRize],T_sept_dec[[#This Row],[CléRize]])</f>
        <v>4.048582995951417E-3</v>
      </c>
      <c r="T2" s="186" t="str">
        <f>IF(COUNTIF(Total,T_sept_dec[[#This Row],[Secteur organisateur]]),"Total_"&amp;T_sept_dec[[#This Row],[Enseignant référent (Nom Prénom)]],"")</f>
        <v>Total_GRIS Jean</v>
      </c>
      <c r="U2" s="186">
        <f>1/COUNTIF(T_sept_dec[cléTotal],T_sept_dec[[#This Row],[cléTotal]])</f>
        <v>0.5</v>
      </c>
    </row>
    <row r="3" spans="1:21">
      <c r="B3" s="20" t="s">
        <v>109</v>
      </c>
      <c r="E3" s="20" t="s">
        <v>6</v>
      </c>
      <c r="F3" s="20" t="s">
        <v>235</v>
      </c>
      <c r="G3" s="20">
        <v>30</v>
      </c>
      <c r="K3" s="21" t="str">
        <f>IF(COUNTIF(Maternelle,E3)=1,listes!$T$1,IF(COUNTIF(Elémentaire,E3)=1,listes!$U$1,IF(COUNTIF(Collège,E3)=1,listes!$V$1,IF(COUNTIF(Lycée,E3)=1,listes!$W$1,""))))</f>
        <v>Maternelle</v>
      </c>
      <c r="L3" s="21" t="str">
        <f>IF(COUNTIF(Perralière,D3)=1,listes!$P$1,IF(COUNTIF(Buers,D3)=1,listes!$J$1,IF(COUNTIF(Charpennes,D3)=1,listes!$K$1,IF(COUNTIF(Cusset,D3)=1,listes!$L$1,IF(COUNTIF(Cyprien,D3)=1,listes!$M$1,IF(COUNTIF(Ferrandière,D3)=1,listes!$N$1,IF(COUNTIF(Gratteciel,D3)=1,listes!$O$1,IF(COUNTIF(Saintjean,D3)=1,listes!$Q$1,IF(COUNTIF(horsvilleurbanne,D3)=1,listes!$R$1,"")))))))))</f>
        <v/>
      </c>
      <c r="M3" s="21" t="str">
        <f t="shared" si="0"/>
        <v>Tonkin</v>
      </c>
      <c r="N3" s="21" t="str">
        <f>T_sept_dec[[#This Row],[Etablissement accueillant]]&amp;"-"&amp;T_sept_dec[[#This Row],[Enseignant référent (Nom Prénom)]]</f>
        <v>Tonkin-GRIS Jean</v>
      </c>
      <c r="O3" s="21">
        <f>1/COUNTIF(T_sept_dec[CléEtablissement],T_sept_dec[[#This Row],[CléEtablissement]])</f>
        <v>0.5</v>
      </c>
      <c r="P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Réseau_GRIS Jean</v>
      </c>
      <c r="Q3" s="186">
        <f>1/COUNTIF(T_sept_dec[CléRéseau-Rize horsmed],T_sept_dec[[#This Row],[CléRéseau-Rize horsmed]])</f>
        <v>0.5</v>
      </c>
      <c r="R3" s="186" t="str">
        <f>IF(COUNTIF(RIZE,T_sept_dec[[#This Row],[Secteur organisateur]]),"Rize_"&amp;T_sept_dec[[#This Row],[Enseignant référent (Nom Prénom)]],"")</f>
        <v/>
      </c>
      <c r="S3" s="186">
        <f>1/COUNTIF(T_sept_dec[CléRize],T_sept_dec[[#This Row],[CléRize]])</f>
        <v>4.048582995951417E-3</v>
      </c>
      <c r="T3" s="186" t="str">
        <f>IF(COUNTIF(Total,T_sept_dec[[#This Row],[Secteur organisateur]]),"Total_"&amp;T_sept_dec[[#This Row],[Enseignant référent (Nom Prénom)]],"")</f>
        <v>Total_GRIS Jean</v>
      </c>
      <c r="U3" s="186">
        <f>1/COUNTIF(T_sept_dec[cléTotal],T_sept_dec[[#This Row],[cléTotal]])</f>
        <v>0.5</v>
      </c>
    </row>
    <row r="4" spans="1:21">
      <c r="B4" s="20" t="s">
        <v>124</v>
      </c>
      <c r="E4" s="20" t="s">
        <v>27</v>
      </c>
      <c r="F4" s="20" t="s">
        <v>226</v>
      </c>
      <c r="G4" s="20">
        <v>30</v>
      </c>
      <c r="K4" s="21" t="str">
        <f>IF(COUNTIF(Maternelle,E4)=1,listes!$T$1,IF(COUNTIF(Elémentaire,E4)=1,listes!$U$1,IF(COUNTIF(Collège,E4)=1,listes!$V$1,IF(COUNTIF(Lycée,E4)=1,listes!$W$1,""))))</f>
        <v>Maternelle</v>
      </c>
      <c r="L4" s="21" t="str">
        <f>IF(COUNTIF(Perralière,D4)=1,listes!$P$1,IF(COUNTIF(Buers,D4)=1,listes!$J$1,IF(COUNTIF(Charpennes,D4)=1,listes!$K$1,IF(COUNTIF(Cusset,D4)=1,listes!$L$1,IF(COUNTIF(Cyprien,D4)=1,listes!$M$1,IF(COUNTIF(Ferrandière,D4)=1,listes!$N$1,IF(COUNTIF(Gratteciel,D4)=1,listes!$O$1,IF(COUNTIF(Saintjean,D4)=1,listes!$Q$1,IF(COUNTIF(horsvilleurbanne,D4)=1,listes!$R$1,"")))))))))</f>
        <v/>
      </c>
      <c r="M4" s="21" t="str">
        <f t="shared" si="0"/>
        <v>FDL</v>
      </c>
      <c r="N4" s="21" t="str">
        <f>T_sept_dec[[#This Row],[Etablissement accueillant]]&amp;"-"&amp;T_sept_dec[[#This Row],[Enseignant référent (Nom Prénom)]]</f>
        <v>FDL-DUPONT Laure</v>
      </c>
      <c r="O4" s="21">
        <f>1/COUNTIF(T_sept_dec[CléEtablissement],T_sept_dec[[#This Row],[CléEtablissement]])</f>
        <v>0.33333333333333331</v>
      </c>
      <c r="P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FDL_DUPONT Laure</v>
      </c>
      <c r="Q4" s="186">
        <f>1/COUNTIF(T_sept_dec[CléRéseau-Rize horsmed],T_sept_dec[[#This Row],[CléRéseau-Rize horsmed]])</f>
        <v>0.33333333333333331</v>
      </c>
      <c r="R4" s="186" t="str">
        <f>IF(COUNTIF(RIZE,T_sept_dec[[#This Row],[Secteur organisateur]]),"Rize_"&amp;T_sept_dec[[#This Row],[Enseignant référent (Nom Prénom)]],"")</f>
        <v/>
      </c>
      <c r="S4" s="186">
        <f>1/COUNTIF(T_sept_dec[CléRize],T_sept_dec[[#This Row],[CléRize]])</f>
        <v>4.048582995951417E-3</v>
      </c>
      <c r="T4" s="186" t="str">
        <f>IF(COUNTIF(Total,T_sept_dec[[#This Row],[Secteur organisateur]]),"Total_"&amp;T_sept_dec[[#This Row],[Enseignant référent (Nom Prénom)]],"")</f>
        <v>Total_DUPONT Laure</v>
      </c>
      <c r="U4" s="186">
        <f>1/COUNTIF(T_sept_dec[cléTotal],T_sept_dec[[#This Row],[cléTotal]])</f>
        <v>0.16666666666666666</v>
      </c>
    </row>
    <row r="5" spans="1:21">
      <c r="B5" s="20" t="s">
        <v>124</v>
      </c>
      <c r="E5" s="20" t="s">
        <v>27</v>
      </c>
      <c r="F5" s="20" t="s">
        <v>226</v>
      </c>
      <c r="G5" s="20">
        <v>30</v>
      </c>
      <c r="K5" s="21" t="str">
        <f>IF(COUNTIF(Maternelle,E5)=1,listes!$T$1,IF(COUNTIF(Elémentaire,E5)=1,listes!$U$1,IF(COUNTIF(Collège,E5)=1,listes!$V$1,IF(COUNTIF(Lycée,E5)=1,listes!$W$1,""))))</f>
        <v>Maternelle</v>
      </c>
      <c r="L5" s="21" t="str">
        <f>IF(COUNTIF(Perralière,D5)=1,listes!$P$1,IF(COUNTIF(Buers,D5)=1,listes!$J$1,IF(COUNTIF(Charpennes,D5)=1,listes!$K$1,IF(COUNTIF(Cusset,D5)=1,listes!$L$1,IF(COUNTIF(Cyprien,D5)=1,listes!$M$1,IF(COUNTIF(Ferrandière,D5)=1,listes!$N$1,IF(COUNTIF(Gratteciel,D5)=1,listes!$O$1,IF(COUNTIF(Saintjean,D5)=1,listes!$Q$1,IF(COUNTIF(horsvilleurbanne,D5)=1,listes!$R$1,"")))))))))</f>
        <v/>
      </c>
      <c r="M5" s="21" t="str">
        <f t="shared" si="0"/>
        <v>FDL</v>
      </c>
      <c r="N5" s="21" t="str">
        <f>T_sept_dec[[#This Row],[Etablissement accueillant]]&amp;"-"&amp;T_sept_dec[[#This Row],[Enseignant référent (Nom Prénom)]]</f>
        <v>FDL-DUPONT Laure</v>
      </c>
      <c r="O5" s="21">
        <f>1/COUNTIF(T_sept_dec[CléEtablissement],T_sept_dec[[#This Row],[CléEtablissement]])</f>
        <v>0.33333333333333331</v>
      </c>
      <c r="P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FDL_DUPONT Laure</v>
      </c>
      <c r="Q5" s="186">
        <f>1/COUNTIF(T_sept_dec[CléRéseau-Rize horsmed],T_sept_dec[[#This Row],[CléRéseau-Rize horsmed]])</f>
        <v>0.33333333333333331</v>
      </c>
      <c r="R5" s="186" t="str">
        <f>IF(COUNTIF(RIZE,T_sept_dec[[#This Row],[Secteur organisateur]]),"Rize_"&amp;T_sept_dec[[#This Row],[Enseignant référent (Nom Prénom)]],"")</f>
        <v/>
      </c>
      <c r="S5" s="186">
        <f>1/COUNTIF(T_sept_dec[CléRize],T_sept_dec[[#This Row],[CléRize]])</f>
        <v>4.048582995951417E-3</v>
      </c>
      <c r="T5" s="186" t="str">
        <f>IF(COUNTIF(Total,T_sept_dec[[#This Row],[Secteur organisateur]]),"Total_"&amp;T_sept_dec[[#This Row],[Enseignant référent (Nom Prénom)]],"")</f>
        <v>Total_DUPONT Laure</v>
      </c>
      <c r="U5" s="186">
        <f>1/COUNTIF(T_sept_dec[cléTotal],T_sept_dec[[#This Row],[cléTotal]])</f>
        <v>0.16666666666666666</v>
      </c>
    </row>
    <row r="6" spans="1:21">
      <c r="B6" s="20" t="s">
        <v>112</v>
      </c>
      <c r="F6" s="20" t="s">
        <v>236</v>
      </c>
      <c r="G6" s="20">
        <v>30</v>
      </c>
      <c r="K6" s="21" t="str">
        <f>IF(COUNTIF(Maternelle,E6)=1,listes!$T$1,IF(COUNTIF(Elémentaire,E6)=1,listes!$U$1,IF(COUNTIF(Collège,E6)=1,listes!$V$1,IF(COUNTIF(Lycée,E6)=1,listes!$W$1,""))))</f>
        <v/>
      </c>
      <c r="L6" s="21" t="str">
        <f>IF(COUNTIF(Perralière,D6)=1,listes!$P$1,IF(COUNTIF(Buers,D6)=1,listes!$J$1,IF(COUNTIF(Charpennes,D6)=1,listes!$K$1,IF(COUNTIF(Cusset,D6)=1,listes!$L$1,IF(COUNTIF(Cyprien,D6)=1,listes!$M$1,IF(COUNTIF(Ferrandière,D6)=1,listes!$N$1,IF(COUNTIF(Gratteciel,D6)=1,listes!$O$1,IF(COUNTIF(Saintjean,D6)=1,listes!$Q$1,IF(COUNTIF(horsvilleurbanne,D6)=1,listes!$R$1,"")))))))))</f>
        <v/>
      </c>
      <c r="M6" s="21" t="str">
        <f t="shared" si="0"/>
        <v>MLIS</v>
      </c>
      <c r="N6" s="21" t="str">
        <f>T_sept_dec[[#This Row],[Etablissement accueillant]]&amp;"-"&amp;T_sept_dec[[#This Row],[Enseignant référent (Nom Prénom)]]</f>
        <v>MLIS-TROIS Pierre</v>
      </c>
      <c r="O6" s="21">
        <f>1/COUNTIF(T_sept_dec[CléEtablissement],T_sept_dec[[#This Row],[CléEtablissement]])</f>
        <v>1</v>
      </c>
      <c r="P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Réseau_TROIS Pierre</v>
      </c>
      <c r="Q6" s="186">
        <f>1/COUNTIF(T_sept_dec[CléRéseau-Rize horsmed],T_sept_dec[[#This Row],[CléRéseau-Rize horsmed]])</f>
        <v>1</v>
      </c>
      <c r="R6" s="186" t="str">
        <f>IF(COUNTIF(RIZE,T_sept_dec[[#This Row],[Secteur organisateur]]),"Rize_"&amp;T_sept_dec[[#This Row],[Enseignant référent (Nom Prénom)]],"")</f>
        <v/>
      </c>
      <c r="S6" s="186">
        <f>1/COUNTIF(T_sept_dec[CléRize],T_sept_dec[[#This Row],[CléRize]])</f>
        <v>4.048582995951417E-3</v>
      </c>
      <c r="T6" s="186" t="str">
        <f>IF(COUNTIF(Total,T_sept_dec[[#This Row],[Secteur organisateur]]),"Total_"&amp;T_sept_dec[[#This Row],[Enseignant référent (Nom Prénom)]],"")</f>
        <v>Total_TROIS Pierre</v>
      </c>
      <c r="U6" s="186">
        <f>1/COUNTIF(T_sept_dec[cléTotal],T_sept_dec[[#This Row],[cléTotal]])</f>
        <v>0.5</v>
      </c>
    </row>
    <row r="7" spans="1:21">
      <c r="B7" s="20" t="s">
        <v>119</v>
      </c>
      <c r="F7" s="20" t="s">
        <v>226</v>
      </c>
      <c r="G7" s="20">
        <v>30</v>
      </c>
      <c r="K7" s="21" t="str">
        <f>IF(COUNTIF(Maternelle,E7)=1,listes!$T$1,IF(COUNTIF(Elémentaire,E7)=1,listes!$U$1,IF(COUNTIF(Collège,E7)=1,listes!$V$1,IF(COUNTIF(Lycée,E7)=1,listes!$W$1,""))))</f>
        <v/>
      </c>
      <c r="L7" s="21" t="str">
        <f>IF(COUNTIF(Perralière,D7)=1,listes!$P$1,IF(COUNTIF(Buers,D7)=1,listes!$J$1,IF(COUNTIF(Charpennes,D7)=1,listes!$K$1,IF(COUNTIF(Cusset,D7)=1,listes!$L$1,IF(COUNTIF(Cyprien,D7)=1,listes!$M$1,IF(COUNTIF(Ferrandière,D7)=1,listes!$N$1,IF(COUNTIF(Gratteciel,D7)=1,listes!$O$1,IF(COUNTIF(Saintjean,D7)=1,listes!$Q$1,IF(COUNTIF(horsvilleurbanne,D7)=1,listes!$R$1,"")))))))))</f>
        <v/>
      </c>
      <c r="M7" s="21" t="str">
        <f t="shared" si="0"/>
        <v>MLIS</v>
      </c>
      <c r="N7" s="21" t="str">
        <f>T_sept_dec[[#This Row],[Etablissement accueillant]]&amp;"-"&amp;T_sept_dec[[#This Row],[Enseignant référent (Nom Prénom)]]</f>
        <v>MLIS-DUPONT Laure</v>
      </c>
      <c r="O7" s="21">
        <f>1/COUNTIF(T_sept_dec[CléEtablissement],T_sept_dec[[#This Row],[CléEtablissement]])</f>
        <v>0.5</v>
      </c>
      <c r="P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Réseau_DUPONT Laure</v>
      </c>
      <c r="Q7" s="186">
        <f>1/COUNTIF(T_sept_dec[CléRéseau-Rize horsmed],T_sept_dec[[#This Row],[CléRéseau-Rize horsmed]])</f>
        <v>0.5</v>
      </c>
      <c r="R7" s="186" t="str">
        <f>IF(COUNTIF(RIZE,T_sept_dec[[#This Row],[Secteur organisateur]]),"Rize_"&amp;T_sept_dec[[#This Row],[Enseignant référent (Nom Prénom)]],"")</f>
        <v/>
      </c>
      <c r="S7" s="186">
        <f>1/COUNTIF(T_sept_dec[CléRize],T_sept_dec[[#This Row],[CléRize]])</f>
        <v>4.048582995951417E-3</v>
      </c>
      <c r="T7" s="186" t="str">
        <f>IF(COUNTIF(Total,T_sept_dec[[#This Row],[Secteur organisateur]]),"Total_"&amp;T_sept_dec[[#This Row],[Enseignant référent (Nom Prénom)]],"")</f>
        <v>Total_DUPONT Laure</v>
      </c>
      <c r="U7" s="186">
        <f>1/COUNTIF(T_sept_dec[cléTotal],T_sept_dec[[#This Row],[cléTotal]])</f>
        <v>0.16666666666666666</v>
      </c>
    </row>
    <row r="8" spans="1:21">
      <c r="B8" s="20" t="s">
        <v>124</v>
      </c>
      <c r="E8" s="20" t="s">
        <v>126</v>
      </c>
      <c r="F8" s="20" t="s">
        <v>226</v>
      </c>
      <c r="G8" s="20">
        <v>28</v>
      </c>
      <c r="K8" s="21" t="str">
        <f>IF(COUNTIF(Maternelle,E8)=1,listes!$T$1,IF(COUNTIF(Elémentaire,E8)=1,listes!$U$1,IF(COUNTIF(Collège,E8)=1,listes!$V$1,IF(COUNTIF(Lycée,E8)=1,listes!$W$1,""))))</f>
        <v>Elémentaire</v>
      </c>
      <c r="L8" s="21" t="str">
        <f>IF(COUNTIF(Perralière,D8)=1,listes!$P$1,IF(COUNTIF(Buers,D8)=1,listes!$J$1,IF(COUNTIF(Charpennes,D8)=1,listes!$K$1,IF(COUNTIF(Cusset,D8)=1,listes!$L$1,IF(COUNTIF(Cyprien,D8)=1,listes!$M$1,IF(COUNTIF(Ferrandière,D8)=1,listes!$N$1,IF(COUNTIF(Gratteciel,D8)=1,listes!$O$1,IF(COUNTIF(Saintjean,D8)=1,listes!$Q$1,IF(COUNTIF(horsvilleurbanne,D8)=1,listes!$R$1,"")))))))))</f>
        <v/>
      </c>
      <c r="M8" s="21" t="str">
        <f t="shared" si="0"/>
        <v>FDL</v>
      </c>
      <c r="N8" s="21" t="str">
        <f>T_sept_dec[[#This Row],[Etablissement accueillant]]&amp;"-"&amp;T_sept_dec[[#This Row],[Enseignant référent (Nom Prénom)]]</f>
        <v>FDL-DUPONT Laure</v>
      </c>
      <c r="O8" s="21">
        <f>1/COUNTIF(T_sept_dec[CléEtablissement],T_sept_dec[[#This Row],[CléEtablissement]])</f>
        <v>0.33333333333333331</v>
      </c>
      <c r="P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FDL_DUPONT Laure</v>
      </c>
      <c r="Q8" s="186">
        <f>1/COUNTIF(T_sept_dec[CléRéseau-Rize horsmed],T_sept_dec[[#This Row],[CléRéseau-Rize horsmed]])</f>
        <v>0.33333333333333331</v>
      </c>
      <c r="R8" s="186" t="str">
        <f>IF(COUNTIF(RIZE,T_sept_dec[[#This Row],[Secteur organisateur]]),"Rize_"&amp;T_sept_dec[[#This Row],[Enseignant référent (Nom Prénom)]],"")</f>
        <v/>
      </c>
      <c r="S8" s="186">
        <f>1/COUNTIF(T_sept_dec[CléRize],T_sept_dec[[#This Row],[CléRize]])</f>
        <v>4.048582995951417E-3</v>
      </c>
      <c r="T8" s="186" t="str">
        <f>IF(COUNTIF(Total,T_sept_dec[[#This Row],[Secteur organisateur]]),"Total_"&amp;T_sept_dec[[#This Row],[Enseignant référent (Nom Prénom)]],"")</f>
        <v>Total_DUPONT Laure</v>
      </c>
      <c r="U8" s="186">
        <f>1/COUNTIF(T_sept_dec[cléTotal],T_sept_dec[[#This Row],[cléTotal]])</f>
        <v>0.16666666666666666</v>
      </c>
    </row>
    <row r="9" spans="1:21">
      <c r="B9" s="20" t="s">
        <v>119</v>
      </c>
      <c r="F9" s="20" t="s">
        <v>226</v>
      </c>
      <c r="G9" s="20">
        <v>28</v>
      </c>
      <c r="K9" s="21" t="str">
        <f>IF(COUNTIF(Maternelle,E9)=1,listes!$T$1,IF(COUNTIF(Elémentaire,E9)=1,listes!$U$1,IF(COUNTIF(Collège,E9)=1,listes!$V$1,IF(COUNTIF(Lycée,E9)=1,listes!$W$1,""))))</f>
        <v/>
      </c>
      <c r="L9" s="21" t="str">
        <f>IF(COUNTIF(Perralière,D9)=1,listes!$P$1,IF(COUNTIF(Buers,D9)=1,listes!$J$1,IF(COUNTIF(Charpennes,D9)=1,listes!$K$1,IF(COUNTIF(Cusset,D9)=1,listes!$L$1,IF(COUNTIF(Cyprien,D9)=1,listes!$M$1,IF(COUNTIF(Ferrandière,D9)=1,listes!$N$1,IF(COUNTIF(Gratteciel,D9)=1,listes!$O$1,IF(COUNTIF(Saintjean,D9)=1,listes!$Q$1,IF(COUNTIF(horsvilleurbanne,D9)=1,listes!$R$1,"")))))))))</f>
        <v/>
      </c>
      <c r="M9" s="21" t="str">
        <f t="shared" si="0"/>
        <v>MLIS</v>
      </c>
      <c r="N9" s="21" t="str">
        <f>T_sept_dec[[#This Row],[Etablissement accueillant]]&amp;"-"&amp;T_sept_dec[[#This Row],[Enseignant référent (Nom Prénom)]]</f>
        <v>MLIS-DUPONT Laure</v>
      </c>
      <c r="O9" s="21">
        <f>1/COUNTIF(T_sept_dec[CléEtablissement],T_sept_dec[[#This Row],[CléEtablissement]])</f>
        <v>0.5</v>
      </c>
      <c r="P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Réseau_DUPONT Laure</v>
      </c>
      <c r="Q9" s="186">
        <f>1/COUNTIF(T_sept_dec[CléRéseau-Rize horsmed],T_sept_dec[[#This Row],[CléRéseau-Rize horsmed]])</f>
        <v>0.5</v>
      </c>
      <c r="R9" s="186" t="str">
        <f>IF(COUNTIF(RIZE,T_sept_dec[[#This Row],[Secteur organisateur]]),"Rize_"&amp;T_sept_dec[[#This Row],[Enseignant référent (Nom Prénom)]],"")</f>
        <v/>
      </c>
      <c r="S9" s="186">
        <f>1/COUNTIF(T_sept_dec[CléRize],T_sept_dec[[#This Row],[CléRize]])</f>
        <v>4.048582995951417E-3</v>
      </c>
      <c r="T9" s="186" t="str">
        <f>IF(COUNTIF(Total,T_sept_dec[[#This Row],[Secteur organisateur]]),"Total_"&amp;T_sept_dec[[#This Row],[Enseignant référent (Nom Prénom)]],"")</f>
        <v>Total_DUPONT Laure</v>
      </c>
      <c r="U9" s="186">
        <f>1/COUNTIF(T_sept_dec[cléTotal],T_sept_dec[[#This Row],[cléTotal]])</f>
        <v>0.16666666666666666</v>
      </c>
    </row>
    <row r="10" spans="1:21">
      <c r="B10" s="20" t="s">
        <v>161</v>
      </c>
      <c r="F10" s="20" t="s">
        <v>226</v>
      </c>
      <c r="G10" s="20">
        <v>30</v>
      </c>
      <c r="K10" s="21" t="str">
        <f>IF(COUNTIF(Maternelle,E10)=1,listes!$T$1,IF(COUNTIF(Elémentaire,E10)=1,listes!$U$1,IF(COUNTIF(Collège,E10)=1,listes!$V$1,IF(COUNTIF(Lycée,E10)=1,listes!$W$1,""))))</f>
        <v/>
      </c>
      <c r="L10" s="21" t="str">
        <f>IF(COUNTIF(Perralière,D10)=1,listes!$P$1,IF(COUNTIF(Buers,D10)=1,listes!$J$1,IF(COUNTIF(Charpennes,D10)=1,listes!$K$1,IF(COUNTIF(Cusset,D10)=1,listes!$L$1,IF(COUNTIF(Cyprien,D10)=1,listes!$M$1,IF(COUNTIF(Ferrandière,D10)=1,listes!$N$1,IF(COUNTIF(Gratteciel,D10)=1,listes!$O$1,IF(COUNTIF(Saintjean,D10)=1,listes!$Q$1,IF(COUNTIF(horsvilleurbanne,D10)=1,listes!$R$1,"")))))))))</f>
        <v/>
      </c>
      <c r="M10" s="21" t="str">
        <f t="shared" si="0"/>
        <v>RIZE</v>
      </c>
      <c r="N10" s="21" t="str">
        <f>T_sept_dec[[#This Row],[Etablissement accueillant]]&amp;"-"&amp;T_sept_dec[[#This Row],[Enseignant référent (Nom Prénom)]]</f>
        <v>RIZE-DUPONT Laure</v>
      </c>
      <c r="O10" s="21">
        <f>1/COUNTIF(T_sept_dec[CléEtablissement],T_sept_dec[[#This Row],[CléEtablissement]])</f>
        <v>1</v>
      </c>
      <c r="P1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Rizehorsmed_DUPONT Laure</v>
      </c>
      <c r="Q10" s="186">
        <f>1/COUNTIF(T_sept_dec[CléRéseau-Rize horsmed],T_sept_dec[[#This Row],[CléRéseau-Rize horsmed]])</f>
        <v>1</v>
      </c>
      <c r="R10" s="186" t="str">
        <f>IF(COUNTIF(RIZE,T_sept_dec[[#This Row],[Secteur organisateur]]),"Rize_"&amp;T_sept_dec[[#This Row],[Enseignant référent (Nom Prénom)]],"")</f>
        <v>Rize_DUPONT Laure</v>
      </c>
      <c r="S10" s="186">
        <f>1/COUNTIF(T_sept_dec[CléRize],T_sept_dec[[#This Row],[CléRize]])</f>
        <v>1</v>
      </c>
      <c r="T10" s="186" t="str">
        <f>IF(COUNTIF(Total,T_sept_dec[[#This Row],[Secteur organisateur]]),"Total_"&amp;T_sept_dec[[#This Row],[Enseignant référent (Nom Prénom)]],"")</f>
        <v>Total_DUPONT Laure</v>
      </c>
      <c r="U10" s="186">
        <f>1/COUNTIF(T_sept_dec[cléTotal],T_sept_dec[[#This Row],[cléTotal]])</f>
        <v>0.16666666666666666</v>
      </c>
    </row>
    <row r="11" spans="1:21">
      <c r="B11" s="20" t="s">
        <v>169</v>
      </c>
      <c r="F11" s="20" t="s">
        <v>236</v>
      </c>
      <c r="G11" s="20">
        <v>30</v>
      </c>
      <c r="K11" s="21" t="str">
        <f>IF(COUNTIF(Maternelle,E11)=1,listes!$T$1,IF(COUNTIF(Elémentaire,E11)=1,listes!$U$1,IF(COUNTIF(Collège,E11)=1,listes!$V$1,IF(COUNTIF(Lycée,E11)=1,listes!$W$1,""))))</f>
        <v/>
      </c>
      <c r="L11" s="21" t="str">
        <f>IF(COUNTIF(Perralière,D11)=1,listes!$P$1,IF(COUNTIF(Buers,D11)=1,listes!$J$1,IF(COUNTIF(Charpennes,D11)=1,listes!$K$1,IF(COUNTIF(Cusset,D11)=1,listes!$L$1,IF(COUNTIF(Cyprien,D11)=1,listes!$M$1,IF(COUNTIF(Ferrandière,D11)=1,listes!$N$1,IF(COUNTIF(Gratteciel,D11)=1,listes!$O$1,IF(COUNTIF(Saintjean,D11)=1,listes!$Q$1,IF(COUNTIF(horsvilleurbanne,D11)=1,listes!$R$1,"")))))))))</f>
        <v/>
      </c>
      <c r="M11" s="21" t="str">
        <f t="shared" si="0"/>
        <v>RIZE</v>
      </c>
      <c r="N11" s="21" t="str">
        <f>T_sept_dec[[#This Row],[Etablissement accueillant]]&amp;"-"&amp;T_sept_dec[[#This Row],[Enseignant référent (Nom Prénom)]]</f>
        <v>RIZE-TROIS Pierre</v>
      </c>
      <c r="O11" s="21">
        <f>1/COUNTIF(T_sept_dec[CléEtablissement],T_sept_dec[[#This Row],[CléEtablissement]])</f>
        <v>1</v>
      </c>
      <c r="P1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Rizehorsmed_TROIS Pierre</v>
      </c>
      <c r="Q11" s="186">
        <f>1/COUNTIF(T_sept_dec[CléRéseau-Rize horsmed],T_sept_dec[[#This Row],[CléRéseau-Rize horsmed]])</f>
        <v>1</v>
      </c>
      <c r="R11" s="186" t="str">
        <f>IF(COUNTIF(RIZE,T_sept_dec[[#This Row],[Secteur organisateur]]),"Rize_"&amp;T_sept_dec[[#This Row],[Enseignant référent (Nom Prénom)]],"")</f>
        <v>Rize_TROIS Pierre</v>
      </c>
      <c r="S11" s="186">
        <f>1/COUNTIF(T_sept_dec[CléRize],T_sept_dec[[#This Row],[CléRize]])</f>
        <v>1</v>
      </c>
      <c r="T11" s="186" t="str">
        <f>IF(COUNTIF(Total,T_sept_dec[[#This Row],[Secteur organisateur]]),"Total_"&amp;T_sept_dec[[#This Row],[Enseignant référent (Nom Prénom)]],"")</f>
        <v>Total_TROIS Pierre</v>
      </c>
      <c r="U11" s="186">
        <f>1/COUNTIF(T_sept_dec[cléTotal],T_sept_dec[[#This Row],[cléTotal]])</f>
        <v>0.5</v>
      </c>
    </row>
    <row r="12" spans="1:21">
      <c r="K12" s="21" t="str">
        <f>IF(COUNTIF(Maternelle,E12)=1,listes!$T$1,IF(COUNTIF(Elémentaire,E12)=1,listes!$U$1,IF(COUNTIF(Collège,E12)=1,listes!$V$1,IF(COUNTIF(Lycée,E12)=1,listes!$W$1,""))))</f>
        <v/>
      </c>
      <c r="L12" s="21" t="str">
        <f>IF(COUNTIF(Perralière,D12)=1,listes!$P$1,IF(COUNTIF(Buers,D12)=1,listes!$J$1,IF(COUNTIF(Charpennes,D12)=1,listes!$K$1,IF(COUNTIF(Cusset,D12)=1,listes!$L$1,IF(COUNTIF(Cyprien,D12)=1,listes!$M$1,IF(COUNTIF(Ferrandière,D12)=1,listes!$N$1,IF(COUNTIF(Gratteciel,D12)=1,listes!$O$1,IF(COUNTIF(Saintjean,D12)=1,listes!$Q$1,IF(COUNTIF(horsvilleurbanne,D12)=1,listes!$R$1,"")))))))))</f>
        <v/>
      </c>
      <c r="M12" s="21" t="str">
        <f t="shared" si="0"/>
        <v/>
      </c>
      <c r="N12" s="21" t="str">
        <f>T_sept_dec[[#This Row],[Etablissement accueillant]]&amp;"-"&amp;T_sept_dec[[#This Row],[Enseignant référent (Nom Prénom)]]</f>
        <v>-</v>
      </c>
      <c r="O12" s="21">
        <f>1/COUNTIF(T_sept_dec[CléEtablissement],T_sept_dec[[#This Row],[CléEtablissement]])</f>
        <v>4.1841004184100415E-3</v>
      </c>
      <c r="P1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 s="186">
        <f>1/COUNTIF(T_sept_dec[CléRéseau-Rize horsmed],T_sept_dec[[#This Row],[CléRéseau-Rize horsmed]])</f>
        <v>4.1841004184100415E-3</v>
      </c>
      <c r="R12" s="186" t="str">
        <f>IF(COUNTIF(RIZE,T_sept_dec[[#This Row],[Secteur organisateur]]),"Rize_"&amp;T_sept_dec[[#This Row],[Enseignant référent (Nom Prénom)]],"")</f>
        <v/>
      </c>
      <c r="S12" s="186">
        <f>1/COUNTIF(T_sept_dec[CléRize],T_sept_dec[[#This Row],[CléRize]])</f>
        <v>4.048582995951417E-3</v>
      </c>
      <c r="T12" s="186" t="str">
        <f>IF(COUNTIF(Total,T_sept_dec[[#This Row],[Secteur organisateur]]),"Total_"&amp;T_sept_dec[[#This Row],[Enseignant référent (Nom Prénom)]],"")</f>
        <v/>
      </c>
      <c r="U12" s="186">
        <f>1/COUNTIF(T_sept_dec[cléTotal],T_sept_dec[[#This Row],[cléTotal]])</f>
        <v>4.1841004184100415E-3</v>
      </c>
    </row>
    <row r="13" spans="1:21">
      <c r="K13" s="21" t="str">
        <f>IF(COUNTIF(Maternelle,E13)=1,listes!$T$1,IF(COUNTIF(Elémentaire,E13)=1,listes!$U$1,IF(COUNTIF(Collège,E13)=1,listes!$V$1,IF(COUNTIF(Lycée,E13)=1,listes!$W$1,""))))</f>
        <v/>
      </c>
      <c r="L13" s="21" t="str">
        <f>IF(COUNTIF(Perralière,D13)=1,listes!$P$1,IF(COUNTIF(Buers,D13)=1,listes!$J$1,IF(COUNTIF(Charpennes,D13)=1,listes!$K$1,IF(COUNTIF(Cusset,D13)=1,listes!$L$1,IF(COUNTIF(Cyprien,D13)=1,listes!$M$1,IF(COUNTIF(Ferrandière,D13)=1,listes!$N$1,IF(COUNTIF(Gratteciel,D13)=1,listes!$O$1,IF(COUNTIF(Saintjean,D13)=1,listes!$Q$1,IF(COUNTIF(horsvilleurbanne,D13)=1,listes!$R$1,"")))))))))</f>
        <v/>
      </c>
      <c r="M13" s="21" t="str">
        <f t="shared" si="0"/>
        <v/>
      </c>
      <c r="N13" s="21" t="str">
        <f>T_sept_dec[[#This Row],[Etablissement accueillant]]&amp;"-"&amp;T_sept_dec[[#This Row],[Enseignant référent (Nom Prénom)]]</f>
        <v>-</v>
      </c>
      <c r="O13" s="21">
        <f>1/COUNTIF(T_sept_dec[CléEtablissement],T_sept_dec[[#This Row],[CléEtablissement]])</f>
        <v>4.1841004184100415E-3</v>
      </c>
      <c r="P1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 s="186">
        <f>1/COUNTIF(T_sept_dec[CléRéseau-Rize horsmed],T_sept_dec[[#This Row],[CléRéseau-Rize horsmed]])</f>
        <v>4.1841004184100415E-3</v>
      </c>
      <c r="R13" s="186" t="str">
        <f>IF(COUNTIF(RIZE,T_sept_dec[[#This Row],[Secteur organisateur]]),"Rize_"&amp;T_sept_dec[[#This Row],[Enseignant référent (Nom Prénom)]],"")</f>
        <v/>
      </c>
      <c r="S13" s="186">
        <f>1/COUNTIF(T_sept_dec[CléRize],T_sept_dec[[#This Row],[CléRize]])</f>
        <v>4.048582995951417E-3</v>
      </c>
      <c r="T13" s="186" t="str">
        <f>IF(COUNTIF(Total,T_sept_dec[[#This Row],[Secteur organisateur]]),"Total_"&amp;T_sept_dec[[#This Row],[Enseignant référent (Nom Prénom)]],"")</f>
        <v/>
      </c>
      <c r="U13" s="186">
        <f>1/COUNTIF(T_sept_dec[cléTotal],T_sept_dec[[#This Row],[cléTotal]])</f>
        <v>4.1841004184100415E-3</v>
      </c>
    </row>
    <row r="14" spans="1:21">
      <c r="K14" s="21" t="str">
        <f>IF(COUNTIF(Maternelle,E14)=1,listes!$T$1,IF(COUNTIF(Elémentaire,E14)=1,listes!$U$1,IF(COUNTIF(Collège,E14)=1,listes!$V$1,IF(COUNTIF(Lycée,E14)=1,listes!$W$1,""))))</f>
        <v/>
      </c>
      <c r="L14" s="21" t="str">
        <f>IF(COUNTIF(Perralière,D14)=1,listes!$P$1,IF(COUNTIF(Buers,D14)=1,listes!$J$1,IF(COUNTIF(Charpennes,D14)=1,listes!$K$1,IF(COUNTIF(Cusset,D14)=1,listes!$L$1,IF(COUNTIF(Cyprien,D14)=1,listes!$M$1,IF(COUNTIF(Ferrandière,D14)=1,listes!$N$1,IF(COUNTIF(Gratteciel,D14)=1,listes!$O$1,IF(COUNTIF(Saintjean,D14)=1,listes!$Q$1,IF(COUNTIF(horsvilleurbanne,D14)=1,listes!$R$1,"")))))))))</f>
        <v/>
      </c>
      <c r="M14" s="21" t="str">
        <f t="shared" si="0"/>
        <v/>
      </c>
      <c r="N14" s="21" t="str">
        <f>T_sept_dec[[#This Row],[Etablissement accueillant]]&amp;"-"&amp;T_sept_dec[[#This Row],[Enseignant référent (Nom Prénom)]]</f>
        <v>-</v>
      </c>
      <c r="O14" s="21">
        <f>1/COUNTIF(T_sept_dec[CléEtablissement],T_sept_dec[[#This Row],[CléEtablissement]])</f>
        <v>4.1841004184100415E-3</v>
      </c>
      <c r="P1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 s="186">
        <f>1/COUNTIF(T_sept_dec[CléRéseau-Rize horsmed],T_sept_dec[[#This Row],[CléRéseau-Rize horsmed]])</f>
        <v>4.1841004184100415E-3</v>
      </c>
      <c r="R14" s="186" t="str">
        <f>IF(COUNTIF(RIZE,T_sept_dec[[#This Row],[Secteur organisateur]]),"Rize_"&amp;T_sept_dec[[#This Row],[Enseignant référent (Nom Prénom)]],"")</f>
        <v/>
      </c>
      <c r="S14" s="186">
        <f>1/COUNTIF(T_sept_dec[CléRize],T_sept_dec[[#This Row],[CléRize]])</f>
        <v>4.048582995951417E-3</v>
      </c>
      <c r="T14" s="186" t="str">
        <f>IF(COUNTIF(Total,T_sept_dec[[#This Row],[Secteur organisateur]]),"Total_"&amp;T_sept_dec[[#This Row],[Enseignant référent (Nom Prénom)]],"")</f>
        <v/>
      </c>
      <c r="U14" s="186">
        <f>1/COUNTIF(T_sept_dec[cléTotal],T_sept_dec[[#This Row],[cléTotal]])</f>
        <v>4.1841004184100415E-3</v>
      </c>
    </row>
    <row r="15" spans="1:21">
      <c r="K15" s="21" t="str">
        <f>IF(COUNTIF(Maternelle,E15)=1,listes!$T$1,IF(COUNTIF(Elémentaire,E15)=1,listes!$U$1,IF(COUNTIF(Collège,E15)=1,listes!$V$1,IF(COUNTIF(Lycée,E15)=1,listes!$W$1,""))))</f>
        <v/>
      </c>
      <c r="L15" s="21" t="str">
        <f>IF(COUNTIF(Perralière,D15)=1,listes!$P$1,IF(COUNTIF(Buers,D15)=1,listes!$J$1,IF(COUNTIF(Charpennes,D15)=1,listes!$K$1,IF(COUNTIF(Cusset,D15)=1,listes!$L$1,IF(COUNTIF(Cyprien,D15)=1,listes!$M$1,IF(COUNTIF(Ferrandière,D15)=1,listes!$N$1,IF(COUNTIF(Gratteciel,D15)=1,listes!$O$1,IF(COUNTIF(Saintjean,D15)=1,listes!$Q$1,IF(COUNTIF(horsvilleurbanne,D15)=1,listes!$R$1,"")))))))))</f>
        <v/>
      </c>
      <c r="M15" s="21" t="str">
        <f t="shared" si="0"/>
        <v/>
      </c>
      <c r="N15" s="21" t="str">
        <f>T_sept_dec[[#This Row],[Etablissement accueillant]]&amp;"-"&amp;T_sept_dec[[#This Row],[Enseignant référent (Nom Prénom)]]</f>
        <v>-</v>
      </c>
      <c r="O15" s="21">
        <f>1/COUNTIF(T_sept_dec[CléEtablissement],T_sept_dec[[#This Row],[CléEtablissement]])</f>
        <v>4.1841004184100415E-3</v>
      </c>
      <c r="P1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 s="186">
        <f>1/COUNTIF(T_sept_dec[CléRéseau-Rize horsmed],T_sept_dec[[#This Row],[CléRéseau-Rize horsmed]])</f>
        <v>4.1841004184100415E-3</v>
      </c>
      <c r="R15" s="186" t="str">
        <f>IF(COUNTIF(RIZE,T_sept_dec[[#This Row],[Secteur organisateur]]),"Rize_"&amp;T_sept_dec[[#This Row],[Enseignant référent (Nom Prénom)]],"")</f>
        <v/>
      </c>
      <c r="S15" s="186">
        <f>1/COUNTIF(T_sept_dec[CléRize],T_sept_dec[[#This Row],[CléRize]])</f>
        <v>4.048582995951417E-3</v>
      </c>
      <c r="T15" s="186" t="str">
        <f>IF(COUNTIF(Total,T_sept_dec[[#This Row],[Secteur organisateur]]),"Total_"&amp;T_sept_dec[[#This Row],[Enseignant référent (Nom Prénom)]],"")</f>
        <v/>
      </c>
      <c r="U15" s="186">
        <f>1/COUNTIF(T_sept_dec[cléTotal],T_sept_dec[[#This Row],[cléTotal]])</f>
        <v>4.1841004184100415E-3</v>
      </c>
    </row>
    <row r="16" spans="1:21">
      <c r="K16" s="21" t="str">
        <f>IF(COUNTIF(Maternelle,E16)=1,listes!$T$1,IF(COUNTIF(Elémentaire,E16)=1,listes!$U$1,IF(COUNTIF(Collège,E16)=1,listes!$V$1,IF(COUNTIF(Lycée,E16)=1,listes!$W$1,""))))</f>
        <v/>
      </c>
      <c r="L16" s="21" t="str">
        <f>IF(COUNTIF(Perralière,D16)=1,listes!$P$1,IF(COUNTIF(Buers,D16)=1,listes!$J$1,IF(COUNTIF(Charpennes,D16)=1,listes!$K$1,IF(COUNTIF(Cusset,D16)=1,listes!$L$1,IF(COUNTIF(Cyprien,D16)=1,listes!$M$1,IF(COUNTIF(Ferrandière,D16)=1,listes!$N$1,IF(COUNTIF(Gratteciel,D16)=1,listes!$O$1,IF(COUNTIF(Saintjean,D16)=1,listes!$Q$1,IF(COUNTIF(horsvilleurbanne,D16)=1,listes!$R$1,"")))))))))</f>
        <v/>
      </c>
      <c r="M16" s="21" t="str">
        <f t="shared" si="0"/>
        <v/>
      </c>
      <c r="N16" s="21" t="str">
        <f>T_sept_dec[[#This Row],[Etablissement accueillant]]&amp;"-"&amp;T_sept_dec[[#This Row],[Enseignant référent (Nom Prénom)]]</f>
        <v>-</v>
      </c>
      <c r="O16" s="21">
        <f>1/COUNTIF(T_sept_dec[CléEtablissement],T_sept_dec[[#This Row],[CléEtablissement]])</f>
        <v>4.1841004184100415E-3</v>
      </c>
      <c r="P1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 s="186">
        <f>1/COUNTIF(T_sept_dec[CléRéseau-Rize horsmed],T_sept_dec[[#This Row],[CléRéseau-Rize horsmed]])</f>
        <v>4.1841004184100415E-3</v>
      </c>
      <c r="R16" s="186" t="str">
        <f>IF(COUNTIF(RIZE,T_sept_dec[[#This Row],[Secteur organisateur]]),"Rize_"&amp;T_sept_dec[[#This Row],[Enseignant référent (Nom Prénom)]],"")</f>
        <v/>
      </c>
      <c r="S16" s="186">
        <f>1/COUNTIF(T_sept_dec[CléRize],T_sept_dec[[#This Row],[CléRize]])</f>
        <v>4.048582995951417E-3</v>
      </c>
      <c r="T16" s="186" t="str">
        <f>IF(COUNTIF(Total,T_sept_dec[[#This Row],[Secteur organisateur]]),"Total_"&amp;T_sept_dec[[#This Row],[Enseignant référent (Nom Prénom)]],"")</f>
        <v/>
      </c>
      <c r="U16" s="186">
        <f>1/COUNTIF(T_sept_dec[cléTotal],T_sept_dec[[#This Row],[cléTotal]])</f>
        <v>4.1841004184100415E-3</v>
      </c>
    </row>
    <row r="17" spans="1:21">
      <c r="K17" s="21" t="str">
        <f>IF(COUNTIF(Maternelle,E17)=1,listes!$T$1,IF(COUNTIF(Elémentaire,E17)=1,listes!$U$1,IF(COUNTIF(Collège,E17)=1,listes!$V$1,IF(COUNTIF(Lycée,E17)=1,listes!$W$1,""))))</f>
        <v/>
      </c>
      <c r="L17" s="21" t="str">
        <f>IF(COUNTIF(Perralière,D17)=1,listes!$P$1,IF(COUNTIF(Buers,D17)=1,listes!$J$1,IF(COUNTIF(Charpennes,D17)=1,listes!$K$1,IF(COUNTIF(Cusset,D17)=1,listes!$L$1,IF(COUNTIF(Cyprien,D17)=1,listes!$M$1,IF(COUNTIF(Ferrandière,D17)=1,listes!$N$1,IF(COUNTIF(Gratteciel,D17)=1,listes!$O$1,IF(COUNTIF(Saintjean,D17)=1,listes!$Q$1,IF(COUNTIF(horsvilleurbanne,D17)=1,listes!$R$1,"")))))))))</f>
        <v/>
      </c>
      <c r="M17" s="21" t="str">
        <f t="shared" si="0"/>
        <v/>
      </c>
      <c r="N17" s="21" t="str">
        <f>T_sept_dec[[#This Row],[Etablissement accueillant]]&amp;"-"&amp;T_sept_dec[[#This Row],[Enseignant référent (Nom Prénom)]]</f>
        <v>-</v>
      </c>
      <c r="O17" s="21">
        <f>1/COUNTIF(T_sept_dec[CléEtablissement],T_sept_dec[[#This Row],[CléEtablissement]])</f>
        <v>4.1841004184100415E-3</v>
      </c>
      <c r="P1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 s="186">
        <f>1/COUNTIF(T_sept_dec[CléRéseau-Rize horsmed],T_sept_dec[[#This Row],[CléRéseau-Rize horsmed]])</f>
        <v>4.1841004184100415E-3</v>
      </c>
      <c r="R17" s="186" t="str">
        <f>IF(COUNTIF(RIZE,T_sept_dec[[#This Row],[Secteur organisateur]]),"Rize_"&amp;T_sept_dec[[#This Row],[Enseignant référent (Nom Prénom)]],"")</f>
        <v/>
      </c>
      <c r="S17" s="186">
        <f>1/COUNTIF(T_sept_dec[CléRize],T_sept_dec[[#This Row],[CléRize]])</f>
        <v>4.048582995951417E-3</v>
      </c>
      <c r="T17" s="186" t="str">
        <f>IF(COUNTIF(Total,T_sept_dec[[#This Row],[Secteur organisateur]]),"Total_"&amp;T_sept_dec[[#This Row],[Enseignant référent (Nom Prénom)]],"")</f>
        <v/>
      </c>
      <c r="U17" s="186">
        <f>1/COUNTIF(T_sept_dec[cléTotal],T_sept_dec[[#This Row],[cléTotal]])</f>
        <v>4.1841004184100415E-3</v>
      </c>
    </row>
    <row r="18" spans="1:21">
      <c r="K18" s="21" t="str">
        <f>IF(COUNTIF(Maternelle,E18)=1,listes!$T$1,IF(COUNTIF(Elémentaire,E18)=1,listes!$U$1,IF(COUNTIF(Collège,E18)=1,listes!$V$1,IF(COUNTIF(Lycée,E18)=1,listes!$W$1,""))))</f>
        <v/>
      </c>
      <c r="L18" s="21" t="str">
        <f>IF(COUNTIF(Perralière,D18)=1,listes!$P$1,IF(COUNTIF(Buers,D18)=1,listes!$J$1,IF(COUNTIF(Charpennes,D18)=1,listes!$K$1,IF(COUNTIF(Cusset,D18)=1,listes!$L$1,IF(COUNTIF(Cyprien,D18)=1,listes!$M$1,IF(COUNTIF(Ferrandière,D18)=1,listes!$N$1,IF(COUNTIF(Gratteciel,D18)=1,listes!$O$1,IF(COUNTIF(Saintjean,D18)=1,listes!$Q$1,IF(COUNTIF(horsvilleurbanne,D18)=1,listes!$R$1,"")))))))))</f>
        <v/>
      </c>
      <c r="M18" s="21" t="str">
        <f t="shared" si="0"/>
        <v/>
      </c>
      <c r="N18" s="21" t="str">
        <f>T_sept_dec[[#This Row],[Etablissement accueillant]]&amp;"-"&amp;T_sept_dec[[#This Row],[Enseignant référent (Nom Prénom)]]</f>
        <v>-</v>
      </c>
      <c r="O18" s="21">
        <f>1/COUNTIF(T_sept_dec[CléEtablissement],T_sept_dec[[#This Row],[CléEtablissement]])</f>
        <v>4.1841004184100415E-3</v>
      </c>
      <c r="P1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 s="186">
        <f>1/COUNTIF(T_sept_dec[CléRéseau-Rize horsmed],T_sept_dec[[#This Row],[CléRéseau-Rize horsmed]])</f>
        <v>4.1841004184100415E-3</v>
      </c>
      <c r="R18" s="186" t="str">
        <f>IF(COUNTIF(RIZE,T_sept_dec[[#This Row],[Secteur organisateur]]),"Rize_"&amp;T_sept_dec[[#This Row],[Enseignant référent (Nom Prénom)]],"")</f>
        <v/>
      </c>
      <c r="S18" s="186">
        <f>1/COUNTIF(T_sept_dec[CléRize],T_sept_dec[[#This Row],[CléRize]])</f>
        <v>4.048582995951417E-3</v>
      </c>
      <c r="T18" s="186" t="str">
        <f>IF(COUNTIF(Total,T_sept_dec[[#This Row],[Secteur organisateur]]),"Total_"&amp;T_sept_dec[[#This Row],[Enseignant référent (Nom Prénom)]],"")</f>
        <v/>
      </c>
      <c r="U18" s="186">
        <f>1/COUNTIF(T_sept_dec[cléTotal],T_sept_dec[[#This Row],[cléTotal]])</f>
        <v>4.1841004184100415E-3</v>
      </c>
    </row>
    <row r="19" spans="1:21">
      <c r="K19" s="21" t="str">
        <f>IF(COUNTIF(Maternelle,E19)=1,listes!$T$1,IF(COUNTIF(Elémentaire,E19)=1,listes!$U$1,IF(COUNTIF(Collège,E19)=1,listes!$V$1,IF(COUNTIF(Lycée,E19)=1,listes!$W$1,""))))</f>
        <v/>
      </c>
      <c r="L19" s="21" t="str">
        <f>IF(COUNTIF(Perralière,D19)=1,listes!$P$1,IF(COUNTIF(Buers,D19)=1,listes!$J$1,IF(COUNTIF(Charpennes,D19)=1,listes!$K$1,IF(COUNTIF(Cusset,D19)=1,listes!$L$1,IF(COUNTIF(Cyprien,D19)=1,listes!$M$1,IF(COUNTIF(Ferrandière,D19)=1,listes!$N$1,IF(COUNTIF(Gratteciel,D19)=1,listes!$O$1,IF(COUNTIF(Saintjean,D19)=1,listes!$Q$1,IF(COUNTIF(horsvilleurbanne,D19)=1,listes!$R$1,"")))))))))</f>
        <v/>
      </c>
      <c r="M19" s="21" t="str">
        <f t="shared" si="0"/>
        <v/>
      </c>
      <c r="N19" s="21" t="str">
        <f>T_sept_dec[[#This Row],[Etablissement accueillant]]&amp;"-"&amp;T_sept_dec[[#This Row],[Enseignant référent (Nom Prénom)]]</f>
        <v>-</v>
      </c>
      <c r="O19" s="21">
        <f>1/COUNTIF(T_sept_dec[CléEtablissement],T_sept_dec[[#This Row],[CléEtablissement]])</f>
        <v>4.1841004184100415E-3</v>
      </c>
      <c r="P1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 s="186">
        <f>1/COUNTIF(T_sept_dec[CléRéseau-Rize horsmed],T_sept_dec[[#This Row],[CléRéseau-Rize horsmed]])</f>
        <v>4.1841004184100415E-3</v>
      </c>
      <c r="R19" s="186" t="str">
        <f>IF(COUNTIF(RIZE,T_sept_dec[[#This Row],[Secteur organisateur]]),"Rize_"&amp;T_sept_dec[[#This Row],[Enseignant référent (Nom Prénom)]],"")</f>
        <v/>
      </c>
      <c r="S19" s="186">
        <f>1/COUNTIF(T_sept_dec[CléRize],T_sept_dec[[#This Row],[CléRize]])</f>
        <v>4.048582995951417E-3</v>
      </c>
      <c r="T19" s="186" t="str">
        <f>IF(COUNTIF(Total,T_sept_dec[[#This Row],[Secteur organisateur]]),"Total_"&amp;T_sept_dec[[#This Row],[Enseignant référent (Nom Prénom)]],"")</f>
        <v/>
      </c>
      <c r="U19" s="186">
        <f>1/COUNTIF(T_sept_dec[cléTotal],T_sept_dec[[#This Row],[cléTotal]])</f>
        <v>4.1841004184100415E-3</v>
      </c>
    </row>
    <row r="20" spans="1:21">
      <c r="K20" s="21" t="str">
        <f>IF(COUNTIF(Maternelle,E20)=1,listes!$T$1,IF(COUNTIF(Elémentaire,E20)=1,listes!$U$1,IF(COUNTIF(Collège,E20)=1,listes!$V$1,IF(COUNTIF(Lycée,E20)=1,listes!$W$1,""))))</f>
        <v/>
      </c>
      <c r="L20" s="21" t="str">
        <f>IF(COUNTIF(Perralière,D20)=1,listes!$P$1,IF(COUNTIF(Buers,D20)=1,listes!$J$1,IF(COUNTIF(Charpennes,D20)=1,listes!$K$1,IF(COUNTIF(Cusset,D20)=1,listes!$L$1,IF(COUNTIF(Cyprien,D20)=1,listes!$M$1,IF(COUNTIF(Ferrandière,D20)=1,listes!$N$1,IF(COUNTIF(Gratteciel,D20)=1,listes!$O$1,IF(COUNTIF(Saintjean,D20)=1,listes!$Q$1,IF(COUNTIF(horsvilleurbanne,D20)=1,listes!$R$1,"")))))))))</f>
        <v/>
      </c>
      <c r="M20" s="21" t="str">
        <f t="shared" si="0"/>
        <v/>
      </c>
      <c r="N20" s="21" t="str">
        <f>T_sept_dec[[#This Row],[Etablissement accueillant]]&amp;"-"&amp;T_sept_dec[[#This Row],[Enseignant référent (Nom Prénom)]]</f>
        <v>-</v>
      </c>
      <c r="O20" s="21">
        <f>1/COUNTIF(T_sept_dec[CléEtablissement],T_sept_dec[[#This Row],[CléEtablissement]])</f>
        <v>4.1841004184100415E-3</v>
      </c>
      <c r="P2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 s="186">
        <f>1/COUNTIF(T_sept_dec[CléRéseau-Rize horsmed],T_sept_dec[[#This Row],[CléRéseau-Rize horsmed]])</f>
        <v>4.1841004184100415E-3</v>
      </c>
      <c r="R20" s="186" t="str">
        <f>IF(COUNTIF(RIZE,T_sept_dec[[#This Row],[Secteur organisateur]]),"Rize_"&amp;T_sept_dec[[#This Row],[Enseignant référent (Nom Prénom)]],"")</f>
        <v/>
      </c>
      <c r="S20" s="186">
        <f>1/COUNTIF(T_sept_dec[CléRize],T_sept_dec[[#This Row],[CléRize]])</f>
        <v>4.048582995951417E-3</v>
      </c>
      <c r="T20" s="186" t="str">
        <f>IF(COUNTIF(Total,T_sept_dec[[#This Row],[Secteur organisateur]]),"Total_"&amp;T_sept_dec[[#This Row],[Enseignant référent (Nom Prénom)]],"")</f>
        <v/>
      </c>
      <c r="U20" s="186">
        <f>1/COUNTIF(T_sept_dec[cléTotal],T_sept_dec[[#This Row],[cléTotal]])</f>
        <v>4.1841004184100415E-3</v>
      </c>
    </row>
    <row r="21" spans="1:21">
      <c r="C21" s="153"/>
      <c r="K21" s="21" t="str">
        <f>IF(COUNTIF(Maternelle,E21)=1,listes!$T$1,IF(COUNTIF(Elémentaire,E21)=1,listes!$U$1,IF(COUNTIF(Collège,E21)=1,listes!$V$1,IF(COUNTIF(Lycée,E21)=1,listes!$W$1,""))))</f>
        <v/>
      </c>
      <c r="L21" s="21" t="str">
        <f>IF(COUNTIF(Perralière,D21)=1,listes!$P$1,IF(COUNTIF(Buers,D21)=1,listes!$J$1,IF(COUNTIF(Charpennes,D21)=1,listes!$K$1,IF(COUNTIF(Cusset,D21)=1,listes!$L$1,IF(COUNTIF(Cyprien,D21)=1,listes!$M$1,IF(COUNTIF(Ferrandière,D21)=1,listes!$N$1,IF(COUNTIF(Gratteciel,D21)=1,listes!$O$1,IF(COUNTIF(Saintjean,D21)=1,listes!$Q$1,IF(COUNTIF(horsvilleurbanne,D21)=1,listes!$R$1,"")))))))))</f>
        <v/>
      </c>
      <c r="M21" s="21" t="str">
        <f t="shared" si="0"/>
        <v/>
      </c>
      <c r="N21" s="21" t="str">
        <f>T_sept_dec[[#This Row],[Etablissement accueillant]]&amp;"-"&amp;T_sept_dec[[#This Row],[Enseignant référent (Nom Prénom)]]</f>
        <v>-</v>
      </c>
      <c r="O21" s="21">
        <f>1/COUNTIF(T_sept_dec[CléEtablissement],T_sept_dec[[#This Row],[CléEtablissement]])</f>
        <v>4.1841004184100415E-3</v>
      </c>
      <c r="P2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 s="186">
        <f>1/COUNTIF(T_sept_dec[CléRéseau-Rize horsmed],T_sept_dec[[#This Row],[CléRéseau-Rize horsmed]])</f>
        <v>4.1841004184100415E-3</v>
      </c>
      <c r="R21" s="186" t="str">
        <f>IF(COUNTIF(RIZE,T_sept_dec[[#This Row],[Secteur organisateur]]),"Rize_"&amp;T_sept_dec[[#This Row],[Enseignant référent (Nom Prénom)]],"")</f>
        <v/>
      </c>
      <c r="S21" s="186">
        <f>1/COUNTIF(T_sept_dec[CléRize],T_sept_dec[[#This Row],[CléRize]])</f>
        <v>4.048582995951417E-3</v>
      </c>
      <c r="T21" s="186" t="str">
        <f>IF(COUNTIF(Total,T_sept_dec[[#This Row],[Secteur organisateur]]),"Total_"&amp;T_sept_dec[[#This Row],[Enseignant référent (Nom Prénom)]],"")</f>
        <v/>
      </c>
      <c r="U21" s="186">
        <f>1/COUNTIF(T_sept_dec[cléTotal],T_sept_dec[[#This Row],[cléTotal]])</f>
        <v>4.1841004184100415E-3</v>
      </c>
    </row>
    <row r="22" spans="1:21" ht="14.45" customHeight="1">
      <c r="K22" s="21" t="str">
        <f>IF(COUNTIF(Maternelle,E22)=1,listes!$T$1,IF(COUNTIF(Elémentaire,E22)=1,listes!$U$1,IF(COUNTIF(Collège,E22)=1,listes!$V$1,IF(COUNTIF(Lycée,E22)=1,listes!$W$1,""))))</f>
        <v/>
      </c>
      <c r="L22" s="21" t="str">
        <f>IF(COUNTIF(Perralière,D22)=1,listes!$P$1,IF(COUNTIF(Buers,D22)=1,listes!$J$1,IF(COUNTIF(Charpennes,D22)=1,listes!$K$1,IF(COUNTIF(Cusset,D22)=1,listes!$L$1,IF(COUNTIF(Cyprien,D22)=1,listes!$M$1,IF(COUNTIF(Ferrandière,D22)=1,listes!$N$1,IF(COUNTIF(Gratteciel,D22)=1,listes!$O$1,IF(COUNTIF(Saintjean,D22)=1,listes!$Q$1,IF(COUNTIF(horsvilleurbanne,D22)=1,listes!$R$1,"")))))))))</f>
        <v/>
      </c>
      <c r="M22" s="21" t="str">
        <f t="shared" si="0"/>
        <v/>
      </c>
      <c r="N22" s="21" t="str">
        <f>T_sept_dec[[#This Row],[Etablissement accueillant]]&amp;"-"&amp;T_sept_dec[[#This Row],[Enseignant référent (Nom Prénom)]]</f>
        <v>-</v>
      </c>
      <c r="O22" s="21">
        <f>1/COUNTIF(T_sept_dec[CléEtablissement],T_sept_dec[[#This Row],[CléEtablissement]])</f>
        <v>4.1841004184100415E-3</v>
      </c>
      <c r="P2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 s="186">
        <f>1/COUNTIF(T_sept_dec[CléRéseau-Rize horsmed],T_sept_dec[[#This Row],[CléRéseau-Rize horsmed]])</f>
        <v>4.1841004184100415E-3</v>
      </c>
      <c r="R22" s="186" t="str">
        <f>IF(COUNTIF(RIZE,T_sept_dec[[#This Row],[Secteur organisateur]]),"Rize_"&amp;T_sept_dec[[#This Row],[Enseignant référent (Nom Prénom)]],"")</f>
        <v/>
      </c>
      <c r="S22" s="186">
        <f>1/COUNTIF(T_sept_dec[CléRize],T_sept_dec[[#This Row],[CléRize]])</f>
        <v>4.048582995951417E-3</v>
      </c>
      <c r="T22" s="186" t="str">
        <f>IF(COUNTIF(Total,T_sept_dec[[#This Row],[Secteur organisateur]]),"Total_"&amp;T_sept_dec[[#This Row],[Enseignant référent (Nom Prénom)]],"")</f>
        <v/>
      </c>
      <c r="U22" s="186">
        <f>1/COUNTIF(T_sept_dec[cléTotal],T_sept_dec[[#This Row],[cléTotal]])</f>
        <v>4.1841004184100415E-3</v>
      </c>
    </row>
    <row r="23" spans="1:21">
      <c r="A23" s="151"/>
      <c r="B23" s="152"/>
      <c r="C23" s="153"/>
      <c r="D23" s="152"/>
      <c r="E23" s="152"/>
      <c r="F23" s="152"/>
      <c r="G23" s="154"/>
      <c r="H23" s="152"/>
      <c r="I23" s="152"/>
      <c r="K23" s="21" t="str">
        <f>IF(COUNTIF(Maternelle,E23)=1,listes!$T$1,IF(COUNTIF(Elémentaire,E23)=1,listes!$U$1,IF(COUNTIF(Collège,E23)=1,listes!$V$1,IF(COUNTIF(Lycée,E23)=1,listes!$W$1,""))))</f>
        <v/>
      </c>
      <c r="L23" s="21" t="str">
        <f>IF(COUNTIF(Perralière,D23)=1,listes!$P$1,IF(COUNTIF(Buers,D23)=1,listes!$J$1,IF(COUNTIF(Charpennes,D23)=1,listes!$K$1,IF(COUNTIF(Cusset,D23)=1,listes!$L$1,IF(COUNTIF(Cyprien,D23)=1,listes!$M$1,IF(COUNTIF(Ferrandière,D23)=1,listes!$N$1,IF(COUNTIF(Gratteciel,D23)=1,listes!$O$1,IF(COUNTIF(Saintjean,D23)=1,listes!$Q$1,IF(COUNTIF(horsvilleurbanne,D23)=1,listes!$R$1,"")))))))))</f>
        <v/>
      </c>
      <c r="M23" s="21" t="str">
        <f t="shared" si="0"/>
        <v/>
      </c>
      <c r="N23" s="21" t="str">
        <f>T_sept_dec[[#This Row],[Etablissement accueillant]]&amp;"-"&amp;T_sept_dec[[#This Row],[Enseignant référent (Nom Prénom)]]</f>
        <v>-</v>
      </c>
      <c r="O23" s="21">
        <f>1/COUNTIF(T_sept_dec[CléEtablissement],T_sept_dec[[#This Row],[CléEtablissement]])</f>
        <v>4.1841004184100415E-3</v>
      </c>
      <c r="P2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 s="186">
        <f>1/COUNTIF(T_sept_dec[CléRéseau-Rize horsmed],T_sept_dec[[#This Row],[CléRéseau-Rize horsmed]])</f>
        <v>4.1841004184100415E-3</v>
      </c>
      <c r="R23" s="186" t="str">
        <f>IF(COUNTIF(RIZE,T_sept_dec[[#This Row],[Secteur organisateur]]),"Rize_"&amp;T_sept_dec[[#This Row],[Enseignant référent (Nom Prénom)]],"")</f>
        <v/>
      </c>
      <c r="S23" s="186">
        <f>1/COUNTIF(T_sept_dec[CléRize],T_sept_dec[[#This Row],[CléRize]])</f>
        <v>4.048582995951417E-3</v>
      </c>
      <c r="T23" s="186" t="str">
        <f>IF(COUNTIF(Total,T_sept_dec[[#This Row],[Secteur organisateur]]),"Total_"&amp;T_sept_dec[[#This Row],[Enseignant référent (Nom Prénom)]],"")</f>
        <v/>
      </c>
      <c r="U23" s="186">
        <f>1/COUNTIF(T_sept_dec[cléTotal],T_sept_dec[[#This Row],[cléTotal]])</f>
        <v>4.1841004184100415E-3</v>
      </c>
    </row>
    <row r="24" spans="1:21">
      <c r="K24" s="21" t="str">
        <f>IF(COUNTIF(Maternelle,E24)=1,listes!$T$1,IF(COUNTIF(Elémentaire,E24)=1,listes!$U$1,IF(COUNTIF(Collège,E24)=1,listes!$V$1,IF(COUNTIF(Lycée,E24)=1,listes!$W$1,""))))</f>
        <v/>
      </c>
      <c r="L24" s="21" t="str">
        <f>IF(COUNTIF(Perralière,D24)=1,listes!$P$1,IF(COUNTIF(Buers,D24)=1,listes!$J$1,IF(COUNTIF(Charpennes,D24)=1,listes!$K$1,IF(COUNTIF(Cusset,D24)=1,listes!$L$1,IF(COUNTIF(Cyprien,D24)=1,listes!$M$1,IF(COUNTIF(Ferrandière,D24)=1,listes!$N$1,IF(COUNTIF(Gratteciel,D24)=1,listes!$O$1,IF(COUNTIF(Saintjean,D24)=1,listes!$Q$1,IF(COUNTIF(horsvilleurbanne,D24)=1,listes!$R$1,"")))))))))</f>
        <v/>
      </c>
      <c r="M24" s="21" t="str">
        <f t="shared" si="0"/>
        <v/>
      </c>
      <c r="N24" s="21" t="str">
        <f>T_sept_dec[[#This Row],[Etablissement accueillant]]&amp;"-"&amp;T_sept_dec[[#This Row],[Enseignant référent (Nom Prénom)]]</f>
        <v>-</v>
      </c>
      <c r="O24" s="21">
        <f>1/COUNTIF(T_sept_dec[CléEtablissement],T_sept_dec[[#This Row],[CléEtablissement]])</f>
        <v>4.1841004184100415E-3</v>
      </c>
      <c r="P2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 s="186">
        <f>1/COUNTIF(T_sept_dec[CléRéseau-Rize horsmed],T_sept_dec[[#This Row],[CléRéseau-Rize horsmed]])</f>
        <v>4.1841004184100415E-3</v>
      </c>
      <c r="R24" s="186" t="str">
        <f>IF(COUNTIF(RIZE,T_sept_dec[[#This Row],[Secteur organisateur]]),"Rize_"&amp;T_sept_dec[[#This Row],[Enseignant référent (Nom Prénom)]],"")</f>
        <v/>
      </c>
      <c r="S24" s="186">
        <f>1/COUNTIF(T_sept_dec[CléRize],T_sept_dec[[#This Row],[CléRize]])</f>
        <v>4.048582995951417E-3</v>
      </c>
      <c r="T24" s="186" t="str">
        <f>IF(COUNTIF(Total,T_sept_dec[[#This Row],[Secteur organisateur]]),"Total_"&amp;T_sept_dec[[#This Row],[Enseignant référent (Nom Prénom)]],"")</f>
        <v/>
      </c>
      <c r="U24" s="186">
        <f>1/COUNTIF(T_sept_dec[cléTotal],T_sept_dec[[#This Row],[cléTotal]])</f>
        <v>4.1841004184100415E-3</v>
      </c>
    </row>
    <row r="25" spans="1:21">
      <c r="A25" s="151"/>
      <c r="B25" s="152"/>
      <c r="C25" s="153"/>
      <c r="D25" s="152"/>
      <c r="E25" s="152"/>
      <c r="F25" s="152"/>
      <c r="G25" s="154"/>
      <c r="H25" s="152"/>
      <c r="I25" s="152"/>
      <c r="K25" s="21" t="str">
        <f>IF(COUNTIF(Maternelle,E25)=1,listes!$T$1,IF(COUNTIF(Elémentaire,E25)=1,listes!$U$1,IF(COUNTIF(Collège,E25)=1,listes!$V$1,IF(COUNTIF(Lycée,E25)=1,listes!$W$1,""))))</f>
        <v/>
      </c>
      <c r="L25" s="21" t="str">
        <f>IF(COUNTIF(Perralière,D25)=1,listes!$P$1,IF(COUNTIF(Buers,D25)=1,listes!$J$1,IF(COUNTIF(Charpennes,D25)=1,listes!$K$1,IF(COUNTIF(Cusset,D25)=1,listes!$L$1,IF(COUNTIF(Cyprien,D25)=1,listes!$M$1,IF(COUNTIF(Ferrandière,D25)=1,listes!$N$1,IF(COUNTIF(Gratteciel,D25)=1,listes!$O$1,IF(COUNTIF(Saintjean,D25)=1,listes!$Q$1,IF(COUNTIF(horsvilleurbanne,D25)=1,listes!$R$1,"")))))))))</f>
        <v/>
      </c>
      <c r="M25" s="21" t="str">
        <f t="shared" si="0"/>
        <v/>
      </c>
      <c r="N25" s="21" t="str">
        <f>T_sept_dec[[#This Row],[Etablissement accueillant]]&amp;"-"&amp;T_sept_dec[[#This Row],[Enseignant référent (Nom Prénom)]]</f>
        <v>-</v>
      </c>
      <c r="O25" s="21">
        <f>1/COUNTIF(T_sept_dec[CléEtablissement],T_sept_dec[[#This Row],[CléEtablissement]])</f>
        <v>4.1841004184100415E-3</v>
      </c>
      <c r="P2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5" s="186">
        <f>1/COUNTIF(T_sept_dec[CléRéseau-Rize horsmed],T_sept_dec[[#This Row],[CléRéseau-Rize horsmed]])</f>
        <v>4.1841004184100415E-3</v>
      </c>
      <c r="R25" s="186" t="str">
        <f>IF(COUNTIF(RIZE,T_sept_dec[[#This Row],[Secteur organisateur]]),"Rize_"&amp;T_sept_dec[[#This Row],[Enseignant référent (Nom Prénom)]],"")</f>
        <v/>
      </c>
      <c r="S25" s="186">
        <f>1/COUNTIF(T_sept_dec[CléRize],T_sept_dec[[#This Row],[CléRize]])</f>
        <v>4.048582995951417E-3</v>
      </c>
      <c r="T25" s="186" t="str">
        <f>IF(COUNTIF(Total,T_sept_dec[[#This Row],[Secteur organisateur]]),"Total_"&amp;T_sept_dec[[#This Row],[Enseignant référent (Nom Prénom)]],"")</f>
        <v/>
      </c>
      <c r="U25" s="186">
        <f>1/COUNTIF(T_sept_dec[cléTotal],T_sept_dec[[#This Row],[cléTotal]])</f>
        <v>4.1841004184100415E-3</v>
      </c>
    </row>
    <row r="26" spans="1:21">
      <c r="K26" s="21" t="str">
        <f>IF(COUNTIF(Maternelle,E26)=1,listes!$T$1,IF(COUNTIF(Elémentaire,E26)=1,listes!$U$1,IF(COUNTIF(Collège,E26)=1,listes!$V$1,IF(COUNTIF(Lycée,E26)=1,listes!$W$1,""))))</f>
        <v/>
      </c>
      <c r="L26" s="21" t="str">
        <f>IF(COUNTIF(Perralière,D26)=1,listes!$P$1,IF(COUNTIF(Buers,D26)=1,listes!$J$1,IF(COUNTIF(Charpennes,D26)=1,listes!$K$1,IF(COUNTIF(Cusset,D26)=1,listes!$L$1,IF(COUNTIF(Cyprien,D26)=1,listes!$M$1,IF(COUNTIF(Ferrandière,D26)=1,listes!$N$1,IF(COUNTIF(Gratteciel,D26)=1,listes!$O$1,IF(COUNTIF(Saintjean,D26)=1,listes!$Q$1,IF(COUNTIF(horsvilleurbanne,D26)=1,listes!$R$1,"")))))))))</f>
        <v/>
      </c>
      <c r="M26" s="21" t="str">
        <f t="shared" si="0"/>
        <v/>
      </c>
      <c r="N26" s="21" t="str">
        <f>T_sept_dec[[#This Row],[Etablissement accueillant]]&amp;"-"&amp;T_sept_dec[[#This Row],[Enseignant référent (Nom Prénom)]]</f>
        <v>-</v>
      </c>
      <c r="O26" s="21">
        <f>1/COUNTIF(T_sept_dec[CléEtablissement],T_sept_dec[[#This Row],[CléEtablissement]])</f>
        <v>4.1841004184100415E-3</v>
      </c>
      <c r="P2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6" s="186">
        <f>1/COUNTIF(T_sept_dec[CléRéseau-Rize horsmed],T_sept_dec[[#This Row],[CléRéseau-Rize horsmed]])</f>
        <v>4.1841004184100415E-3</v>
      </c>
      <c r="R26" s="186" t="str">
        <f>IF(COUNTIF(RIZE,T_sept_dec[[#This Row],[Secteur organisateur]]),"Rize_"&amp;T_sept_dec[[#This Row],[Enseignant référent (Nom Prénom)]],"")</f>
        <v/>
      </c>
      <c r="S26" s="186">
        <f>1/COUNTIF(T_sept_dec[CléRize],T_sept_dec[[#This Row],[CléRize]])</f>
        <v>4.048582995951417E-3</v>
      </c>
      <c r="T26" s="186" t="str">
        <f>IF(COUNTIF(Total,T_sept_dec[[#This Row],[Secteur organisateur]]),"Total_"&amp;T_sept_dec[[#This Row],[Enseignant référent (Nom Prénom)]],"")</f>
        <v/>
      </c>
      <c r="U26" s="186">
        <f>1/COUNTIF(T_sept_dec[cléTotal],T_sept_dec[[#This Row],[cléTotal]])</f>
        <v>4.1841004184100415E-3</v>
      </c>
    </row>
    <row r="27" spans="1:21">
      <c r="K27" s="21" t="str">
        <f>IF(COUNTIF(Maternelle,E27)=1,listes!$T$1,IF(COUNTIF(Elémentaire,E27)=1,listes!$U$1,IF(COUNTIF(Collège,E27)=1,listes!$V$1,IF(COUNTIF(Lycée,E27)=1,listes!$W$1,""))))</f>
        <v/>
      </c>
      <c r="L27" s="21" t="str">
        <f>IF(COUNTIF(Perralière,D27)=1,listes!$P$1,IF(COUNTIF(Buers,D27)=1,listes!$J$1,IF(COUNTIF(Charpennes,D27)=1,listes!$K$1,IF(COUNTIF(Cusset,D27)=1,listes!$L$1,IF(COUNTIF(Cyprien,D27)=1,listes!$M$1,IF(COUNTIF(Ferrandière,D27)=1,listes!$N$1,IF(COUNTIF(Gratteciel,D27)=1,listes!$O$1,IF(COUNTIF(Saintjean,D27)=1,listes!$Q$1,IF(COUNTIF(horsvilleurbanne,D27)=1,listes!$R$1,"")))))))))</f>
        <v/>
      </c>
      <c r="M27" s="21" t="str">
        <f t="shared" si="0"/>
        <v/>
      </c>
      <c r="N27" s="21" t="str">
        <f>T_sept_dec[[#This Row],[Etablissement accueillant]]&amp;"-"&amp;T_sept_dec[[#This Row],[Enseignant référent (Nom Prénom)]]</f>
        <v>-</v>
      </c>
      <c r="O27" s="21">
        <f>1/COUNTIF(T_sept_dec[CléEtablissement],T_sept_dec[[#This Row],[CléEtablissement]])</f>
        <v>4.1841004184100415E-3</v>
      </c>
      <c r="P2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7" s="186">
        <f>1/COUNTIF(T_sept_dec[CléRéseau-Rize horsmed],T_sept_dec[[#This Row],[CléRéseau-Rize horsmed]])</f>
        <v>4.1841004184100415E-3</v>
      </c>
      <c r="R27" s="186" t="str">
        <f>IF(COUNTIF(RIZE,T_sept_dec[[#This Row],[Secteur organisateur]]),"Rize_"&amp;T_sept_dec[[#This Row],[Enseignant référent (Nom Prénom)]],"")</f>
        <v/>
      </c>
      <c r="S27" s="186">
        <f>1/COUNTIF(T_sept_dec[CléRize],T_sept_dec[[#This Row],[CléRize]])</f>
        <v>4.048582995951417E-3</v>
      </c>
      <c r="T27" s="186" t="str">
        <f>IF(COUNTIF(Total,T_sept_dec[[#This Row],[Secteur organisateur]]),"Total_"&amp;T_sept_dec[[#This Row],[Enseignant référent (Nom Prénom)]],"")</f>
        <v/>
      </c>
      <c r="U27" s="186">
        <f>1/COUNTIF(T_sept_dec[cléTotal],T_sept_dec[[#This Row],[cléTotal]])</f>
        <v>4.1841004184100415E-3</v>
      </c>
    </row>
    <row r="28" spans="1:21">
      <c r="K28" s="21" t="str">
        <f>IF(COUNTIF(Maternelle,E28)=1,listes!$T$1,IF(COUNTIF(Elémentaire,E28)=1,listes!$U$1,IF(COUNTIF(Collège,E28)=1,listes!$V$1,IF(COUNTIF(Lycée,E28)=1,listes!$W$1,""))))</f>
        <v/>
      </c>
      <c r="L28" s="21" t="str">
        <f>IF(COUNTIF(Perralière,D28)=1,listes!$P$1,IF(COUNTIF(Buers,D28)=1,listes!$J$1,IF(COUNTIF(Charpennes,D28)=1,listes!$K$1,IF(COUNTIF(Cusset,D28)=1,listes!$L$1,IF(COUNTIF(Cyprien,D28)=1,listes!$M$1,IF(COUNTIF(Ferrandière,D28)=1,listes!$N$1,IF(COUNTIF(Gratteciel,D28)=1,listes!$O$1,IF(COUNTIF(Saintjean,D28)=1,listes!$Q$1,IF(COUNTIF(horsvilleurbanne,D28)=1,listes!$R$1,"")))))))))</f>
        <v/>
      </c>
      <c r="M28" s="21" t="str">
        <f t="shared" si="0"/>
        <v/>
      </c>
      <c r="N28" s="21" t="str">
        <f>T_sept_dec[[#This Row],[Etablissement accueillant]]&amp;"-"&amp;T_sept_dec[[#This Row],[Enseignant référent (Nom Prénom)]]</f>
        <v>-</v>
      </c>
      <c r="O28" s="21">
        <f>1/COUNTIF(T_sept_dec[CléEtablissement],T_sept_dec[[#This Row],[CléEtablissement]])</f>
        <v>4.1841004184100415E-3</v>
      </c>
      <c r="P2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8" s="186">
        <f>1/COUNTIF(T_sept_dec[CléRéseau-Rize horsmed],T_sept_dec[[#This Row],[CléRéseau-Rize horsmed]])</f>
        <v>4.1841004184100415E-3</v>
      </c>
      <c r="R28" s="186" t="str">
        <f>IF(COUNTIF(RIZE,T_sept_dec[[#This Row],[Secteur organisateur]]),"Rize_"&amp;T_sept_dec[[#This Row],[Enseignant référent (Nom Prénom)]],"")</f>
        <v/>
      </c>
      <c r="S28" s="186">
        <f>1/COUNTIF(T_sept_dec[CléRize],T_sept_dec[[#This Row],[CléRize]])</f>
        <v>4.048582995951417E-3</v>
      </c>
      <c r="T28" s="186" t="str">
        <f>IF(COUNTIF(Total,T_sept_dec[[#This Row],[Secteur organisateur]]),"Total_"&amp;T_sept_dec[[#This Row],[Enseignant référent (Nom Prénom)]],"")</f>
        <v/>
      </c>
      <c r="U28" s="186">
        <f>1/COUNTIF(T_sept_dec[cléTotal],T_sept_dec[[#This Row],[cléTotal]])</f>
        <v>4.1841004184100415E-3</v>
      </c>
    </row>
    <row r="29" spans="1:21">
      <c r="K29" s="21" t="str">
        <f>IF(COUNTIF(Maternelle,E29)=1,listes!$T$1,IF(COUNTIF(Elémentaire,E29)=1,listes!$U$1,IF(COUNTIF(Collège,E29)=1,listes!$V$1,IF(COUNTIF(Lycée,E29)=1,listes!$W$1,""))))</f>
        <v/>
      </c>
      <c r="L29" s="21" t="str">
        <f>IF(COUNTIF(Perralière,D29)=1,listes!$P$1,IF(COUNTIF(Buers,D29)=1,listes!$J$1,IF(COUNTIF(Charpennes,D29)=1,listes!$K$1,IF(COUNTIF(Cusset,D29)=1,listes!$L$1,IF(COUNTIF(Cyprien,D29)=1,listes!$M$1,IF(COUNTIF(Ferrandière,D29)=1,listes!$N$1,IF(COUNTIF(Gratteciel,D29)=1,listes!$O$1,IF(COUNTIF(Saintjean,D29)=1,listes!$Q$1,IF(COUNTIF(horsvilleurbanne,D29)=1,listes!$R$1,"")))))))))</f>
        <v/>
      </c>
      <c r="M29" s="21" t="str">
        <f t="shared" si="0"/>
        <v/>
      </c>
      <c r="N29" s="21" t="str">
        <f>T_sept_dec[[#This Row],[Etablissement accueillant]]&amp;"-"&amp;T_sept_dec[[#This Row],[Enseignant référent (Nom Prénom)]]</f>
        <v>-</v>
      </c>
      <c r="O29" s="21">
        <f>1/COUNTIF(T_sept_dec[CléEtablissement],T_sept_dec[[#This Row],[CléEtablissement]])</f>
        <v>4.1841004184100415E-3</v>
      </c>
      <c r="P2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9" s="186">
        <f>1/COUNTIF(T_sept_dec[CléRéseau-Rize horsmed],T_sept_dec[[#This Row],[CléRéseau-Rize horsmed]])</f>
        <v>4.1841004184100415E-3</v>
      </c>
      <c r="R29" s="186" t="str">
        <f>IF(COUNTIF(RIZE,T_sept_dec[[#This Row],[Secteur organisateur]]),"Rize_"&amp;T_sept_dec[[#This Row],[Enseignant référent (Nom Prénom)]],"")</f>
        <v/>
      </c>
      <c r="S29" s="186">
        <f>1/COUNTIF(T_sept_dec[CléRize],T_sept_dec[[#This Row],[CléRize]])</f>
        <v>4.048582995951417E-3</v>
      </c>
      <c r="T29" s="186" t="str">
        <f>IF(COUNTIF(Total,T_sept_dec[[#This Row],[Secteur organisateur]]),"Total_"&amp;T_sept_dec[[#This Row],[Enseignant référent (Nom Prénom)]],"")</f>
        <v/>
      </c>
      <c r="U29" s="186">
        <f>1/COUNTIF(T_sept_dec[cléTotal],T_sept_dec[[#This Row],[cléTotal]])</f>
        <v>4.1841004184100415E-3</v>
      </c>
    </row>
    <row r="30" spans="1:21">
      <c r="K30" s="21" t="str">
        <f>IF(COUNTIF(Maternelle,E30)=1,listes!$T$1,IF(COUNTIF(Elémentaire,E30)=1,listes!$U$1,IF(COUNTIF(Collège,E30)=1,listes!$V$1,IF(COUNTIF(Lycée,E30)=1,listes!$W$1,""))))</f>
        <v/>
      </c>
      <c r="L30" s="21" t="str">
        <f>IF(COUNTIF(Perralière,D30)=1,listes!$P$1,IF(COUNTIF(Buers,D30)=1,listes!$J$1,IF(COUNTIF(Charpennes,D30)=1,listes!$K$1,IF(COUNTIF(Cusset,D30)=1,listes!$L$1,IF(COUNTIF(Cyprien,D30)=1,listes!$M$1,IF(COUNTIF(Ferrandière,D30)=1,listes!$N$1,IF(COUNTIF(Gratteciel,D30)=1,listes!$O$1,IF(COUNTIF(Saintjean,D30)=1,listes!$Q$1,IF(COUNTIF(horsvilleurbanne,D30)=1,listes!$R$1,"")))))))))</f>
        <v/>
      </c>
      <c r="M30" s="21" t="str">
        <f t="shared" si="0"/>
        <v/>
      </c>
      <c r="N30" s="21" t="str">
        <f>T_sept_dec[[#This Row],[Etablissement accueillant]]&amp;"-"&amp;T_sept_dec[[#This Row],[Enseignant référent (Nom Prénom)]]</f>
        <v>-</v>
      </c>
      <c r="O30" s="21">
        <f>1/COUNTIF(T_sept_dec[CléEtablissement],T_sept_dec[[#This Row],[CléEtablissement]])</f>
        <v>4.1841004184100415E-3</v>
      </c>
      <c r="P3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0" s="186">
        <f>1/COUNTIF(T_sept_dec[CléRéseau-Rize horsmed],T_sept_dec[[#This Row],[CléRéseau-Rize horsmed]])</f>
        <v>4.1841004184100415E-3</v>
      </c>
      <c r="R30" s="186" t="str">
        <f>IF(COUNTIF(RIZE,T_sept_dec[[#This Row],[Secteur organisateur]]),"Rize_"&amp;T_sept_dec[[#This Row],[Enseignant référent (Nom Prénom)]],"")</f>
        <v/>
      </c>
      <c r="S30" s="186">
        <f>1/COUNTIF(T_sept_dec[CléRize],T_sept_dec[[#This Row],[CléRize]])</f>
        <v>4.048582995951417E-3</v>
      </c>
      <c r="T30" s="186" t="str">
        <f>IF(COUNTIF(Total,T_sept_dec[[#This Row],[Secteur organisateur]]),"Total_"&amp;T_sept_dec[[#This Row],[Enseignant référent (Nom Prénom)]],"")</f>
        <v/>
      </c>
      <c r="U30" s="186">
        <f>1/COUNTIF(T_sept_dec[cléTotal],T_sept_dec[[#This Row],[cléTotal]])</f>
        <v>4.1841004184100415E-3</v>
      </c>
    </row>
    <row r="31" spans="1:21">
      <c r="K31" s="21" t="str">
        <f>IF(COUNTIF(Maternelle,E31)=1,listes!$T$1,IF(COUNTIF(Elémentaire,E31)=1,listes!$U$1,IF(COUNTIF(Collège,E31)=1,listes!$V$1,IF(COUNTIF(Lycée,E31)=1,listes!$W$1,""))))</f>
        <v/>
      </c>
      <c r="L31" s="21" t="str">
        <f>IF(COUNTIF(Perralière,D31)=1,listes!$P$1,IF(COUNTIF(Buers,D31)=1,listes!$J$1,IF(COUNTIF(Charpennes,D31)=1,listes!$K$1,IF(COUNTIF(Cusset,D31)=1,listes!$L$1,IF(COUNTIF(Cyprien,D31)=1,listes!$M$1,IF(COUNTIF(Ferrandière,D31)=1,listes!$N$1,IF(COUNTIF(Gratteciel,D31)=1,listes!$O$1,IF(COUNTIF(Saintjean,D31)=1,listes!$Q$1,IF(COUNTIF(horsvilleurbanne,D31)=1,listes!$R$1,"")))))))))</f>
        <v/>
      </c>
      <c r="M31" s="21" t="str">
        <f t="shared" si="0"/>
        <v/>
      </c>
      <c r="N31" s="21" t="str">
        <f>T_sept_dec[[#This Row],[Etablissement accueillant]]&amp;"-"&amp;T_sept_dec[[#This Row],[Enseignant référent (Nom Prénom)]]</f>
        <v>-</v>
      </c>
      <c r="O31" s="21">
        <f>1/COUNTIF(T_sept_dec[CléEtablissement],T_sept_dec[[#This Row],[CléEtablissement]])</f>
        <v>4.1841004184100415E-3</v>
      </c>
      <c r="P3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1" s="186">
        <f>1/COUNTIF(T_sept_dec[CléRéseau-Rize horsmed],T_sept_dec[[#This Row],[CléRéseau-Rize horsmed]])</f>
        <v>4.1841004184100415E-3</v>
      </c>
      <c r="R31" s="186" t="str">
        <f>IF(COUNTIF(RIZE,T_sept_dec[[#This Row],[Secteur organisateur]]),"Rize_"&amp;T_sept_dec[[#This Row],[Enseignant référent (Nom Prénom)]],"")</f>
        <v/>
      </c>
      <c r="S31" s="186">
        <f>1/COUNTIF(T_sept_dec[CléRize],T_sept_dec[[#This Row],[CléRize]])</f>
        <v>4.048582995951417E-3</v>
      </c>
      <c r="T31" s="186" t="str">
        <f>IF(COUNTIF(Total,T_sept_dec[[#This Row],[Secteur organisateur]]),"Total_"&amp;T_sept_dec[[#This Row],[Enseignant référent (Nom Prénom)]],"")</f>
        <v/>
      </c>
      <c r="U31" s="186">
        <f>1/COUNTIF(T_sept_dec[cléTotal],T_sept_dec[[#This Row],[cléTotal]])</f>
        <v>4.1841004184100415E-3</v>
      </c>
    </row>
    <row r="32" spans="1:21">
      <c r="K32" s="21" t="str">
        <f>IF(COUNTIF(Maternelle,E32)=1,listes!$T$1,IF(COUNTIF(Elémentaire,E32)=1,listes!$U$1,IF(COUNTIF(Collège,E32)=1,listes!$V$1,IF(COUNTIF(Lycée,E32)=1,listes!$W$1,""))))</f>
        <v/>
      </c>
      <c r="L32" s="21" t="str">
        <f>IF(COUNTIF(Perralière,D32)=1,listes!$P$1,IF(COUNTIF(Buers,D32)=1,listes!$J$1,IF(COUNTIF(Charpennes,D32)=1,listes!$K$1,IF(COUNTIF(Cusset,D32)=1,listes!$L$1,IF(COUNTIF(Cyprien,D32)=1,listes!$M$1,IF(COUNTIF(Ferrandière,D32)=1,listes!$N$1,IF(COUNTIF(Gratteciel,D32)=1,listes!$O$1,IF(COUNTIF(Saintjean,D32)=1,listes!$Q$1,IF(COUNTIF(horsvilleurbanne,D32)=1,listes!$R$1,"")))))))))</f>
        <v/>
      </c>
      <c r="M32" s="21" t="str">
        <f t="shared" si="0"/>
        <v/>
      </c>
      <c r="N32" s="21" t="str">
        <f>T_sept_dec[[#This Row],[Etablissement accueillant]]&amp;"-"&amp;T_sept_dec[[#This Row],[Enseignant référent (Nom Prénom)]]</f>
        <v>-</v>
      </c>
      <c r="O32" s="21">
        <f>1/COUNTIF(T_sept_dec[CléEtablissement],T_sept_dec[[#This Row],[CléEtablissement]])</f>
        <v>4.1841004184100415E-3</v>
      </c>
      <c r="P3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2" s="186">
        <f>1/COUNTIF(T_sept_dec[CléRéseau-Rize horsmed],T_sept_dec[[#This Row],[CléRéseau-Rize horsmed]])</f>
        <v>4.1841004184100415E-3</v>
      </c>
      <c r="R32" s="186" t="str">
        <f>IF(COUNTIF(RIZE,T_sept_dec[[#This Row],[Secteur organisateur]]),"Rize_"&amp;T_sept_dec[[#This Row],[Enseignant référent (Nom Prénom)]],"")</f>
        <v/>
      </c>
      <c r="S32" s="186">
        <f>1/COUNTIF(T_sept_dec[CléRize],T_sept_dec[[#This Row],[CléRize]])</f>
        <v>4.048582995951417E-3</v>
      </c>
      <c r="T32" s="186" t="str">
        <f>IF(COUNTIF(Total,T_sept_dec[[#This Row],[Secteur organisateur]]),"Total_"&amp;T_sept_dec[[#This Row],[Enseignant référent (Nom Prénom)]],"")</f>
        <v/>
      </c>
      <c r="U32" s="186">
        <f>1/COUNTIF(T_sept_dec[cléTotal],T_sept_dec[[#This Row],[cléTotal]])</f>
        <v>4.1841004184100415E-3</v>
      </c>
    </row>
    <row r="33" spans="5:21">
      <c r="K33" s="21" t="str">
        <f>IF(COUNTIF(Maternelle,E33)=1,listes!$T$1,IF(COUNTIF(Elémentaire,E33)=1,listes!$U$1,IF(COUNTIF(Collège,E33)=1,listes!$V$1,IF(COUNTIF(Lycée,E33)=1,listes!$W$1,""))))</f>
        <v/>
      </c>
      <c r="L33" s="21" t="str">
        <f>IF(COUNTIF(Perralière,D33)=1,listes!$P$1,IF(COUNTIF(Buers,D33)=1,listes!$J$1,IF(COUNTIF(Charpennes,D33)=1,listes!$K$1,IF(COUNTIF(Cusset,D33)=1,listes!$L$1,IF(COUNTIF(Cyprien,D33)=1,listes!$M$1,IF(COUNTIF(Ferrandière,D33)=1,listes!$N$1,IF(COUNTIF(Gratteciel,D33)=1,listes!$O$1,IF(COUNTIF(Saintjean,D33)=1,listes!$Q$1,IF(COUNTIF(horsvilleurbanne,D33)=1,listes!$R$1,"")))))))))</f>
        <v/>
      </c>
      <c r="M33" s="21" t="str">
        <f t="shared" si="0"/>
        <v/>
      </c>
      <c r="N33" s="21" t="str">
        <f>T_sept_dec[[#This Row],[Etablissement accueillant]]&amp;"-"&amp;T_sept_dec[[#This Row],[Enseignant référent (Nom Prénom)]]</f>
        <v>-</v>
      </c>
      <c r="O33" s="21">
        <f>1/COUNTIF(T_sept_dec[CléEtablissement],T_sept_dec[[#This Row],[CléEtablissement]])</f>
        <v>4.1841004184100415E-3</v>
      </c>
      <c r="P3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3" s="186">
        <f>1/COUNTIF(T_sept_dec[CléRéseau-Rize horsmed],T_sept_dec[[#This Row],[CléRéseau-Rize horsmed]])</f>
        <v>4.1841004184100415E-3</v>
      </c>
      <c r="R33" s="186" t="str">
        <f>IF(COUNTIF(RIZE,T_sept_dec[[#This Row],[Secteur organisateur]]),"Rize_"&amp;T_sept_dec[[#This Row],[Enseignant référent (Nom Prénom)]],"")</f>
        <v/>
      </c>
      <c r="S33" s="186">
        <f>1/COUNTIF(T_sept_dec[CléRize],T_sept_dec[[#This Row],[CléRize]])</f>
        <v>4.048582995951417E-3</v>
      </c>
      <c r="T33" s="186" t="str">
        <f>IF(COUNTIF(Total,T_sept_dec[[#This Row],[Secteur organisateur]]),"Total_"&amp;T_sept_dec[[#This Row],[Enseignant référent (Nom Prénom)]],"")</f>
        <v/>
      </c>
      <c r="U33" s="186">
        <f>1/COUNTIF(T_sept_dec[cléTotal],T_sept_dec[[#This Row],[cléTotal]])</f>
        <v>4.1841004184100415E-3</v>
      </c>
    </row>
    <row r="34" spans="5:21">
      <c r="K34" s="21" t="str">
        <f>IF(COUNTIF(Maternelle,E34)=1,listes!$T$1,IF(COUNTIF(Elémentaire,E34)=1,listes!$U$1,IF(COUNTIF(Collège,E34)=1,listes!$V$1,IF(COUNTIF(Lycée,E34)=1,listes!$W$1,""))))</f>
        <v/>
      </c>
      <c r="L34" s="21" t="str">
        <f>IF(COUNTIF(Perralière,D34)=1,listes!$P$1,IF(COUNTIF(Buers,D34)=1,listes!$J$1,IF(COUNTIF(Charpennes,D34)=1,listes!$K$1,IF(COUNTIF(Cusset,D34)=1,listes!$L$1,IF(COUNTIF(Cyprien,D34)=1,listes!$M$1,IF(COUNTIF(Ferrandière,D34)=1,listes!$N$1,IF(COUNTIF(Gratteciel,D34)=1,listes!$O$1,IF(COUNTIF(Saintjean,D34)=1,listes!$Q$1,IF(COUNTIF(horsvilleurbanne,D34)=1,listes!$R$1,"")))))))))</f>
        <v/>
      </c>
      <c r="M34" s="21" t="str">
        <f t="shared" si="0"/>
        <v/>
      </c>
      <c r="N34" s="21" t="str">
        <f>T_sept_dec[[#This Row],[Etablissement accueillant]]&amp;"-"&amp;T_sept_dec[[#This Row],[Enseignant référent (Nom Prénom)]]</f>
        <v>-</v>
      </c>
      <c r="O34" s="21">
        <f>1/COUNTIF(T_sept_dec[CléEtablissement],T_sept_dec[[#This Row],[CléEtablissement]])</f>
        <v>4.1841004184100415E-3</v>
      </c>
      <c r="P3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4" s="186">
        <f>1/COUNTIF(T_sept_dec[CléRéseau-Rize horsmed],T_sept_dec[[#This Row],[CléRéseau-Rize horsmed]])</f>
        <v>4.1841004184100415E-3</v>
      </c>
      <c r="R34" s="186" t="str">
        <f>IF(COUNTIF(RIZE,T_sept_dec[[#This Row],[Secteur organisateur]]),"Rize_"&amp;T_sept_dec[[#This Row],[Enseignant référent (Nom Prénom)]],"")</f>
        <v/>
      </c>
      <c r="S34" s="186">
        <f>1/COUNTIF(T_sept_dec[CléRize],T_sept_dec[[#This Row],[CléRize]])</f>
        <v>4.048582995951417E-3</v>
      </c>
      <c r="T34" s="186" t="str">
        <f>IF(COUNTIF(Total,T_sept_dec[[#This Row],[Secteur organisateur]]),"Total_"&amp;T_sept_dec[[#This Row],[Enseignant référent (Nom Prénom)]],"")</f>
        <v/>
      </c>
      <c r="U34" s="186">
        <f>1/COUNTIF(T_sept_dec[cléTotal],T_sept_dec[[#This Row],[cléTotal]])</f>
        <v>4.1841004184100415E-3</v>
      </c>
    </row>
    <row r="35" spans="5:21">
      <c r="K35" s="21" t="str">
        <f>IF(COUNTIF(Maternelle,E35)=1,listes!$T$1,IF(COUNTIF(Elémentaire,E35)=1,listes!$U$1,IF(COUNTIF(Collège,E35)=1,listes!$V$1,IF(COUNTIF(Lycée,E35)=1,listes!$W$1,""))))</f>
        <v/>
      </c>
      <c r="L35" s="21" t="str">
        <f>IF(COUNTIF(Perralière,D35)=1,listes!$P$1,IF(COUNTIF(Buers,D35)=1,listes!$J$1,IF(COUNTIF(Charpennes,D35)=1,listes!$K$1,IF(COUNTIF(Cusset,D35)=1,listes!$L$1,IF(COUNTIF(Cyprien,D35)=1,listes!$M$1,IF(COUNTIF(Ferrandière,D35)=1,listes!$N$1,IF(COUNTIF(Gratteciel,D35)=1,listes!$O$1,IF(COUNTIF(Saintjean,D35)=1,listes!$Q$1,IF(COUNTIF(horsvilleurbanne,D35)=1,listes!$R$1,"")))))))))</f>
        <v/>
      </c>
      <c r="M35" s="21" t="str">
        <f t="shared" si="0"/>
        <v/>
      </c>
      <c r="N35" s="21" t="str">
        <f>T_sept_dec[[#This Row],[Etablissement accueillant]]&amp;"-"&amp;T_sept_dec[[#This Row],[Enseignant référent (Nom Prénom)]]</f>
        <v>-</v>
      </c>
      <c r="O35" s="21">
        <f>1/COUNTIF(T_sept_dec[CléEtablissement],T_sept_dec[[#This Row],[CléEtablissement]])</f>
        <v>4.1841004184100415E-3</v>
      </c>
      <c r="P3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5" s="186">
        <f>1/COUNTIF(T_sept_dec[CléRéseau-Rize horsmed],T_sept_dec[[#This Row],[CléRéseau-Rize horsmed]])</f>
        <v>4.1841004184100415E-3</v>
      </c>
      <c r="R35" s="186" t="str">
        <f>IF(COUNTIF(RIZE,T_sept_dec[[#This Row],[Secteur organisateur]]),"Rize_"&amp;T_sept_dec[[#This Row],[Enseignant référent (Nom Prénom)]],"")</f>
        <v/>
      </c>
      <c r="S35" s="186">
        <f>1/COUNTIF(T_sept_dec[CléRize],T_sept_dec[[#This Row],[CléRize]])</f>
        <v>4.048582995951417E-3</v>
      </c>
      <c r="T35" s="186" t="str">
        <f>IF(COUNTIF(Total,T_sept_dec[[#This Row],[Secteur organisateur]]),"Total_"&amp;T_sept_dec[[#This Row],[Enseignant référent (Nom Prénom)]],"")</f>
        <v/>
      </c>
      <c r="U35" s="186">
        <f>1/COUNTIF(T_sept_dec[cléTotal],T_sept_dec[[#This Row],[cléTotal]])</f>
        <v>4.1841004184100415E-3</v>
      </c>
    </row>
    <row r="36" spans="5:21">
      <c r="K36" s="21" t="str">
        <f>IF(COUNTIF(Maternelle,E36)=1,listes!$T$1,IF(COUNTIF(Elémentaire,E36)=1,listes!$U$1,IF(COUNTIF(Collège,E36)=1,listes!$V$1,IF(COUNTIF(Lycée,E36)=1,listes!$W$1,""))))</f>
        <v/>
      </c>
      <c r="L36" s="21" t="str">
        <f>IF(COUNTIF(Perralière,D36)=1,listes!$P$1,IF(COUNTIF(Buers,D36)=1,listes!$J$1,IF(COUNTIF(Charpennes,D36)=1,listes!$K$1,IF(COUNTIF(Cusset,D36)=1,listes!$L$1,IF(COUNTIF(Cyprien,D36)=1,listes!$M$1,IF(COUNTIF(Ferrandière,D36)=1,listes!$N$1,IF(COUNTIF(Gratteciel,D36)=1,listes!$O$1,IF(COUNTIF(Saintjean,D36)=1,listes!$Q$1,IF(COUNTIF(horsvilleurbanne,D36)=1,listes!$R$1,"")))))))))</f>
        <v/>
      </c>
      <c r="M36" s="21" t="str">
        <f t="shared" si="0"/>
        <v/>
      </c>
      <c r="N36" s="21" t="str">
        <f>T_sept_dec[[#This Row],[Etablissement accueillant]]&amp;"-"&amp;T_sept_dec[[#This Row],[Enseignant référent (Nom Prénom)]]</f>
        <v>-</v>
      </c>
      <c r="O36" s="21">
        <f>1/COUNTIF(T_sept_dec[CléEtablissement],T_sept_dec[[#This Row],[CléEtablissement]])</f>
        <v>4.1841004184100415E-3</v>
      </c>
      <c r="P3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6" s="186">
        <f>1/COUNTIF(T_sept_dec[CléRéseau-Rize horsmed],T_sept_dec[[#This Row],[CléRéseau-Rize horsmed]])</f>
        <v>4.1841004184100415E-3</v>
      </c>
      <c r="R36" s="186" t="str">
        <f>IF(COUNTIF(RIZE,T_sept_dec[[#This Row],[Secteur organisateur]]),"Rize_"&amp;T_sept_dec[[#This Row],[Enseignant référent (Nom Prénom)]],"")</f>
        <v/>
      </c>
      <c r="S36" s="186">
        <f>1/COUNTIF(T_sept_dec[CléRize],T_sept_dec[[#This Row],[CléRize]])</f>
        <v>4.048582995951417E-3</v>
      </c>
      <c r="T36" s="186" t="str">
        <f>IF(COUNTIF(Total,T_sept_dec[[#This Row],[Secteur organisateur]]),"Total_"&amp;T_sept_dec[[#This Row],[Enseignant référent (Nom Prénom)]],"")</f>
        <v/>
      </c>
      <c r="U36" s="186">
        <f>1/COUNTIF(T_sept_dec[cléTotal],T_sept_dec[[#This Row],[cléTotal]])</f>
        <v>4.1841004184100415E-3</v>
      </c>
    </row>
    <row r="37" spans="5:21">
      <c r="K37" s="21" t="str">
        <f>IF(COUNTIF(Maternelle,E37)=1,listes!$T$1,IF(COUNTIF(Elémentaire,E37)=1,listes!$U$1,IF(COUNTIF(Collège,E37)=1,listes!$V$1,IF(COUNTIF(Lycée,E37)=1,listes!$W$1,""))))</f>
        <v/>
      </c>
      <c r="L37" s="21" t="str">
        <f>IF(COUNTIF(Perralière,D37)=1,listes!$P$1,IF(COUNTIF(Buers,D37)=1,listes!$J$1,IF(COUNTIF(Charpennes,D37)=1,listes!$K$1,IF(COUNTIF(Cusset,D37)=1,listes!$L$1,IF(COUNTIF(Cyprien,D37)=1,listes!$M$1,IF(COUNTIF(Ferrandière,D37)=1,listes!$N$1,IF(COUNTIF(Gratteciel,D37)=1,listes!$O$1,IF(COUNTIF(Saintjean,D37)=1,listes!$Q$1,IF(COUNTIF(horsvilleurbanne,D37)=1,listes!$R$1,"")))))))))</f>
        <v/>
      </c>
      <c r="M37" s="21" t="str">
        <f t="shared" si="0"/>
        <v/>
      </c>
      <c r="N37" s="21" t="str">
        <f>T_sept_dec[[#This Row],[Etablissement accueillant]]&amp;"-"&amp;T_sept_dec[[#This Row],[Enseignant référent (Nom Prénom)]]</f>
        <v>-</v>
      </c>
      <c r="O37" s="21">
        <f>1/COUNTIF(T_sept_dec[CléEtablissement],T_sept_dec[[#This Row],[CléEtablissement]])</f>
        <v>4.1841004184100415E-3</v>
      </c>
      <c r="P3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7" s="186">
        <f>1/COUNTIF(T_sept_dec[CléRéseau-Rize horsmed],T_sept_dec[[#This Row],[CléRéseau-Rize horsmed]])</f>
        <v>4.1841004184100415E-3</v>
      </c>
      <c r="R37" s="186" t="str">
        <f>IF(COUNTIF(RIZE,T_sept_dec[[#This Row],[Secteur organisateur]]),"Rize_"&amp;T_sept_dec[[#This Row],[Enseignant référent (Nom Prénom)]],"")</f>
        <v/>
      </c>
      <c r="S37" s="186">
        <f>1/COUNTIF(T_sept_dec[CléRize],T_sept_dec[[#This Row],[CléRize]])</f>
        <v>4.048582995951417E-3</v>
      </c>
      <c r="T37" s="186" t="str">
        <f>IF(COUNTIF(Total,T_sept_dec[[#This Row],[Secteur organisateur]]),"Total_"&amp;T_sept_dec[[#This Row],[Enseignant référent (Nom Prénom)]],"")</f>
        <v/>
      </c>
      <c r="U37" s="186">
        <f>1/COUNTIF(T_sept_dec[cléTotal],T_sept_dec[[#This Row],[cléTotal]])</f>
        <v>4.1841004184100415E-3</v>
      </c>
    </row>
    <row r="38" spans="5:21">
      <c r="K38" s="21" t="str">
        <f>IF(COUNTIF(Maternelle,E38)=1,listes!$T$1,IF(COUNTIF(Elémentaire,E38)=1,listes!$U$1,IF(COUNTIF(Collège,E38)=1,listes!$V$1,IF(COUNTIF(Lycée,E38)=1,listes!$W$1,""))))</f>
        <v/>
      </c>
      <c r="L38" s="21" t="str">
        <f>IF(COUNTIF(Perralière,D38)=1,listes!$P$1,IF(COUNTIF(Buers,D38)=1,listes!$J$1,IF(COUNTIF(Charpennes,D38)=1,listes!$K$1,IF(COUNTIF(Cusset,D38)=1,listes!$L$1,IF(COUNTIF(Cyprien,D38)=1,listes!$M$1,IF(COUNTIF(Ferrandière,D38)=1,listes!$N$1,IF(COUNTIF(Gratteciel,D38)=1,listes!$O$1,IF(COUNTIF(Saintjean,D38)=1,listes!$Q$1,IF(COUNTIF(horsvilleurbanne,D38)=1,listes!$R$1,"")))))))))</f>
        <v/>
      </c>
      <c r="M38" s="21" t="str">
        <f t="shared" si="0"/>
        <v/>
      </c>
      <c r="N38" s="21" t="str">
        <f>T_sept_dec[[#This Row],[Etablissement accueillant]]&amp;"-"&amp;T_sept_dec[[#This Row],[Enseignant référent (Nom Prénom)]]</f>
        <v>-</v>
      </c>
      <c r="O38" s="21">
        <f>1/COUNTIF(T_sept_dec[CléEtablissement],T_sept_dec[[#This Row],[CléEtablissement]])</f>
        <v>4.1841004184100415E-3</v>
      </c>
      <c r="P3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8" s="186">
        <f>1/COUNTIF(T_sept_dec[CléRéseau-Rize horsmed],T_sept_dec[[#This Row],[CléRéseau-Rize horsmed]])</f>
        <v>4.1841004184100415E-3</v>
      </c>
      <c r="R38" s="186" t="str">
        <f>IF(COUNTIF(RIZE,T_sept_dec[[#This Row],[Secteur organisateur]]),"Rize_"&amp;T_sept_dec[[#This Row],[Enseignant référent (Nom Prénom)]],"")</f>
        <v/>
      </c>
      <c r="S38" s="186">
        <f>1/COUNTIF(T_sept_dec[CléRize],T_sept_dec[[#This Row],[CléRize]])</f>
        <v>4.048582995951417E-3</v>
      </c>
      <c r="T38" s="186" t="str">
        <f>IF(COUNTIF(Total,T_sept_dec[[#This Row],[Secteur organisateur]]),"Total_"&amp;T_sept_dec[[#This Row],[Enseignant référent (Nom Prénom)]],"")</f>
        <v/>
      </c>
      <c r="U38" s="186">
        <f>1/COUNTIF(T_sept_dec[cléTotal],T_sept_dec[[#This Row],[cléTotal]])</f>
        <v>4.1841004184100415E-3</v>
      </c>
    </row>
    <row r="39" spans="5:21">
      <c r="K39" s="21" t="str">
        <f>IF(COUNTIF(Maternelle,E39)=1,listes!$T$1,IF(COUNTIF(Elémentaire,E39)=1,listes!$U$1,IF(COUNTIF(Collège,E39)=1,listes!$V$1,IF(COUNTIF(Lycée,E39)=1,listes!$W$1,""))))</f>
        <v/>
      </c>
      <c r="L39" s="21" t="str">
        <f>IF(COUNTIF(Perralière,D39)=1,listes!$P$1,IF(COUNTIF(Buers,D39)=1,listes!$J$1,IF(COUNTIF(Charpennes,D39)=1,listes!$K$1,IF(COUNTIF(Cusset,D39)=1,listes!$L$1,IF(COUNTIF(Cyprien,D39)=1,listes!$M$1,IF(COUNTIF(Ferrandière,D39)=1,listes!$N$1,IF(COUNTIF(Gratteciel,D39)=1,listes!$O$1,IF(COUNTIF(Saintjean,D39)=1,listes!$Q$1,IF(COUNTIF(horsvilleurbanne,D39)=1,listes!$R$1,"")))))))))</f>
        <v/>
      </c>
      <c r="M39" s="21" t="str">
        <f t="shared" si="0"/>
        <v/>
      </c>
      <c r="N39" s="21" t="str">
        <f>T_sept_dec[[#This Row],[Etablissement accueillant]]&amp;"-"&amp;T_sept_dec[[#This Row],[Enseignant référent (Nom Prénom)]]</f>
        <v>-</v>
      </c>
      <c r="O39" s="21">
        <f>1/COUNTIF(T_sept_dec[CléEtablissement],T_sept_dec[[#This Row],[CléEtablissement]])</f>
        <v>4.1841004184100415E-3</v>
      </c>
      <c r="P3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39" s="186">
        <f>1/COUNTIF(T_sept_dec[CléRéseau-Rize horsmed],T_sept_dec[[#This Row],[CléRéseau-Rize horsmed]])</f>
        <v>4.1841004184100415E-3</v>
      </c>
      <c r="R39" s="186" t="str">
        <f>IF(COUNTIF(RIZE,T_sept_dec[[#This Row],[Secteur organisateur]]),"Rize_"&amp;T_sept_dec[[#This Row],[Enseignant référent (Nom Prénom)]],"")</f>
        <v/>
      </c>
      <c r="S39" s="186">
        <f>1/COUNTIF(T_sept_dec[CléRize],T_sept_dec[[#This Row],[CléRize]])</f>
        <v>4.048582995951417E-3</v>
      </c>
      <c r="T39" s="186" t="str">
        <f>IF(COUNTIF(Total,T_sept_dec[[#This Row],[Secteur organisateur]]),"Total_"&amp;T_sept_dec[[#This Row],[Enseignant référent (Nom Prénom)]],"")</f>
        <v/>
      </c>
      <c r="U39" s="186">
        <f>1/COUNTIF(T_sept_dec[cléTotal],T_sept_dec[[#This Row],[cléTotal]])</f>
        <v>4.1841004184100415E-3</v>
      </c>
    </row>
    <row r="40" spans="5:21">
      <c r="K40" s="21" t="str">
        <f>IF(COUNTIF(Maternelle,E40)=1,listes!$T$1,IF(COUNTIF(Elémentaire,E40)=1,listes!$U$1,IF(COUNTIF(Collège,E40)=1,listes!$V$1,IF(COUNTIF(Lycée,E40)=1,listes!$W$1,""))))</f>
        <v/>
      </c>
      <c r="L40" s="21" t="str">
        <f>IF(COUNTIF(Perralière,D40)=1,listes!$P$1,IF(COUNTIF(Buers,D40)=1,listes!$J$1,IF(COUNTIF(Charpennes,D40)=1,listes!$K$1,IF(COUNTIF(Cusset,D40)=1,listes!$L$1,IF(COUNTIF(Cyprien,D40)=1,listes!$M$1,IF(COUNTIF(Ferrandière,D40)=1,listes!$N$1,IF(COUNTIF(Gratteciel,D40)=1,listes!$O$1,IF(COUNTIF(Saintjean,D40)=1,listes!$Q$1,IF(COUNTIF(horsvilleurbanne,D40)=1,listes!$R$1,"")))))))))</f>
        <v/>
      </c>
      <c r="M40" s="21" t="str">
        <f t="shared" si="0"/>
        <v/>
      </c>
      <c r="N40" s="21" t="str">
        <f>T_sept_dec[[#This Row],[Etablissement accueillant]]&amp;"-"&amp;T_sept_dec[[#This Row],[Enseignant référent (Nom Prénom)]]</f>
        <v>-</v>
      </c>
      <c r="O40" s="21">
        <f>1/COUNTIF(T_sept_dec[CléEtablissement],T_sept_dec[[#This Row],[CléEtablissement]])</f>
        <v>4.1841004184100415E-3</v>
      </c>
      <c r="P4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0" s="186">
        <f>1/COUNTIF(T_sept_dec[CléRéseau-Rize horsmed],T_sept_dec[[#This Row],[CléRéseau-Rize horsmed]])</f>
        <v>4.1841004184100415E-3</v>
      </c>
      <c r="R40" s="186" t="str">
        <f>IF(COUNTIF(RIZE,T_sept_dec[[#This Row],[Secteur organisateur]]),"Rize_"&amp;T_sept_dec[[#This Row],[Enseignant référent (Nom Prénom)]],"")</f>
        <v/>
      </c>
      <c r="S40" s="186">
        <f>1/COUNTIF(T_sept_dec[CléRize],T_sept_dec[[#This Row],[CléRize]])</f>
        <v>4.048582995951417E-3</v>
      </c>
      <c r="T40" s="186" t="str">
        <f>IF(COUNTIF(Total,T_sept_dec[[#This Row],[Secteur organisateur]]),"Total_"&amp;T_sept_dec[[#This Row],[Enseignant référent (Nom Prénom)]],"")</f>
        <v/>
      </c>
      <c r="U40" s="186">
        <f>1/COUNTIF(T_sept_dec[cléTotal],T_sept_dec[[#This Row],[cléTotal]])</f>
        <v>4.1841004184100415E-3</v>
      </c>
    </row>
    <row r="41" spans="5:21">
      <c r="K41" s="21" t="str">
        <f>IF(COUNTIF(Maternelle,E41)=1,listes!$T$1,IF(COUNTIF(Elémentaire,E41)=1,listes!$U$1,IF(COUNTIF(Collège,E41)=1,listes!$V$1,IF(COUNTIF(Lycée,E41)=1,listes!$W$1,""))))</f>
        <v/>
      </c>
      <c r="L41" s="21" t="str">
        <f>IF(COUNTIF(Perralière,D41)=1,listes!$P$1,IF(COUNTIF(Buers,D41)=1,listes!$J$1,IF(COUNTIF(Charpennes,D41)=1,listes!$K$1,IF(COUNTIF(Cusset,D41)=1,listes!$L$1,IF(COUNTIF(Cyprien,D41)=1,listes!$M$1,IF(COUNTIF(Ferrandière,D41)=1,listes!$N$1,IF(COUNTIF(Gratteciel,D41)=1,listes!$O$1,IF(COUNTIF(Saintjean,D41)=1,listes!$Q$1,IF(COUNTIF(horsvilleurbanne,D41)=1,listes!$R$1,"")))))))))</f>
        <v/>
      </c>
      <c r="M41" s="21" t="str">
        <f t="shared" si="0"/>
        <v/>
      </c>
      <c r="N41" s="21" t="str">
        <f>T_sept_dec[[#This Row],[Etablissement accueillant]]&amp;"-"&amp;T_sept_dec[[#This Row],[Enseignant référent (Nom Prénom)]]</f>
        <v>-</v>
      </c>
      <c r="O41" s="21">
        <f>1/COUNTIF(T_sept_dec[CléEtablissement],T_sept_dec[[#This Row],[CléEtablissement]])</f>
        <v>4.1841004184100415E-3</v>
      </c>
      <c r="P4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1" s="186">
        <f>1/COUNTIF(T_sept_dec[CléRéseau-Rize horsmed],T_sept_dec[[#This Row],[CléRéseau-Rize horsmed]])</f>
        <v>4.1841004184100415E-3</v>
      </c>
      <c r="R41" s="186" t="str">
        <f>IF(COUNTIF(RIZE,T_sept_dec[[#This Row],[Secteur organisateur]]),"Rize_"&amp;T_sept_dec[[#This Row],[Enseignant référent (Nom Prénom)]],"")</f>
        <v/>
      </c>
      <c r="S41" s="186">
        <f>1/COUNTIF(T_sept_dec[CléRize],T_sept_dec[[#This Row],[CléRize]])</f>
        <v>4.048582995951417E-3</v>
      </c>
      <c r="T41" s="186" t="str">
        <f>IF(COUNTIF(Total,T_sept_dec[[#This Row],[Secteur organisateur]]),"Total_"&amp;T_sept_dec[[#This Row],[Enseignant référent (Nom Prénom)]],"")</f>
        <v/>
      </c>
      <c r="U41" s="186">
        <f>1/COUNTIF(T_sept_dec[cléTotal],T_sept_dec[[#This Row],[cléTotal]])</f>
        <v>4.1841004184100415E-3</v>
      </c>
    </row>
    <row r="42" spans="5:21">
      <c r="K42" s="21" t="str">
        <f>IF(COUNTIF(Maternelle,E42)=1,listes!$T$1,IF(COUNTIF(Elémentaire,E42)=1,listes!$U$1,IF(COUNTIF(Collège,E42)=1,listes!$V$1,IF(COUNTIF(Lycée,E42)=1,listes!$W$1,""))))</f>
        <v/>
      </c>
      <c r="L42" s="21" t="str">
        <f>IF(COUNTIF(Perralière,D42)=1,listes!$P$1,IF(COUNTIF(Buers,D42)=1,listes!$J$1,IF(COUNTIF(Charpennes,D42)=1,listes!$K$1,IF(COUNTIF(Cusset,D42)=1,listes!$L$1,IF(COUNTIF(Cyprien,D42)=1,listes!$M$1,IF(COUNTIF(Ferrandière,D42)=1,listes!$N$1,IF(COUNTIF(Gratteciel,D42)=1,listes!$O$1,IF(COUNTIF(Saintjean,D42)=1,listes!$Q$1,IF(COUNTIF(horsvilleurbanne,D42)=1,listes!$R$1,"")))))))))</f>
        <v/>
      </c>
      <c r="M42" s="21" t="str">
        <f t="shared" si="0"/>
        <v/>
      </c>
      <c r="N42" s="21" t="str">
        <f>T_sept_dec[[#This Row],[Etablissement accueillant]]&amp;"-"&amp;T_sept_dec[[#This Row],[Enseignant référent (Nom Prénom)]]</f>
        <v>-</v>
      </c>
      <c r="O42" s="21">
        <f>1/COUNTIF(T_sept_dec[CléEtablissement],T_sept_dec[[#This Row],[CléEtablissement]])</f>
        <v>4.1841004184100415E-3</v>
      </c>
      <c r="P4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2" s="186">
        <f>1/COUNTIF(T_sept_dec[CléRéseau-Rize horsmed],T_sept_dec[[#This Row],[CléRéseau-Rize horsmed]])</f>
        <v>4.1841004184100415E-3</v>
      </c>
      <c r="R42" s="186" t="str">
        <f>IF(COUNTIF(RIZE,T_sept_dec[[#This Row],[Secteur organisateur]]),"Rize_"&amp;T_sept_dec[[#This Row],[Enseignant référent (Nom Prénom)]],"")</f>
        <v/>
      </c>
      <c r="S42" s="186">
        <f>1/COUNTIF(T_sept_dec[CléRize],T_sept_dec[[#This Row],[CléRize]])</f>
        <v>4.048582995951417E-3</v>
      </c>
      <c r="T42" s="186" t="str">
        <f>IF(COUNTIF(Total,T_sept_dec[[#This Row],[Secteur organisateur]]),"Total_"&amp;T_sept_dec[[#This Row],[Enseignant référent (Nom Prénom)]],"")</f>
        <v/>
      </c>
      <c r="U42" s="186">
        <f>1/COUNTIF(T_sept_dec[cléTotal],T_sept_dec[[#This Row],[cléTotal]])</f>
        <v>4.1841004184100415E-3</v>
      </c>
    </row>
    <row r="43" spans="5:21">
      <c r="E43" s="153"/>
      <c r="K43" s="21" t="str">
        <f>IF(COUNTIF(Maternelle,E43)=1,listes!$T$1,IF(COUNTIF(Elémentaire,E43)=1,listes!$U$1,IF(COUNTIF(Collège,E43)=1,listes!$V$1,IF(COUNTIF(Lycée,E43)=1,listes!$W$1,""))))</f>
        <v/>
      </c>
      <c r="L43" s="21" t="str">
        <f>IF(COUNTIF(Perralière,D43)=1,listes!$P$1,IF(COUNTIF(Buers,D43)=1,listes!$J$1,IF(COUNTIF(Charpennes,D43)=1,listes!$K$1,IF(COUNTIF(Cusset,D43)=1,listes!$L$1,IF(COUNTIF(Cyprien,D43)=1,listes!$M$1,IF(COUNTIF(Ferrandière,D43)=1,listes!$N$1,IF(COUNTIF(Gratteciel,D43)=1,listes!$O$1,IF(COUNTIF(Saintjean,D43)=1,listes!$Q$1,IF(COUNTIF(horsvilleurbanne,D43)=1,listes!$R$1,"")))))))))</f>
        <v/>
      </c>
      <c r="M43" s="21" t="str">
        <f t="shared" si="0"/>
        <v/>
      </c>
      <c r="N43" s="21" t="str">
        <f>T_sept_dec[[#This Row],[Etablissement accueillant]]&amp;"-"&amp;T_sept_dec[[#This Row],[Enseignant référent (Nom Prénom)]]</f>
        <v>-</v>
      </c>
      <c r="O43" s="21">
        <f>1/COUNTIF(T_sept_dec[CléEtablissement],T_sept_dec[[#This Row],[CléEtablissement]])</f>
        <v>4.1841004184100415E-3</v>
      </c>
      <c r="P4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3" s="186">
        <f>1/COUNTIF(T_sept_dec[CléRéseau-Rize horsmed],T_sept_dec[[#This Row],[CléRéseau-Rize horsmed]])</f>
        <v>4.1841004184100415E-3</v>
      </c>
      <c r="R43" s="186" t="str">
        <f>IF(COUNTIF(RIZE,T_sept_dec[[#This Row],[Secteur organisateur]]),"Rize_"&amp;T_sept_dec[[#This Row],[Enseignant référent (Nom Prénom)]],"")</f>
        <v/>
      </c>
      <c r="S43" s="186">
        <f>1/COUNTIF(T_sept_dec[CléRize],T_sept_dec[[#This Row],[CléRize]])</f>
        <v>4.048582995951417E-3</v>
      </c>
      <c r="T43" s="186" t="str">
        <f>IF(COUNTIF(Total,T_sept_dec[[#This Row],[Secteur organisateur]]),"Total_"&amp;T_sept_dec[[#This Row],[Enseignant référent (Nom Prénom)]],"")</f>
        <v/>
      </c>
      <c r="U43" s="186">
        <f>1/COUNTIF(T_sept_dec[cléTotal],T_sept_dec[[#This Row],[cléTotal]])</f>
        <v>4.1841004184100415E-3</v>
      </c>
    </row>
    <row r="44" spans="5:21">
      <c r="K44" s="21" t="str">
        <f>IF(COUNTIF(Maternelle,E44)=1,listes!$T$1,IF(COUNTIF(Elémentaire,E44)=1,listes!$U$1,IF(COUNTIF(Collège,E44)=1,listes!$V$1,IF(COUNTIF(Lycée,E44)=1,listes!$W$1,""))))</f>
        <v/>
      </c>
      <c r="L44" s="21" t="str">
        <f>IF(COUNTIF(Perralière,D44)=1,listes!$P$1,IF(COUNTIF(Buers,D44)=1,listes!$J$1,IF(COUNTIF(Charpennes,D44)=1,listes!$K$1,IF(COUNTIF(Cusset,D44)=1,listes!$L$1,IF(COUNTIF(Cyprien,D44)=1,listes!$M$1,IF(COUNTIF(Ferrandière,D44)=1,listes!$N$1,IF(COUNTIF(Gratteciel,D44)=1,listes!$O$1,IF(COUNTIF(Saintjean,D44)=1,listes!$Q$1,IF(COUNTIF(horsvilleurbanne,D44)=1,listes!$R$1,"")))))))))</f>
        <v/>
      </c>
      <c r="M44" s="21" t="str">
        <f t="shared" si="0"/>
        <v/>
      </c>
      <c r="N44" s="21" t="str">
        <f>T_sept_dec[[#This Row],[Etablissement accueillant]]&amp;"-"&amp;T_sept_dec[[#This Row],[Enseignant référent (Nom Prénom)]]</f>
        <v>-</v>
      </c>
      <c r="O44" s="21">
        <f>1/COUNTIF(T_sept_dec[CléEtablissement],T_sept_dec[[#This Row],[CléEtablissement]])</f>
        <v>4.1841004184100415E-3</v>
      </c>
      <c r="P4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4" s="186">
        <f>1/COUNTIF(T_sept_dec[CléRéseau-Rize horsmed],T_sept_dec[[#This Row],[CléRéseau-Rize horsmed]])</f>
        <v>4.1841004184100415E-3</v>
      </c>
      <c r="R44" s="186" t="str">
        <f>IF(COUNTIF(RIZE,T_sept_dec[[#This Row],[Secteur organisateur]]),"Rize_"&amp;T_sept_dec[[#This Row],[Enseignant référent (Nom Prénom)]],"")</f>
        <v/>
      </c>
      <c r="S44" s="186">
        <f>1/COUNTIF(T_sept_dec[CléRize],T_sept_dec[[#This Row],[CléRize]])</f>
        <v>4.048582995951417E-3</v>
      </c>
      <c r="T44" s="186" t="str">
        <f>IF(COUNTIF(Total,T_sept_dec[[#This Row],[Secteur organisateur]]),"Total_"&amp;T_sept_dec[[#This Row],[Enseignant référent (Nom Prénom)]],"")</f>
        <v/>
      </c>
      <c r="U44" s="186">
        <f>1/COUNTIF(T_sept_dec[cléTotal],T_sept_dec[[#This Row],[cléTotal]])</f>
        <v>4.1841004184100415E-3</v>
      </c>
    </row>
    <row r="45" spans="5:21">
      <c r="K45" s="21" t="str">
        <f>IF(COUNTIF(Maternelle,E45)=1,listes!$T$1,IF(COUNTIF(Elémentaire,E45)=1,listes!$U$1,IF(COUNTIF(Collège,E45)=1,listes!$V$1,IF(COUNTIF(Lycée,E45)=1,listes!$W$1,""))))</f>
        <v/>
      </c>
      <c r="L45" s="21" t="str">
        <f>IF(COUNTIF(Perralière,D45)=1,listes!$P$1,IF(COUNTIF(Buers,D45)=1,listes!$J$1,IF(COUNTIF(Charpennes,D45)=1,listes!$K$1,IF(COUNTIF(Cusset,D45)=1,listes!$L$1,IF(COUNTIF(Cyprien,D45)=1,listes!$M$1,IF(COUNTIF(Ferrandière,D45)=1,listes!$N$1,IF(COUNTIF(Gratteciel,D45)=1,listes!$O$1,IF(COUNTIF(Saintjean,D45)=1,listes!$Q$1,IF(COUNTIF(horsvilleurbanne,D45)=1,listes!$R$1,"")))))))))</f>
        <v/>
      </c>
      <c r="M45" s="21" t="str">
        <f t="shared" si="0"/>
        <v/>
      </c>
      <c r="N45" s="21" t="str">
        <f>T_sept_dec[[#This Row],[Etablissement accueillant]]&amp;"-"&amp;T_sept_dec[[#This Row],[Enseignant référent (Nom Prénom)]]</f>
        <v>-</v>
      </c>
      <c r="O45" s="21">
        <f>1/COUNTIF(T_sept_dec[CléEtablissement],T_sept_dec[[#This Row],[CléEtablissement]])</f>
        <v>4.1841004184100415E-3</v>
      </c>
      <c r="P4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5" s="186">
        <f>1/COUNTIF(T_sept_dec[CléRéseau-Rize horsmed],T_sept_dec[[#This Row],[CléRéseau-Rize horsmed]])</f>
        <v>4.1841004184100415E-3</v>
      </c>
      <c r="R45" s="186" t="str">
        <f>IF(COUNTIF(RIZE,T_sept_dec[[#This Row],[Secteur organisateur]]),"Rize_"&amp;T_sept_dec[[#This Row],[Enseignant référent (Nom Prénom)]],"")</f>
        <v/>
      </c>
      <c r="S45" s="186">
        <f>1/COUNTIF(T_sept_dec[CléRize],T_sept_dec[[#This Row],[CléRize]])</f>
        <v>4.048582995951417E-3</v>
      </c>
      <c r="T45" s="186" t="str">
        <f>IF(COUNTIF(Total,T_sept_dec[[#This Row],[Secteur organisateur]]),"Total_"&amp;T_sept_dec[[#This Row],[Enseignant référent (Nom Prénom)]],"")</f>
        <v/>
      </c>
      <c r="U45" s="186">
        <f>1/COUNTIF(T_sept_dec[cléTotal],T_sept_dec[[#This Row],[cléTotal]])</f>
        <v>4.1841004184100415E-3</v>
      </c>
    </row>
    <row r="46" spans="5:21">
      <c r="K46" s="21" t="str">
        <f>IF(COUNTIF(Maternelle,E46)=1,listes!$T$1,IF(COUNTIF(Elémentaire,E46)=1,listes!$U$1,IF(COUNTIF(Collège,E46)=1,listes!$V$1,IF(COUNTIF(Lycée,E46)=1,listes!$W$1,""))))</f>
        <v/>
      </c>
      <c r="L46" s="21" t="str">
        <f>IF(COUNTIF(Perralière,D46)=1,listes!$P$1,IF(COUNTIF(Buers,D46)=1,listes!$J$1,IF(COUNTIF(Charpennes,D46)=1,listes!$K$1,IF(COUNTIF(Cusset,D46)=1,listes!$L$1,IF(COUNTIF(Cyprien,D46)=1,listes!$M$1,IF(COUNTIF(Ferrandière,D46)=1,listes!$N$1,IF(COUNTIF(Gratteciel,D46)=1,listes!$O$1,IF(COUNTIF(Saintjean,D46)=1,listes!$Q$1,IF(COUNTIF(horsvilleurbanne,D46)=1,listes!$R$1,"")))))))))</f>
        <v/>
      </c>
      <c r="M46" s="21" t="str">
        <f t="shared" si="0"/>
        <v/>
      </c>
      <c r="N46" s="21" t="str">
        <f>T_sept_dec[[#This Row],[Etablissement accueillant]]&amp;"-"&amp;T_sept_dec[[#This Row],[Enseignant référent (Nom Prénom)]]</f>
        <v>-</v>
      </c>
      <c r="O46" s="21">
        <f>1/COUNTIF(T_sept_dec[CléEtablissement],T_sept_dec[[#This Row],[CléEtablissement]])</f>
        <v>4.1841004184100415E-3</v>
      </c>
      <c r="P4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6" s="186">
        <f>1/COUNTIF(T_sept_dec[CléRéseau-Rize horsmed],T_sept_dec[[#This Row],[CléRéseau-Rize horsmed]])</f>
        <v>4.1841004184100415E-3</v>
      </c>
      <c r="R46" s="186" t="str">
        <f>IF(COUNTIF(RIZE,T_sept_dec[[#This Row],[Secteur organisateur]]),"Rize_"&amp;T_sept_dec[[#This Row],[Enseignant référent (Nom Prénom)]],"")</f>
        <v/>
      </c>
      <c r="S46" s="186">
        <f>1/COUNTIF(T_sept_dec[CléRize],T_sept_dec[[#This Row],[CléRize]])</f>
        <v>4.048582995951417E-3</v>
      </c>
      <c r="T46" s="186" t="str">
        <f>IF(COUNTIF(Total,T_sept_dec[[#This Row],[Secteur organisateur]]),"Total_"&amp;T_sept_dec[[#This Row],[Enseignant référent (Nom Prénom)]],"")</f>
        <v/>
      </c>
      <c r="U46" s="186">
        <f>1/COUNTIF(T_sept_dec[cléTotal],T_sept_dec[[#This Row],[cléTotal]])</f>
        <v>4.1841004184100415E-3</v>
      </c>
    </row>
    <row r="47" spans="5:21">
      <c r="K47" s="21" t="str">
        <f>IF(COUNTIF(Maternelle,E47)=1,listes!$T$1,IF(COUNTIF(Elémentaire,E47)=1,listes!$U$1,IF(COUNTIF(Collège,E47)=1,listes!$V$1,IF(COUNTIF(Lycée,E47)=1,listes!$W$1,""))))</f>
        <v/>
      </c>
      <c r="L47" s="21" t="str">
        <f>IF(COUNTIF(Perralière,D47)=1,listes!$P$1,IF(COUNTIF(Buers,D47)=1,listes!$J$1,IF(COUNTIF(Charpennes,D47)=1,listes!$K$1,IF(COUNTIF(Cusset,D47)=1,listes!$L$1,IF(COUNTIF(Cyprien,D47)=1,listes!$M$1,IF(COUNTIF(Ferrandière,D47)=1,listes!$N$1,IF(COUNTIF(Gratteciel,D47)=1,listes!$O$1,IF(COUNTIF(Saintjean,D47)=1,listes!$Q$1,IF(COUNTIF(horsvilleurbanne,D47)=1,listes!$R$1,"")))))))))</f>
        <v/>
      </c>
      <c r="M47" s="21" t="str">
        <f t="shared" si="0"/>
        <v/>
      </c>
      <c r="N47" s="21" t="str">
        <f>T_sept_dec[[#This Row],[Etablissement accueillant]]&amp;"-"&amp;T_sept_dec[[#This Row],[Enseignant référent (Nom Prénom)]]</f>
        <v>-</v>
      </c>
      <c r="O47" s="21">
        <f>1/COUNTIF(T_sept_dec[CléEtablissement],T_sept_dec[[#This Row],[CléEtablissement]])</f>
        <v>4.1841004184100415E-3</v>
      </c>
      <c r="P4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7" s="186">
        <f>1/COUNTIF(T_sept_dec[CléRéseau-Rize horsmed],T_sept_dec[[#This Row],[CléRéseau-Rize horsmed]])</f>
        <v>4.1841004184100415E-3</v>
      </c>
      <c r="R47" s="186" t="str">
        <f>IF(COUNTIF(RIZE,T_sept_dec[[#This Row],[Secteur organisateur]]),"Rize_"&amp;T_sept_dec[[#This Row],[Enseignant référent (Nom Prénom)]],"")</f>
        <v/>
      </c>
      <c r="S47" s="186">
        <f>1/COUNTIF(T_sept_dec[CléRize],T_sept_dec[[#This Row],[CléRize]])</f>
        <v>4.048582995951417E-3</v>
      </c>
      <c r="T47" s="186" t="str">
        <f>IF(COUNTIF(Total,T_sept_dec[[#This Row],[Secteur organisateur]]),"Total_"&amp;T_sept_dec[[#This Row],[Enseignant référent (Nom Prénom)]],"")</f>
        <v/>
      </c>
      <c r="U47" s="186">
        <f>1/COUNTIF(T_sept_dec[cléTotal],T_sept_dec[[#This Row],[cléTotal]])</f>
        <v>4.1841004184100415E-3</v>
      </c>
    </row>
    <row r="48" spans="5:21">
      <c r="K48" s="21" t="str">
        <f>IF(COUNTIF(Maternelle,E48)=1,listes!$T$1,IF(COUNTIF(Elémentaire,E48)=1,listes!$U$1,IF(COUNTIF(Collège,E48)=1,listes!$V$1,IF(COUNTIF(Lycée,E48)=1,listes!$W$1,""))))</f>
        <v/>
      </c>
      <c r="L48" s="21" t="str">
        <f>IF(COUNTIF(Perralière,D48)=1,listes!$P$1,IF(COUNTIF(Buers,D48)=1,listes!$J$1,IF(COUNTIF(Charpennes,D48)=1,listes!$K$1,IF(COUNTIF(Cusset,D48)=1,listes!$L$1,IF(COUNTIF(Cyprien,D48)=1,listes!$M$1,IF(COUNTIF(Ferrandière,D48)=1,listes!$N$1,IF(COUNTIF(Gratteciel,D48)=1,listes!$O$1,IF(COUNTIF(Saintjean,D48)=1,listes!$Q$1,IF(COUNTIF(horsvilleurbanne,D48)=1,listes!$R$1,"")))))))))</f>
        <v/>
      </c>
      <c r="M48" s="21" t="str">
        <f t="shared" si="0"/>
        <v/>
      </c>
      <c r="N48" s="21" t="str">
        <f>T_sept_dec[[#This Row],[Etablissement accueillant]]&amp;"-"&amp;T_sept_dec[[#This Row],[Enseignant référent (Nom Prénom)]]</f>
        <v>-</v>
      </c>
      <c r="O48" s="21">
        <f>1/COUNTIF(T_sept_dec[CléEtablissement],T_sept_dec[[#This Row],[CléEtablissement]])</f>
        <v>4.1841004184100415E-3</v>
      </c>
      <c r="P4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8" s="186">
        <f>1/COUNTIF(T_sept_dec[CléRéseau-Rize horsmed],T_sept_dec[[#This Row],[CléRéseau-Rize horsmed]])</f>
        <v>4.1841004184100415E-3</v>
      </c>
      <c r="R48" s="186" t="str">
        <f>IF(COUNTIF(RIZE,T_sept_dec[[#This Row],[Secteur organisateur]]),"Rize_"&amp;T_sept_dec[[#This Row],[Enseignant référent (Nom Prénom)]],"")</f>
        <v/>
      </c>
      <c r="S48" s="186">
        <f>1/COUNTIF(T_sept_dec[CléRize],T_sept_dec[[#This Row],[CléRize]])</f>
        <v>4.048582995951417E-3</v>
      </c>
      <c r="T48" s="186" t="str">
        <f>IF(COUNTIF(Total,T_sept_dec[[#This Row],[Secteur organisateur]]),"Total_"&amp;T_sept_dec[[#This Row],[Enseignant référent (Nom Prénom)]],"")</f>
        <v/>
      </c>
      <c r="U48" s="186">
        <f>1/COUNTIF(T_sept_dec[cléTotal],T_sept_dec[[#This Row],[cléTotal]])</f>
        <v>4.1841004184100415E-3</v>
      </c>
    </row>
    <row r="49" spans="3:21">
      <c r="K49" s="21" t="str">
        <f>IF(COUNTIF(Maternelle,E49)=1,listes!$T$1,IF(COUNTIF(Elémentaire,E49)=1,listes!$U$1,IF(COUNTIF(Collège,E49)=1,listes!$V$1,IF(COUNTIF(Lycée,E49)=1,listes!$W$1,""))))</f>
        <v/>
      </c>
      <c r="L49" s="21" t="str">
        <f>IF(COUNTIF(Perralière,D49)=1,listes!$P$1,IF(COUNTIF(Buers,D49)=1,listes!$J$1,IF(COUNTIF(Charpennes,D49)=1,listes!$K$1,IF(COUNTIF(Cusset,D49)=1,listes!$L$1,IF(COUNTIF(Cyprien,D49)=1,listes!$M$1,IF(COUNTIF(Ferrandière,D49)=1,listes!$N$1,IF(COUNTIF(Gratteciel,D49)=1,listes!$O$1,IF(COUNTIF(Saintjean,D49)=1,listes!$Q$1,IF(COUNTIF(horsvilleurbanne,D49)=1,listes!$R$1,"")))))))))</f>
        <v/>
      </c>
      <c r="M49" s="21" t="str">
        <f t="shared" si="0"/>
        <v/>
      </c>
      <c r="N49" s="21" t="str">
        <f>T_sept_dec[[#This Row],[Etablissement accueillant]]&amp;"-"&amp;T_sept_dec[[#This Row],[Enseignant référent (Nom Prénom)]]</f>
        <v>-</v>
      </c>
      <c r="O49" s="21">
        <f>1/COUNTIF(T_sept_dec[CléEtablissement],T_sept_dec[[#This Row],[CléEtablissement]])</f>
        <v>4.1841004184100415E-3</v>
      </c>
      <c r="P4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49" s="186">
        <f>1/COUNTIF(T_sept_dec[CléRéseau-Rize horsmed],T_sept_dec[[#This Row],[CléRéseau-Rize horsmed]])</f>
        <v>4.1841004184100415E-3</v>
      </c>
      <c r="R49" s="186" t="str">
        <f>IF(COUNTIF(RIZE,T_sept_dec[[#This Row],[Secteur organisateur]]),"Rize_"&amp;T_sept_dec[[#This Row],[Enseignant référent (Nom Prénom)]],"")</f>
        <v/>
      </c>
      <c r="S49" s="186">
        <f>1/COUNTIF(T_sept_dec[CléRize],T_sept_dec[[#This Row],[CléRize]])</f>
        <v>4.048582995951417E-3</v>
      </c>
      <c r="T49" s="186" t="str">
        <f>IF(COUNTIF(Total,T_sept_dec[[#This Row],[Secteur organisateur]]),"Total_"&amp;T_sept_dec[[#This Row],[Enseignant référent (Nom Prénom)]],"")</f>
        <v/>
      </c>
      <c r="U49" s="186">
        <f>1/COUNTIF(T_sept_dec[cléTotal],T_sept_dec[[#This Row],[cléTotal]])</f>
        <v>4.1841004184100415E-3</v>
      </c>
    </row>
    <row r="50" spans="3:21">
      <c r="K50" s="21" t="str">
        <f>IF(COUNTIF(Maternelle,E50)=1,listes!$T$1,IF(COUNTIF(Elémentaire,E50)=1,listes!$U$1,IF(COUNTIF(Collège,E50)=1,listes!$V$1,IF(COUNTIF(Lycée,E50)=1,listes!$W$1,""))))</f>
        <v/>
      </c>
      <c r="L50" s="21" t="str">
        <f>IF(COUNTIF(Perralière,D50)=1,listes!$P$1,IF(COUNTIF(Buers,D50)=1,listes!$J$1,IF(COUNTIF(Charpennes,D50)=1,listes!$K$1,IF(COUNTIF(Cusset,D50)=1,listes!$L$1,IF(COUNTIF(Cyprien,D50)=1,listes!$M$1,IF(COUNTIF(Ferrandière,D50)=1,listes!$N$1,IF(COUNTIF(Gratteciel,D50)=1,listes!$O$1,IF(COUNTIF(Saintjean,D50)=1,listes!$Q$1,IF(COUNTIF(horsvilleurbanne,D50)=1,listes!$R$1,"")))))))))</f>
        <v/>
      </c>
      <c r="M50" s="21" t="str">
        <f t="shared" si="0"/>
        <v/>
      </c>
      <c r="N50" s="21" t="str">
        <f>T_sept_dec[[#This Row],[Etablissement accueillant]]&amp;"-"&amp;T_sept_dec[[#This Row],[Enseignant référent (Nom Prénom)]]</f>
        <v>-</v>
      </c>
      <c r="O50" s="21">
        <f>1/COUNTIF(T_sept_dec[CléEtablissement],T_sept_dec[[#This Row],[CléEtablissement]])</f>
        <v>4.1841004184100415E-3</v>
      </c>
      <c r="P5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0" s="186">
        <f>1/COUNTIF(T_sept_dec[CléRéseau-Rize horsmed],T_sept_dec[[#This Row],[CléRéseau-Rize horsmed]])</f>
        <v>4.1841004184100415E-3</v>
      </c>
      <c r="R50" s="186" t="str">
        <f>IF(COUNTIF(RIZE,T_sept_dec[[#This Row],[Secteur organisateur]]),"Rize_"&amp;T_sept_dec[[#This Row],[Enseignant référent (Nom Prénom)]],"")</f>
        <v/>
      </c>
      <c r="S50" s="186">
        <f>1/COUNTIF(T_sept_dec[CléRize],T_sept_dec[[#This Row],[CléRize]])</f>
        <v>4.048582995951417E-3</v>
      </c>
      <c r="T50" s="186" t="str">
        <f>IF(COUNTIF(Total,T_sept_dec[[#This Row],[Secteur organisateur]]),"Total_"&amp;T_sept_dec[[#This Row],[Enseignant référent (Nom Prénom)]],"")</f>
        <v/>
      </c>
      <c r="U50" s="186">
        <f>1/COUNTIF(T_sept_dec[cléTotal],T_sept_dec[[#This Row],[cléTotal]])</f>
        <v>4.1841004184100415E-3</v>
      </c>
    </row>
    <row r="51" spans="3:21">
      <c r="K51" s="21" t="str">
        <f>IF(COUNTIF(Maternelle,E51)=1,listes!$T$1,IF(COUNTIF(Elémentaire,E51)=1,listes!$U$1,IF(COUNTIF(Collège,E51)=1,listes!$V$1,IF(COUNTIF(Lycée,E51)=1,listes!$W$1,""))))</f>
        <v/>
      </c>
      <c r="L51" s="21" t="str">
        <f>IF(COUNTIF(Perralière,D51)=1,listes!$P$1,IF(COUNTIF(Buers,D51)=1,listes!$J$1,IF(COUNTIF(Charpennes,D51)=1,listes!$K$1,IF(COUNTIF(Cusset,D51)=1,listes!$L$1,IF(COUNTIF(Cyprien,D51)=1,listes!$M$1,IF(COUNTIF(Ferrandière,D51)=1,listes!$N$1,IF(COUNTIF(Gratteciel,D51)=1,listes!$O$1,IF(COUNTIF(Saintjean,D51)=1,listes!$Q$1,IF(COUNTIF(horsvilleurbanne,D51)=1,listes!$R$1,"")))))))))</f>
        <v/>
      </c>
      <c r="M51" s="21" t="str">
        <f t="shared" si="0"/>
        <v/>
      </c>
      <c r="N51" s="21" t="str">
        <f>T_sept_dec[[#This Row],[Etablissement accueillant]]&amp;"-"&amp;T_sept_dec[[#This Row],[Enseignant référent (Nom Prénom)]]</f>
        <v>-</v>
      </c>
      <c r="O51" s="21">
        <f>1/COUNTIF(T_sept_dec[CléEtablissement],T_sept_dec[[#This Row],[CléEtablissement]])</f>
        <v>4.1841004184100415E-3</v>
      </c>
      <c r="P5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1" s="186">
        <f>1/COUNTIF(T_sept_dec[CléRéseau-Rize horsmed],T_sept_dec[[#This Row],[CléRéseau-Rize horsmed]])</f>
        <v>4.1841004184100415E-3</v>
      </c>
      <c r="R51" s="186" t="str">
        <f>IF(COUNTIF(RIZE,T_sept_dec[[#This Row],[Secteur organisateur]]),"Rize_"&amp;T_sept_dec[[#This Row],[Enseignant référent (Nom Prénom)]],"")</f>
        <v/>
      </c>
      <c r="S51" s="186">
        <f>1/COUNTIF(T_sept_dec[CléRize],T_sept_dec[[#This Row],[CléRize]])</f>
        <v>4.048582995951417E-3</v>
      </c>
      <c r="T51" s="186" t="str">
        <f>IF(COUNTIF(Total,T_sept_dec[[#This Row],[Secteur organisateur]]),"Total_"&amp;T_sept_dec[[#This Row],[Enseignant référent (Nom Prénom)]],"")</f>
        <v/>
      </c>
      <c r="U51" s="186">
        <f>1/COUNTIF(T_sept_dec[cléTotal],T_sept_dec[[#This Row],[cléTotal]])</f>
        <v>4.1841004184100415E-3</v>
      </c>
    </row>
    <row r="52" spans="3:21">
      <c r="K52" s="21" t="str">
        <f>IF(COUNTIF(Maternelle,E52)=1,listes!$T$1,IF(COUNTIF(Elémentaire,E52)=1,listes!$U$1,IF(COUNTIF(Collège,E52)=1,listes!$V$1,IF(COUNTIF(Lycée,E52)=1,listes!$W$1,""))))</f>
        <v/>
      </c>
      <c r="L52" s="21" t="str">
        <f>IF(COUNTIF(Perralière,D52)=1,listes!$P$1,IF(COUNTIF(Buers,D52)=1,listes!$J$1,IF(COUNTIF(Charpennes,D52)=1,listes!$K$1,IF(COUNTIF(Cusset,D52)=1,listes!$L$1,IF(COUNTIF(Cyprien,D52)=1,listes!$M$1,IF(COUNTIF(Ferrandière,D52)=1,listes!$N$1,IF(COUNTIF(Gratteciel,D52)=1,listes!$O$1,IF(COUNTIF(Saintjean,D52)=1,listes!$Q$1,IF(COUNTIF(horsvilleurbanne,D52)=1,listes!$R$1,"")))))))))</f>
        <v/>
      </c>
      <c r="M52" s="21" t="str">
        <f t="shared" si="0"/>
        <v/>
      </c>
      <c r="N52" s="21" t="str">
        <f>T_sept_dec[[#This Row],[Etablissement accueillant]]&amp;"-"&amp;T_sept_dec[[#This Row],[Enseignant référent (Nom Prénom)]]</f>
        <v>-</v>
      </c>
      <c r="O52" s="21">
        <f>1/COUNTIF(T_sept_dec[CléEtablissement],T_sept_dec[[#This Row],[CléEtablissement]])</f>
        <v>4.1841004184100415E-3</v>
      </c>
      <c r="P5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2" s="186">
        <f>1/COUNTIF(T_sept_dec[CléRéseau-Rize horsmed],T_sept_dec[[#This Row],[CléRéseau-Rize horsmed]])</f>
        <v>4.1841004184100415E-3</v>
      </c>
      <c r="R52" s="186" t="str">
        <f>IF(COUNTIF(RIZE,T_sept_dec[[#This Row],[Secteur organisateur]]),"Rize_"&amp;T_sept_dec[[#This Row],[Enseignant référent (Nom Prénom)]],"")</f>
        <v/>
      </c>
      <c r="S52" s="186">
        <f>1/COUNTIF(T_sept_dec[CléRize],T_sept_dec[[#This Row],[CléRize]])</f>
        <v>4.048582995951417E-3</v>
      </c>
      <c r="T52" s="186" t="str">
        <f>IF(COUNTIF(Total,T_sept_dec[[#This Row],[Secteur organisateur]]),"Total_"&amp;T_sept_dec[[#This Row],[Enseignant référent (Nom Prénom)]],"")</f>
        <v/>
      </c>
      <c r="U52" s="186">
        <f>1/COUNTIF(T_sept_dec[cléTotal],T_sept_dec[[#This Row],[cléTotal]])</f>
        <v>4.1841004184100415E-3</v>
      </c>
    </row>
    <row r="53" spans="3:21">
      <c r="K53" s="21" t="str">
        <f>IF(COUNTIF(Maternelle,E53)=1,listes!$T$1,IF(COUNTIF(Elémentaire,E53)=1,listes!$U$1,IF(COUNTIF(Collège,E53)=1,listes!$V$1,IF(COUNTIF(Lycée,E53)=1,listes!$W$1,""))))</f>
        <v/>
      </c>
      <c r="L53" s="21" t="str">
        <f>IF(COUNTIF(Perralière,D53)=1,listes!$P$1,IF(COUNTIF(Buers,D53)=1,listes!$J$1,IF(COUNTIF(Charpennes,D53)=1,listes!$K$1,IF(COUNTIF(Cusset,D53)=1,listes!$L$1,IF(COUNTIF(Cyprien,D53)=1,listes!$M$1,IF(COUNTIF(Ferrandière,D53)=1,listes!$N$1,IF(COUNTIF(Gratteciel,D53)=1,listes!$O$1,IF(COUNTIF(Saintjean,D53)=1,listes!$Q$1,IF(COUNTIF(horsvilleurbanne,D53)=1,listes!$R$1,"")))))))))</f>
        <v/>
      </c>
      <c r="M53" s="21" t="str">
        <f t="shared" si="0"/>
        <v/>
      </c>
      <c r="N53" s="21" t="str">
        <f>T_sept_dec[[#This Row],[Etablissement accueillant]]&amp;"-"&amp;T_sept_dec[[#This Row],[Enseignant référent (Nom Prénom)]]</f>
        <v>-</v>
      </c>
      <c r="O53" s="21">
        <f>1/COUNTIF(T_sept_dec[CléEtablissement],T_sept_dec[[#This Row],[CléEtablissement]])</f>
        <v>4.1841004184100415E-3</v>
      </c>
      <c r="P5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3" s="186">
        <f>1/COUNTIF(T_sept_dec[CléRéseau-Rize horsmed],T_sept_dec[[#This Row],[CléRéseau-Rize horsmed]])</f>
        <v>4.1841004184100415E-3</v>
      </c>
      <c r="R53" s="186" t="str">
        <f>IF(COUNTIF(RIZE,T_sept_dec[[#This Row],[Secteur organisateur]]),"Rize_"&amp;T_sept_dec[[#This Row],[Enseignant référent (Nom Prénom)]],"")</f>
        <v/>
      </c>
      <c r="S53" s="186">
        <f>1/COUNTIF(T_sept_dec[CléRize],T_sept_dec[[#This Row],[CléRize]])</f>
        <v>4.048582995951417E-3</v>
      </c>
      <c r="T53" s="186" t="str">
        <f>IF(COUNTIF(Total,T_sept_dec[[#This Row],[Secteur organisateur]]),"Total_"&amp;T_sept_dec[[#This Row],[Enseignant référent (Nom Prénom)]],"")</f>
        <v/>
      </c>
      <c r="U53" s="186">
        <f>1/COUNTIF(T_sept_dec[cléTotal],T_sept_dec[[#This Row],[cléTotal]])</f>
        <v>4.1841004184100415E-3</v>
      </c>
    </row>
    <row r="54" spans="3:21">
      <c r="K54" s="21" t="str">
        <f>IF(COUNTIF(Maternelle,E54)=1,listes!$T$1,IF(COUNTIF(Elémentaire,E54)=1,listes!$U$1,IF(COUNTIF(Collège,E54)=1,listes!$V$1,IF(COUNTIF(Lycée,E54)=1,listes!$W$1,""))))</f>
        <v/>
      </c>
      <c r="L54" s="21" t="str">
        <f>IF(COUNTIF(Perralière,D54)=1,listes!$P$1,IF(COUNTIF(Buers,D54)=1,listes!$J$1,IF(COUNTIF(Charpennes,D54)=1,listes!$K$1,IF(COUNTIF(Cusset,D54)=1,listes!$L$1,IF(COUNTIF(Cyprien,D54)=1,listes!$M$1,IF(COUNTIF(Ferrandière,D54)=1,listes!$N$1,IF(COUNTIF(Gratteciel,D54)=1,listes!$O$1,IF(COUNTIF(Saintjean,D54)=1,listes!$Q$1,IF(COUNTIF(horsvilleurbanne,D54)=1,listes!$R$1,"")))))))))</f>
        <v/>
      </c>
      <c r="M54" s="21" t="str">
        <f t="shared" si="0"/>
        <v/>
      </c>
      <c r="N54" s="21" t="str">
        <f>T_sept_dec[[#This Row],[Etablissement accueillant]]&amp;"-"&amp;T_sept_dec[[#This Row],[Enseignant référent (Nom Prénom)]]</f>
        <v>-</v>
      </c>
      <c r="O54" s="21">
        <f>1/COUNTIF(T_sept_dec[CléEtablissement],T_sept_dec[[#This Row],[CléEtablissement]])</f>
        <v>4.1841004184100415E-3</v>
      </c>
      <c r="P5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4" s="186">
        <f>1/COUNTIF(T_sept_dec[CléRéseau-Rize horsmed],T_sept_dec[[#This Row],[CléRéseau-Rize horsmed]])</f>
        <v>4.1841004184100415E-3</v>
      </c>
      <c r="R54" s="186" t="str">
        <f>IF(COUNTIF(RIZE,T_sept_dec[[#This Row],[Secteur organisateur]]),"Rize_"&amp;T_sept_dec[[#This Row],[Enseignant référent (Nom Prénom)]],"")</f>
        <v/>
      </c>
      <c r="S54" s="186">
        <f>1/COUNTIF(T_sept_dec[CléRize],T_sept_dec[[#This Row],[CléRize]])</f>
        <v>4.048582995951417E-3</v>
      </c>
      <c r="T54" s="186" t="str">
        <f>IF(COUNTIF(Total,T_sept_dec[[#This Row],[Secteur organisateur]]),"Total_"&amp;T_sept_dec[[#This Row],[Enseignant référent (Nom Prénom)]],"")</f>
        <v/>
      </c>
      <c r="U54" s="186">
        <f>1/COUNTIF(T_sept_dec[cléTotal],T_sept_dec[[#This Row],[cléTotal]])</f>
        <v>4.1841004184100415E-3</v>
      </c>
    </row>
    <row r="55" spans="3:21">
      <c r="K55" s="21" t="str">
        <f>IF(COUNTIF(Maternelle,E55)=1,listes!$T$1,IF(COUNTIF(Elémentaire,E55)=1,listes!$U$1,IF(COUNTIF(Collège,E55)=1,listes!$V$1,IF(COUNTIF(Lycée,E55)=1,listes!$W$1,""))))</f>
        <v/>
      </c>
      <c r="L55" s="21" t="str">
        <f>IF(COUNTIF(Perralière,D55)=1,listes!$P$1,IF(COUNTIF(Buers,D55)=1,listes!$J$1,IF(COUNTIF(Charpennes,D55)=1,listes!$K$1,IF(COUNTIF(Cusset,D55)=1,listes!$L$1,IF(COUNTIF(Cyprien,D55)=1,listes!$M$1,IF(COUNTIF(Ferrandière,D55)=1,listes!$N$1,IF(COUNTIF(Gratteciel,D55)=1,listes!$O$1,IF(COUNTIF(Saintjean,D55)=1,listes!$Q$1,IF(COUNTIF(horsvilleurbanne,D55)=1,listes!$R$1,"")))))))))</f>
        <v/>
      </c>
      <c r="M55" s="21" t="str">
        <f t="shared" si="0"/>
        <v/>
      </c>
      <c r="N55" s="21" t="str">
        <f>T_sept_dec[[#This Row],[Etablissement accueillant]]&amp;"-"&amp;T_sept_dec[[#This Row],[Enseignant référent (Nom Prénom)]]</f>
        <v>-</v>
      </c>
      <c r="O55" s="21">
        <f>1/COUNTIF(T_sept_dec[CléEtablissement],T_sept_dec[[#This Row],[CléEtablissement]])</f>
        <v>4.1841004184100415E-3</v>
      </c>
      <c r="P5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5" s="186">
        <f>1/COUNTIF(T_sept_dec[CléRéseau-Rize horsmed],T_sept_dec[[#This Row],[CléRéseau-Rize horsmed]])</f>
        <v>4.1841004184100415E-3</v>
      </c>
      <c r="R55" s="186" t="str">
        <f>IF(COUNTIF(RIZE,T_sept_dec[[#This Row],[Secteur organisateur]]),"Rize_"&amp;T_sept_dec[[#This Row],[Enseignant référent (Nom Prénom)]],"")</f>
        <v/>
      </c>
      <c r="S55" s="186">
        <f>1/COUNTIF(T_sept_dec[CléRize],T_sept_dec[[#This Row],[CléRize]])</f>
        <v>4.048582995951417E-3</v>
      </c>
      <c r="T55" s="186" t="str">
        <f>IF(COUNTIF(Total,T_sept_dec[[#This Row],[Secteur organisateur]]),"Total_"&amp;T_sept_dec[[#This Row],[Enseignant référent (Nom Prénom)]],"")</f>
        <v/>
      </c>
      <c r="U55" s="186">
        <f>1/COUNTIF(T_sept_dec[cléTotal],T_sept_dec[[#This Row],[cléTotal]])</f>
        <v>4.1841004184100415E-3</v>
      </c>
    </row>
    <row r="56" spans="3:21">
      <c r="K56" s="21" t="str">
        <f>IF(COUNTIF(Maternelle,E56)=1,listes!$T$1,IF(COUNTIF(Elémentaire,E56)=1,listes!$U$1,IF(COUNTIF(Collège,E56)=1,listes!$V$1,IF(COUNTIF(Lycée,E56)=1,listes!$W$1,""))))</f>
        <v/>
      </c>
      <c r="L56" s="21" t="str">
        <f>IF(COUNTIF(Perralière,D56)=1,listes!$P$1,IF(COUNTIF(Buers,D56)=1,listes!$J$1,IF(COUNTIF(Charpennes,D56)=1,listes!$K$1,IF(COUNTIF(Cusset,D56)=1,listes!$L$1,IF(COUNTIF(Cyprien,D56)=1,listes!$M$1,IF(COUNTIF(Ferrandière,D56)=1,listes!$N$1,IF(COUNTIF(Gratteciel,D56)=1,listes!$O$1,IF(COUNTIF(Saintjean,D56)=1,listes!$Q$1,IF(COUNTIF(horsvilleurbanne,D56)=1,listes!$R$1,"")))))))))</f>
        <v/>
      </c>
      <c r="M56" s="21" t="str">
        <f t="shared" si="0"/>
        <v/>
      </c>
      <c r="N56" s="21" t="str">
        <f>T_sept_dec[[#This Row],[Etablissement accueillant]]&amp;"-"&amp;T_sept_dec[[#This Row],[Enseignant référent (Nom Prénom)]]</f>
        <v>-</v>
      </c>
      <c r="O56" s="21">
        <f>1/COUNTIF(T_sept_dec[CléEtablissement],T_sept_dec[[#This Row],[CléEtablissement]])</f>
        <v>4.1841004184100415E-3</v>
      </c>
      <c r="P5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6" s="186">
        <f>1/COUNTIF(T_sept_dec[CléRéseau-Rize horsmed],T_sept_dec[[#This Row],[CléRéseau-Rize horsmed]])</f>
        <v>4.1841004184100415E-3</v>
      </c>
      <c r="R56" s="186" t="str">
        <f>IF(COUNTIF(RIZE,T_sept_dec[[#This Row],[Secteur organisateur]]),"Rize_"&amp;T_sept_dec[[#This Row],[Enseignant référent (Nom Prénom)]],"")</f>
        <v/>
      </c>
      <c r="S56" s="186">
        <f>1/COUNTIF(T_sept_dec[CléRize],T_sept_dec[[#This Row],[CléRize]])</f>
        <v>4.048582995951417E-3</v>
      </c>
      <c r="T56" s="186" t="str">
        <f>IF(COUNTIF(Total,T_sept_dec[[#This Row],[Secteur organisateur]]),"Total_"&amp;T_sept_dec[[#This Row],[Enseignant référent (Nom Prénom)]],"")</f>
        <v/>
      </c>
      <c r="U56" s="186">
        <f>1/COUNTIF(T_sept_dec[cléTotal],T_sept_dec[[#This Row],[cléTotal]])</f>
        <v>4.1841004184100415E-3</v>
      </c>
    </row>
    <row r="57" spans="3:21">
      <c r="K57" s="21" t="str">
        <f>IF(COUNTIF(Maternelle,E57)=1,listes!$T$1,IF(COUNTIF(Elémentaire,E57)=1,listes!$U$1,IF(COUNTIF(Collège,E57)=1,listes!$V$1,IF(COUNTIF(Lycée,E57)=1,listes!$W$1,""))))</f>
        <v/>
      </c>
      <c r="L57" s="21" t="str">
        <f>IF(COUNTIF(Perralière,D57)=1,listes!$P$1,IF(COUNTIF(Buers,D57)=1,listes!$J$1,IF(COUNTIF(Charpennes,D57)=1,listes!$K$1,IF(COUNTIF(Cusset,D57)=1,listes!$L$1,IF(COUNTIF(Cyprien,D57)=1,listes!$M$1,IF(COUNTIF(Ferrandière,D57)=1,listes!$N$1,IF(COUNTIF(Gratteciel,D57)=1,listes!$O$1,IF(COUNTIF(Saintjean,D57)=1,listes!$Q$1,IF(COUNTIF(horsvilleurbanne,D57)=1,listes!$R$1,"")))))))))</f>
        <v/>
      </c>
      <c r="M57" s="21" t="str">
        <f t="shared" si="0"/>
        <v/>
      </c>
      <c r="N57" s="21" t="str">
        <f>T_sept_dec[[#This Row],[Etablissement accueillant]]&amp;"-"&amp;T_sept_dec[[#This Row],[Enseignant référent (Nom Prénom)]]</f>
        <v>-</v>
      </c>
      <c r="O57" s="21">
        <f>1/COUNTIF(T_sept_dec[CléEtablissement],T_sept_dec[[#This Row],[CléEtablissement]])</f>
        <v>4.1841004184100415E-3</v>
      </c>
      <c r="P5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7" s="186">
        <f>1/COUNTIF(T_sept_dec[CléRéseau-Rize horsmed],T_sept_dec[[#This Row],[CléRéseau-Rize horsmed]])</f>
        <v>4.1841004184100415E-3</v>
      </c>
      <c r="R57" s="186" t="str">
        <f>IF(COUNTIF(RIZE,T_sept_dec[[#This Row],[Secteur organisateur]]),"Rize_"&amp;T_sept_dec[[#This Row],[Enseignant référent (Nom Prénom)]],"")</f>
        <v/>
      </c>
      <c r="S57" s="186">
        <f>1/COUNTIF(T_sept_dec[CléRize],T_sept_dec[[#This Row],[CléRize]])</f>
        <v>4.048582995951417E-3</v>
      </c>
      <c r="T57" s="186" t="str">
        <f>IF(COUNTIF(Total,T_sept_dec[[#This Row],[Secteur organisateur]]),"Total_"&amp;T_sept_dec[[#This Row],[Enseignant référent (Nom Prénom)]],"")</f>
        <v/>
      </c>
      <c r="U57" s="186">
        <f>1/COUNTIF(T_sept_dec[cléTotal],T_sept_dec[[#This Row],[cléTotal]])</f>
        <v>4.1841004184100415E-3</v>
      </c>
    </row>
    <row r="58" spans="3:21">
      <c r="K58" s="21" t="str">
        <f>IF(COUNTIF(Maternelle,E58)=1,listes!$T$1,IF(COUNTIF(Elémentaire,E58)=1,listes!$U$1,IF(COUNTIF(Collège,E58)=1,listes!$V$1,IF(COUNTIF(Lycée,E58)=1,listes!$W$1,""))))</f>
        <v/>
      </c>
      <c r="L58" s="21" t="str">
        <f>IF(COUNTIF(Perralière,D58)=1,listes!$P$1,IF(COUNTIF(Buers,D58)=1,listes!$J$1,IF(COUNTIF(Charpennes,D58)=1,listes!$K$1,IF(COUNTIF(Cusset,D58)=1,listes!$L$1,IF(COUNTIF(Cyprien,D58)=1,listes!$M$1,IF(COUNTIF(Ferrandière,D58)=1,listes!$N$1,IF(COUNTIF(Gratteciel,D58)=1,listes!$O$1,IF(COUNTIF(Saintjean,D58)=1,listes!$Q$1,IF(COUNTIF(horsvilleurbanne,D58)=1,listes!$R$1,"")))))))))</f>
        <v/>
      </c>
      <c r="M58" s="21" t="str">
        <f t="shared" si="0"/>
        <v/>
      </c>
      <c r="N58" s="21" t="str">
        <f>T_sept_dec[[#This Row],[Etablissement accueillant]]&amp;"-"&amp;T_sept_dec[[#This Row],[Enseignant référent (Nom Prénom)]]</f>
        <v>-</v>
      </c>
      <c r="O58" s="21">
        <f>1/COUNTIF(T_sept_dec[CléEtablissement],T_sept_dec[[#This Row],[CléEtablissement]])</f>
        <v>4.1841004184100415E-3</v>
      </c>
      <c r="P5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8" s="186">
        <f>1/COUNTIF(T_sept_dec[CléRéseau-Rize horsmed],T_sept_dec[[#This Row],[CléRéseau-Rize horsmed]])</f>
        <v>4.1841004184100415E-3</v>
      </c>
      <c r="R58" s="186" t="str">
        <f>IF(COUNTIF(RIZE,T_sept_dec[[#This Row],[Secteur organisateur]]),"Rize_"&amp;T_sept_dec[[#This Row],[Enseignant référent (Nom Prénom)]],"")</f>
        <v/>
      </c>
      <c r="S58" s="186">
        <f>1/COUNTIF(T_sept_dec[CléRize],T_sept_dec[[#This Row],[CléRize]])</f>
        <v>4.048582995951417E-3</v>
      </c>
      <c r="T58" s="186" t="str">
        <f>IF(COUNTIF(Total,T_sept_dec[[#This Row],[Secteur organisateur]]),"Total_"&amp;T_sept_dec[[#This Row],[Enseignant référent (Nom Prénom)]],"")</f>
        <v/>
      </c>
      <c r="U58" s="186">
        <f>1/COUNTIF(T_sept_dec[cléTotal],T_sept_dec[[#This Row],[cléTotal]])</f>
        <v>4.1841004184100415E-3</v>
      </c>
    </row>
    <row r="59" spans="3:21">
      <c r="C59" s="153"/>
      <c r="K59" s="21" t="str">
        <f>IF(COUNTIF(Maternelle,E59)=1,listes!$T$1,IF(COUNTIF(Elémentaire,E59)=1,listes!$U$1,IF(COUNTIF(Collège,E59)=1,listes!$V$1,IF(COUNTIF(Lycée,E59)=1,listes!$W$1,""))))</f>
        <v/>
      </c>
      <c r="L59" s="21" t="str">
        <f>IF(COUNTIF(Perralière,D59)=1,listes!$P$1,IF(COUNTIF(Buers,D59)=1,listes!$J$1,IF(COUNTIF(Charpennes,D59)=1,listes!$K$1,IF(COUNTIF(Cusset,D59)=1,listes!$L$1,IF(COUNTIF(Cyprien,D59)=1,listes!$M$1,IF(COUNTIF(Ferrandière,D59)=1,listes!$N$1,IF(COUNTIF(Gratteciel,D59)=1,listes!$O$1,IF(COUNTIF(Saintjean,D59)=1,listes!$Q$1,IF(COUNTIF(horsvilleurbanne,D59)=1,listes!$R$1,"")))))))))</f>
        <v/>
      </c>
      <c r="M59" s="21" t="str">
        <f t="shared" si="0"/>
        <v/>
      </c>
      <c r="N59" s="21" t="str">
        <f>T_sept_dec[[#This Row],[Etablissement accueillant]]&amp;"-"&amp;T_sept_dec[[#This Row],[Enseignant référent (Nom Prénom)]]</f>
        <v>-</v>
      </c>
      <c r="O59" s="21">
        <f>1/COUNTIF(T_sept_dec[CléEtablissement],T_sept_dec[[#This Row],[CléEtablissement]])</f>
        <v>4.1841004184100415E-3</v>
      </c>
      <c r="P5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59" s="186">
        <f>1/COUNTIF(T_sept_dec[CléRéseau-Rize horsmed],T_sept_dec[[#This Row],[CléRéseau-Rize horsmed]])</f>
        <v>4.1841004184100415E-3</v>
      </c>
      <c r="R59" s="186" t="str">
        <f>IF(COUNTIF(RIZE,T_sept_dec[[#This Row],[Secteur organisateur]]),"Rize_"&amp;T_sept_dec[[#This Row],[Enseignant référent (Nom Prénom)]],"")</f>
        <v/>
      </c>
      <c r="S59" s="186">
        <f>1/COUNTIF(T_sept_dec[CléRize],T_sept_dec[[#This Row],[CléRize]])</f>
        <v>4.048582995951417E-3</v>
      </c>
      <c r="T59" s="186" t="str">
        <f>IF(COUNTIF(Total,T_sept_dec[[#This Row],[Secteur organisateur]]),"Total_"&amp;T_sept_dec[[#This Row],[Enseignant référent (Nom Prénom)]],"")</f>
        <v/>
      </c>
      <c r="U59" s="186">
        <f>1/COUNTIF(T_sept_dec[cléTotal],T_sept_dec[[#This Row],[cléTotal]])</f>
        <v>4.1841004184100415E-3</v>
      </c>
    </row>
    <row r="60" spans="3:21">
      <c r="K60" s="21" t="str">
        <f>IF(COUNTIF(Maternelle,E60)=1,listes!$T$1,IF(COUNTIF(Elémentaire,E60)=1,listes!$U$1,IF(COUNTIF(Collège,E60)=1,listes!$V$1,IF(COUNTIF(Lycée,E60)=1,listes!$W$1,""))))</f>
        <v/>
      </c>
      <c r="L60" s="21" t="str">
        <f>IF(COUNTIF(Perralière,D60)=1,listes!$P$1,IF(COUNTIF(Buers,D60)=1,listes!$J$1,IF(COUNTIF(Charpennes,D60)=1,listes!$K$1,IF(COUNTIF(Cusset,D60)=1,listes!$L$1,IF(COUNTIF(Cyprien,D60)=1,listes!$M$1,IF(COUNTIF(Ferrandière,D60)=1,listes!$N$1,IF(COUNTIF(Gratteciel,D60)=1,listes!$O$1,IF(COUNTIF(Saintjean,D60)=1,listes!$Q$1,IF(COUNTIF(horsvilleurbanne,D60)=1,listes!$R$1,"")))))))))</f>
        <v/>
      </c>
      <c r="M60" s="21" t="str">
        <f t="shared" si="0"/>
        <v/>
      </c>
      <c r="N60" s="21" t="str">
        <f>T_sept_dec[[#This Row],[Etablissement accueillant]]&amp;"-"&amp;T_sept_dec[[#This Row],[Enseignant référent (Nom Prénom)]]</f>
        <v>-</v>
      </c>
      <c r="O60" s="21">
        <f>1/COUNTIF(T_sept_dec[CléEtablissement],T_sept_dec[[#This Row],[CléEtablissement]])</f>
        <v>4.1841004184100415E-3</v>
      </c>
      <c r="P6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0" s="186">
        <f>1/COUNTIF(T_sept_dec[CléRéseau-Rize horsmed],T_sept_dec[[#This Row],[CléRéseau-Rize horsmed]])</f>
        <v>4.1841004184100415E-3</v>
      </c>
      <c r="R60" s="186" t="str">
        <f>IF(COUNTIF(RIZE,T_sept_dec[[#This Row],[Secteur organisateur]]),"Rize_"&amp;T_sept_dec[[#This Row],[Enseignant référent (Nom Prénom)]],"")</f>
        <v/>
      </c>
      <c r="S60" s="186">
        <f>1/COUNTIF(T_sept_dec[CléRize],T_sept_dec[[#This Row],[CléRize]])</f>
        <v>4.048582995951417E-3</v>
      </c>
      <c r="T60" s="186" t="str">
        <f>IF(COUNTIF(Total,T_sept_dec[[#This Row],[Secteur organisateur]]),"Total_"&amp;T_sept_dec[[#This Row],[Enseignant référent (Nom Prénom)]],"")</f>
        <v/>
      </c>
      <c r="U60" s="186">
        <f>1/COUNTIF(T_sept_dec[cléTotal],T_sept_dec[[#This Row],[cléTotal]])</f>
        <v>4.1841004184100415E-3</v>
      </c>
    </row>
    <row r="61" spans="3:21">
      <c r="K61" s="21" t="str">
        <f>IF(COUNTIF(Maternelle,E61)=1,listes!$T$1,IF(COUNTIF(Elémentaire,E61)=1,listes!$U$1,IF(COUNTIF(Collège,E61)=1,listes!$V$1,IF(COUNTIF(Lycée,E61)=1,listes!$W$1,""))))</f>
        <v/>
      </c>
      <c r="L61" s="21" t="str">
        <f>IF(COUNTIF(Perralière,D61)=1,listes!$P$1,IF(COUNTIF(Buers,D61)=1,listes!$J$1,IF(COUNTIF(Charpennes,D61)=1,listes!$K$1,IF(COUNTIF(Cusset,D61)=1,listes!$L$1,IF(COUNTIF(Cyprien,D61)=1,listes!$M$1,IF(COUNTIF(Ferrandière,D61)=1,listes!$N$1,IF(COUNTIF(Gratteciel,D61)=1,listes!$O$1,IF(COUNTIF(Saintjean,D61)=1,listes!$Q$1,IF(COUNTIF(horsvilleurbanne,D61)=1,listes!$R$1,"")))))))))</f>
        <v/>
      </c>
      <c r="M61" s="21" t="str">
        <f t="shared" si="0"/>
        <v/>
      </c>
      <c r="N61" s="21" t="str">
        <f>T_sept_dec[[#This Row],[Etablissement accueillant]]&amp;"-"&amp;T_sept_dec[[#This Row],[Enseignant référent (Nom Prénom)]]</f>
        <v>-</v>
      </c>
      <c r="O61" s="21">
        <f>1/COUNTIF(T_sept_dec[CléEtablissement],T_sept_dec[[#This Row],[CléEtablissement]])</f>
        <v>4.1841004184100415E-3</v>
      </c>
      <c r="P6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1" s="186">
        <f>1/COUNTIF(T_sept_dec[CléRéseau-Rize horsmed],T_sept_dec[[#This Row],[CléRéseau-Rize horsmed]])</f>
        <v>4.1841004184100415E-3</v>
      </c>
      <c r="R61" s="186" t="str">
        <f>IF(COUNTIF(RIZE,T_sept_dec[[#This Row],[Secteur organisateur]]),"Rize_"&amp;T_sept_dec[[#This Row],[Enseignant référent (Nom Prénom)]],"")</f>
        <v/>
      </c>
      <c r="S61" s="186">
        <f>1/COUNTIF(T_sept_dec[CléRize],T_sept_dec[[#This Row],[CléRize]])</f>
        <v>4.048582995951417E-3</v>
      </c>
      <c r="T61" s="186" t="str">
        <f>IF(COUNTIF(Total,T_sept_dec[[#This Row],[Secteur organisateur]]),"Total_"&amp;T_sept_dec[[#This Row],[Enseignant référent (Nom Prénom)]],"")</f>
        <v/>
      </c>
      <c r="U61" s="186">
        <f>1/COUNTIF(T_sept_dec[cléTotal],T_sept_dec[[#This Row],[cléTotal]])</f>
        <v>4.1841004184100415E-3</v>
      </c>
    </row>
    <row r="62" spans="3:21">
      <c r="K62" s="21" t="str">
        <f>IF(COUNTIF(Maternelle,E62)=1,listes!$T$1,IF(COUNTIF(Elémentaire,E62)=1,listes!$U$1,IF(COUNTIF(Collège,E62)=1,listes!$V$1,IF(COUNTIF(Lycée,E62)=1,listes!$W$1,""))))</f>
        <v/>
      </c>
      <c r="L62" s="21" t="str">
        <f>IF(COUNTIF(Perralière,D62)=1,listes!$P$1,IF(COUNTIF(Buers,D62)=1,listes!$J$1,IF(COUNTIF(Charpennes,D62)=1,listes!$K$1,IF(COUNTIF(Cusset,D62)=1,listes!$L$1,IF(COUNTIF(Cyprien,D62)=1,listes!$M$1,IF(COUNTIF(Ferrandière,D62)=1,listes!$N$1,IF(COUNTIF(Gratteciel,D62)=1,listes!$O$1,IF(COUNTIF(Saintjean,D62)=1,listes!$Q$1,IF(COUNTIF(horsvilleurbanne,D62)=1,listes!$R$1,"")))))))))</f>
        <v/>
      </c>
      <c r="M62" s="21" t="str">
        <f t="shared" si="0"/>
        <v/>
      </c>
      <c r="N62" s="21" t="str">
        <f>T_sept_dec[[#This Row],[Etablissement accueillant]]&amp;"-"&amp;T_sept_dec[[#This Row],[Enseignant référent (Nom Prénom)]]</f>
        <v>-</v>
      </c>
      <c r="O62" s="21">
        <f>1/COUNTIF(T_sept_dec[CléEtablissement],T_sept_dec[[#This Row],[CléEtablissement]])</f>
        <v>4.1841004184100415E-3</v>
      </c>
      <c r="P6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2" s="186">
        <f>1/COUNTIF(T_sept_dec[CléRéseau-Rize horsmed],T_sept_dec[[#This Row],[CléRéseau-Rize horsmed]])</f>
        <v>4.1841004184100415E-3</v>
      </c>
      <c r="R62" s="186" t="str">
        <f>IF(COUNTIF(RIZE,T_sept_dec[[#This Row],[Secteur organisateur]]),"Rize_"&amp;T_sept_dec[[#This Row],[Enseignant référent (Nom Prénom)]],"")</f>
        <v/>
      </c>
      <c r="S62" s="186">
        <f>1/COUNTIF(T_sept_dec[CléRize],T_sept_dec[[#This Row],[CléRize]])</f>
        <v>4.048582995951417E-3</v>
      </c>
      <c r="T62" s="186" t="str">
        <f>IF(COUNTIF(Total,T_sept_dec[[#This Row],[Secteur organisateur]]),"Total_"&amp;T_sept_dec[[#This Row],[Enseignant référent (Nom Prénom)]],"")</f>
        <v/>
      </c>
      <c r="U62" s="186">
        <f>1/COUNTIF(T_sept_dec[cléTotal],T_sept_dec[[#This Row],[cléTotal]])</f>
        <v>4.1841004184100415E-3</v>
      </c>
    </row>
    <row r="63" spans="3:21">
      <c r="K63" s="21" t="str">
        <f>IF(COUNTIF(Maternelle,E63)=1,listes!$T$1,IF(COUNTIF(Elémentaire,E63)=1,listes!$U$1,IF(COUNTIF(Collège,E63)=1,listes!$V$1,IF(COUNTIF(Lycée,E63)=1,listes!$W$1,""))))</f>
        <v/>
      </c>
      <c r="L63" s="21" t="str">
        <f>IF(COUNTIF(Perralière,D63)=1,listes!$P$1,IF(COUNTIF(Buers,D63)=1,listes!$J$1,IF(COUNTIF(Charpennes,D63)=1,listes!$K$1,IF(COUNTIF(Cusset,D63)=1,listes!$L$1,IF(COUNTIF(Cyprien,D63)=1,listes!$M$1,IF(COUNTIF(Ferrandière,D63)=1,listes!$N$1,IF(COUNTIF(Gratteciel,D63)=1,listes!$O$1,IF(COUNTIF(Saintjean,D63)=1,listes!$Q$1,IF(COUNTIF(horsvilleurbanne,D63)=1,listes!$R$1,"")))))))))</f>
        <v/>
      </c>
      <c r="M63" s="21" t="str">
        <f t="shared" si="0"/>
        <v/>
      </c>
      <c r="N63" s="21" t="str">
        <f>T_sept_dec[[#This Row],[Etablissement accueillant]]&amp;"-"&amp;T_sept_dec[[#This Row],[Enseignant référent (Nom Prénom)]]</f>
        <v>-</v>
      </c>
      <c r="O63" s="21">
        <f>1/COUNTIF(T_sept_dec[CléEtablissement],T_sept_dec[[#This Row],[CléEtablissement]])</f>
        <v>4.1841004184100415E-3</v>
      </c>
      <c r="P6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3" s="186">
        <f>1/COUNTIF(T_sept_dec[CléRéseau-Rize horsmed],T_sept_dec[[#This Row],[CléRéseau-Rize horsmed]])</f>
        <v>4.1841004184100415E-3</v>
      </c>
      <c r="R63" s="186" t="str">
        <f>IF(COUNTIF(RIZE,T_sept_dec[[#This Row],[Secteur organisateur]]),"Rize_"&amp;T_sept_dec[[#This Row],[Enseignant référent (Nom Prénom)]],"")</f>
        <v/>
      </c>
      <c r="S63" s="186">
        <f>1/COUNTIF(T_sept_dec[CléRize],T_sept_dec[[#This Row],[CléRize]])</f>
        <v>4.048582995951417E-3</v>
      </c>
      <c r="T63" s="186" t="str">
        <f>IF(COUNTIF(Total,T_sept_dec[[#This Row],[Secteur organisateur]]),"Total_"&amp;T_sept_dec[[#This Row],[Enseignant référent (Nom Prénom)]],"")</f>
        <v/>
      </c>
      <c r="U63" s="186">
        <f>1/COUNTIF(T_sept_dec[cléTotal],T_sept_dec[[#This Row],[cléTotal]])</f>
        <v>4.1841004184100415E-3</v>
      </c>
    </row>
    <row r="64" spans="3:21">
      <c r="K64" s="21" t="str">
        <f>IF(COUNTIF(Maternelle,E64)=1,listes!$T$1,IF(COUNTIF(Elémentaire,E64)=1,listes!$U$1,IF(COUNTIF(Collège,E64)=1,listes!$V$1,IF(COUNTIF(Lycée,E64)=1,listes!$W$1,""))))</f>
        <v/>
      </c>
      <c r="L64" s="21" t="str">
        <f>IF(COUNTIF(Perralière,D64)=1,listes!$P$1,IF(COUNTIF(Buers,D64)=1,listes!$J$1,IF(COUNTIF(Charpennes,D64)=1,listes!$K$1,IF(COUNTIF(Cusset,D64)=1,listes!$L$1,IF(COUNTIF(Cyprien,D64)=1,listes!$M$1,IF(COUNTIF(Ferrandière,D64)=1,listes!$N$1,IF(COUNTIF(Gratteciel,D64)=1,listes!$O$1,IF(COUNTIF(Saintjean,D64)=1,listes!$Q$1,IF(COUNTIF(horsvilleurbanne,D64)=1,listes!$R$1,"")))))))))</f>
        <v/>
      </c>
      <c r="M64" s="21" t="str">
        <f t="shared" si="0"/>
        <v/>
      </c>
      <c r="N64" s="21" t="str">
        <f>T_sept_dec[[#This Row],[Etablissement accueillant]]&amp;"-"&amp;T_sept_dec[[#This Row],[Enseignant référent (Nom Prénom)]]</f>
        <v>-</v>
      </c>
      <c r="O64" s="21">
        <f>1/COUNTIF(T_sept_dec[CléEtablissement],T_sept_dec[[#This Row],[CléEtablissement]])</f>
        <v>4.1841004184100415E-3</v>
      </c>
      <c r="P6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4" s="186">
        <f>1/COUNTIF(T_sept_dec[CléRéseau-Rize horsmed],T_sept_dec[[#This Row],[CléRéseau-Rize horsmed]])</f>
        <v>4.1841004184100415E-3</v>
      </c>
      <c r="R64" s="186" t="str">
        <f>IF(COUNTIF(RIZE,T_sept_dec[[#This Row],[Secteur organisateur]]),"Rize_"&amp;T_sept_dec[[#This Row],[Enseignant référent (Nom Prénom)]],"")</f>
        <v/>
      </c>
      <c r="S64" s="186">
        <f>1/COUNTIF(T_sept_dec[CléRize],T_sept_dec[[#This Row],[CléRize]])</f>
        <v>4.048582995951417E-3</v>
      </c>
      <c r="T64" s="186" t="str">
        <f>IF(COUNTIF(Total,T_sept_dec[[#This Row],[Secteur organisateur]]),"Total_"&amp;T_sept_dec[[#This Row],[Enseignant référent (Nom Prénom)]],"")</f>
        <v/>
      </c>
      <c r="U64" s="186">
        <f>1/COUNTIF(T_sept_dec[cléTotal],T_sept_dec[[#This Row],[cléTotal]])</f>
        <v>4.1841004184100415E-3</v>
      </c>
    </row>
    <row r="65" spans="11:21">
      <c r="K65" s="21" t="str">
        <f>IF(COUNTIF(Maternelle,E65)=1,listes!$T$1,IF(COUNTIF(Elémentaire,E65)=1,listes!$U$1,IF(COUNTIF(Collège,E65)=1,listes!$V$1,IF(COUNTIF(Lycée,E65)=1,listes!$W$1,""))))</f>
        <v/>
      </c>
      <c r="L65" s="21" t="str">
        <f>IF(COUNTIF(Perralière,D65)=1,listes!$P$1,IF(COUNTIF(Buers,D65)=1,listes!$J$1,IF(COUNTIF(Charpennes,D65)=1,listes!$K$1,IF(COUNTIF(Cusset,D65)=1,listes!$L$1,IF(COUNTIF(Cyprien,D65)=1,listes!$M$1,IF(COUNTIF(Ferrandière,D65)=1,listes!$N$1,IF(COUNTIF(Gratteciel,D65)=1,listes!$O$1,IF(COUNTIF(Saintjean,D65)=1,listes!$Q$1,IF(COUNTIF(horsvilleurbanne,D65)=1,listes!$R$1,"")))))))))</f>
        <v/>
      </c>
      <c r="M65" s="21" t="str">
        <f t="shared" si="0"/>
        <v/>
      </c>
      <c r="N65" s="21" t="str">
        <f>T_sept_dec[[#This Row],[Etablissement accueillant]]&amp;"-"&amp;T_sept_dec[[#This Row],[Enseignant référent (Nom Prénom)]]</f>
        <v>-</v>
      </c>
      <c r="O65" s="21">
        <f>1/COUNTIF(T_sept_dec[CléEtablissement],T_sept_dec[[#This Row],[CléEtablissement]])</f>
        <v>4.1841004184100415E-3</v>
      </c>
      <c r="P6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5" s="186">
        <f>1/COUNTIF(T_sept_dec[CléRéseau-Rize horsmed],T_sept_dec[[#This Row],[CléRéseau-Rize horsmed]])</f>
        <v>4.1841004184100415E-3</v>
      </c>
      <c r="R65" s="186" t="str">
        <f>IF(COUNTIF(RIZE,T_sept_dec[[#This Row],[Secteur organisateur]]),"Rize_"&amp;T_sept_dec[[#This Row],[Enseignant référent (Nom Prénom)]],"")</f>
        <v/>
      </c>
      <c r="S65" s="186">
        <f>1/COUNTIF(T_sept_dec[CléRize],T_sept_dec[[#This Row],[CléRize]])</f>
        <v>4.048582995951417E-3</v>
      </c>
      <c r="T65" s="186" t="str">
        <f>IF(COUNTIF(Total,T_sept_dec[[#This Row],[Secteur organisateur]]),"Total_"&amp;T_sept_dec[[#This Row],[Enseignant référent (Nom Prénom)]],"")</f>
        <v/>
      </c>
      <c r="U65" s="186">
        <f>1/COUNTIF(T_sept_dec[cléTotal],T_sept_dec[[#This Row],[cléTotal]])</f>
        <v>4.1841004184100415E-3</v>
      </c>
    </row>
    <row r="66" spans="11:21">
      <c r="K66" s="21" t="str">
        <f>IF(COUNTIF(Maternelle,E66)=1,listes!$T$1,IF(COUNTIF(Elémentaire,E66)=1,listes!$U$1,IF(COUNTIF(Collège,E66)=1,listes!$V$1,IF(COUNTIF(Lycée,E66)=1,listes!$W$1,""))))</f>
        <v/>
      </c>
      <c r="L66" s="21" t="str">
        <f>IF(COUNTIF(Perralière,D66)=1,listes!$P$1,IF(COUNTIF(Buers,D66)=1,listes!$J$1,IF(COUNTIF(Charpennes,D66)=1,listes!$K$1,IF(COUNTIF(Cusset,D66)=1,listes!$L$1,IF(COUNTIF(Cyprien,D66)=1,listes!$M$1,IF(COUNTIF(Ferrandière,D66)=1,listes!$N$1,IF(COUNTIF(Gratteciel,D66)=1,listes!$O$1,IF(COUNTIF(Saintjean,D66)=1,listes!$Q$1,IF(COUNTIF(horsvilleurbanne,D66)=1,listes!$R$1,"")))))))))</f>
        <v/>
      </c>
      <c r="M66" s="21" t="str">
        <f t="shared" ref="M66:M129" si="1">IF(COUNTIF(FDL,B66)=1,"FDL",IF(COUNTIF(RIZE,B66)=1,"RIZE",IF(COUNTIF(MLIS,B66)=1,"MLIS",IF(COUNTIF(PACBUS,B66)=1,"PAC-BUS",IF(COUNTIF(Tonkin,B66)=1,"Tonkin","")))))</f>
        <v/>
      </c>
      <c r="N66" s="21" t="str">
        <f>T_sept_dec[[#This Row],[Etablissement accueillant]]&amp;"-"&amp;T_sept_dec[[#This Row],[Enseignant référent (Nom Prénom)]]</f>
        <v>-</v>
      </c>
      <c r="O66" s="21">
        <f>1/COUNTIF(T_sept_dec[CléEtablissement],T_sept_dec[[#This Row],[CléEtablissement]])</f>
        <v>4.1841004184100415E-3</v>
      </c>
      <c r="P6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6" s="186">
        <f>1/COUNTIF(T_sept_dec[CléRéseau-Rize horsmed],T_sept_dec[[#This Row],[CléRéseau-Rize horsmed]])</f>
        <v>4.1841004184100415E-3</v>
      </c>
      <c r="R66" s="186" t="str">
        <f>IF(COUNTIF(RIZE,T_sept_dec[[#This Row],[Secteur organisateur]]),"Rize_"&amp;T_sept_dec[[#This Row],[Enseignant référent (Nom Prénom)]],"")</f>
        <v/>
      </c>
      <c r="S66" s="186">
        <f>1/COUNTIF(T_sept_dec[CléRize],T_sept_dec[[#This Row],[CléRize]])</f>
        <v>4.048582995951417E-3</v>
      </c>
      <c r="T66" s="186" t="str">
        <f>IF(COUNTIF(Total,T_sept_dec[[#This Row],[Secteur organisateur]]),"Total_"&amp;T_sept_dec[[#This Row],[Enseignant référent (Nom Prénom)]],"")</f>
        <v/>
      </c>
      <c r="U66" s="186">
        <f>1/COUNTIF(T_sept_dec[cléTotal],T_sept_dec[[#This Row],[cléTotal]])</f>
        <v>4.1841004184100415E-3</v>
      </c>
    </row>
    <row r="67" spans="11:21">
      <c r="K67" s="21" t="str">
        <f>IF(COUNTIF(Maternelle,E67)=1,listes!$T$1,IF(COUNTIF(Elémentaire,E67)=1,listes!$U$1,IF(COUNTIF(Collège,E67)=1,listes!$V$1,IF(COUNTIF(Lycée,E67)=1,listes!$W$1,""))))</f>
        <v/>
      </c>
      <c r="L67" s="21" t="str">
        <f>IF(COUNTIF(Perralière,D67)=1,listes!$P$1,IF(COUNTIF(Buers,D67)=1,listes!$J$1,IF(COUNTIF(Charpennes,D67)=1,listes!$K$1,IF(COUNTIF(Cusset,D67)=1,listes!$L$1,IF(COUNTIF(Cyprien,D67)=1,listes!$M$1,IF(COUNTIF(Ferrandière,D67)=1,listes!$N$1,IF(COUNTIF(Gratteciel,D67)=1,listes!$O$1,IF(COUNTIF(Saintjean,D67)=1,listes!$Q$1,IF(COUNTIF(horsvilleurbanne,D67)=1,listes!$R$1,"")))))))))</f>
        <v/>
      </c>
      <c r="M67" s="21" t="str">
        <f t="shared" si="1"/>
        <v/>
      </c>
      <c r="N67" s="21" t="str">
        <f>T_sept_dec[[#This Row],[Etablissement accueillant]]&amp;"-"&amp;T_sept_dec[[#This Row],[Enseignant référent (Nom Prénom)]]</f>
        <v>-</v>
      </c>
      <c r="O67" s="21">
        <f>1/COUNTIF(T_sept_dec[CléEtablissement],T_sept_dec[[#This Row],[CléEtablissement]])</f>
        <v>4.1841004184100415E-3</v>
      </c>
      <c r="P6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7" s="186">
        <f>1/COUNTIF(T_sept_dec[CléRéseau-Rize horsmed],T_sept_dec[[#This Row],[CléRéseau-Rize horsmed]])</f>
        <v>4.1841004184100415E-3</v>
      </c>
      <c r="R67" s="186" t="str">
        <f>IF(COUNTIF(RIZE,T_sept_dec[[#This Row],[Secteur organisateur]]),"Rize_"&amp;T_sept_dec[[#This Row],[Enseignant référent (Nom Prénom)]],"")</f>
        <v/>
      </c>
      <c r="S67" s="186">
        <f>1/COUNTIF(T_sept_dec[CléRize],T_sept_dec[[#This Row],[CléRize]])</f>
        <v>4.048582995951417E-3</v>
      </c>
      <c r="T67" s="186" t="str">
        <f>IF(COUNTIF(Total,T_sept_dec[[#This Row],[Secteur organisateur]]),"Total_"&amp;T_sept_dec[[#This Row],[Enseignant référent (Nom Prénom)]],"")</f>
        <v/>
      </c>
      <c r="U67" s="186">
        <f>1/COUNTIF(T_sept_dec[cléTotal],T_sept_dec[[#This Row],[cléTotal]])</f>
        <v>4.1841004184100415E-3</v>
      </c>
    </row>
    <row r="68" spans="11:21">
      <c r="K68" s="21" t="str">
        <f>IF(COUNTIF(Maternelle,E68)=1,listes!$T$1,IF(COUNTIF(Elémentaire,E68)=1,listes!$U$1,IF(COUNTIF(Collège,E68)=1,listes!$V$1,IF(COUNTIF(Lycée,E68)=1,listes!$W$1,""))))</f>
        <v/>
      </c>
      <c r="L68" s="21" t="str">
        <f>IF(COUNTIF(Perralière,D68)=1,listes!$P$1,IF(COUNTIF(Buers,D68)=1,listes!$J$1,IF(COUNTIF(Charpennes,D68)=1,listes!$K$1,IF(COUNTIF(Cusset,D68)=1,listes!$L$1,IF(COUNTIF(Cyprien,D68)=1,listes!$M$1,IF(COUNTIF(Ferrandière,D68)=1,listes!$N$1,IF(COUNTIF(Gratteciel,D68)=1,listes!$O$1,IF(COUNTIF(Saintjean,D68)=1,listes!$Q$1,IF(COUNTIF(horsvilleurbanne,D68)=1,listes!$R$1,"")))))))))</f>
        <v/>
      </c>
      <c r="M68" s="21" t="str">
        <f t="shared" si="1"/>
        <v/>
      </c>
      <c r="N68" s="21" t="str">
        <f>T_sept_dec[[#This Row],[Etablissement accueillant]]&amp;"-"&amp;T_sept_dec[[#This Row],[Enseignant référent (Nom Prénom)]]</f>
        <v>-</v>
      </c>
      <c r="O68" s="21">
        <f>1/COUNTIF(T_sept_dec[CléEtablissement],T_sept_dec[[#This Row],[CléEtablissement]])</f>
        <v>4.1841004184100415E-3</v>
      </c>
      <c r="P6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8" s="186">
        <f>1/COUNTIF(T_sept_dec[CléRéseau-Rize horsmed],T_sept_dec[[#This Row],[CléRéseau-Rize horsmed]])</f>
        <v>4.1841004184100415E-3</v>
      </c>
      <c r="R68" s="186" t="str">
        <f>IF(COUNTIF(RIZE,T_sept_dec[[#This Row],[Secteur organisateur]]),"Rize_"&amp;T_sept_dec[[#This Row],[Enseignant référent (Nom Prénom)]],"")</f>
        <v/>
      </c>
      <c r="S68" s="186">
        <f>1/COUNTIF(T_sept_dec[CléRize],T_sept_dec[[#This Row],[CléRize]])</f>
        <v>4.048582995951417E-3</v>
      </c>
      <c r="T68" s="186" t="str">
        <f>IF(COUNTIF(Total,T_sept_dec[[#This Row],[Secteur organisateur]]),"Total_"&amp;T_sept_dec[[#This Row],[Enseignant référent (Nom Prénom)]],"")</f>
        <v/>
      </c>
      <c r="U68" s="186">
        <f>1/COUNTIF(T_sept_dec[cléTotal],T_sept_dec[[#This Row],[cléTotal]])</f>
        <v>4.1841004184100415E-3</v>
      </c>
    </row>
    <row r="69" spans="11:21">
      <c r="K69" s="21" t="str">
        <f>IF(COUNTIF(Maternelle,E69)=1,listes!$T$1,IF(COUNTIF(Elémentaire,E69)=1,listes!$U$1,IF(COUNTIF(Collège,E69)=1,listes!$V$1,IF(COUNTIF(Lycée,E69)=1,listes!$W$1,""))))</f>
        <v/>
      </c>
      <c r="L69" s="21" t="str">
        <f>IF(COUNTIF(Perralière,D69)=1,listes!$P$1,IF(COUNTIF(Buers,D69)=1,listes!$J$1,IF(COUNTIF(Charpennes,D69)=1,listes!$K$1,IF(COUNTIF(Cusset,D69)=1,listes!$L$1,IF(COUNTIF(Cyprien,D69)=1,listes!$M$1,IF(COUNTIF(Ferrandière,D69)=1,listes!$N$1,IF(COUNTIF(Gratteciel,D69)=1,listes!$O$1,IF(COUNTIF(Saintjean,D69)=1,listes!$Q$1,IF(COUNTIF(horsvilleurbanne,D69)=1,listes!$R$1,"")))))))))</f>
        <v/>
      </c>
      <c r="M69" s="21" t="str">
        <f t="shared" si="1"/>
        <v/>
      </c>
      <c r="N69" s="21" t="str">
        <f>T_sept_dec[[#This Row],[Etablissement accueillant]]&amp;"-"&amp;T_sept_dec[[#This Row],[Enseignant référent (Nom Prénom)]]</f>
        <v>-</v>
      </c>
      <c r="O69" s="21">
        <f>1/COUNTIF(T_sept_dec[CléEtablissement],T_sept_dec[[#This Row],[CléEtablissement]])</f>
        <v>4.1841004184100415E-3</v>
      </c>
      <c r="P6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69" s="186">
        <f>1/COUNTIF(T_sept_dec[CléRéseau-Rize horsmed],T_sept_dec[[#This Row],[CléRéseau-Rize horsmed]])</f>
        <v>4.1841004184100415E-3</v>
      </c>
      <c r="R69" s="186" t="str">
        <f>IF(COUNTIF(RIZE,T_sept_dec[[#This Row],[Secteur organisateur]]),"Rize_"&amp;T_sept_dec[[#This Row],[Enseignant référent (Nom Prénom)]],"")</f>
        <v/>
      </c>
      <c r="S69" s="186">
        <f>1/COUNTIF(T_sept_dec[CléRize],T_sept_dec[[#This Row],[CléRize]])</f>
        <v>4.048582995951417E-3</v>
      </c>
      <c r="T69" s="186" t="str">
        <f>IF(COUNTIF(Total,T_sept_dec[[#This Row],[Secteur organisateur]]),"Total_"&amp;T_sept_dec[[#This Row],[Enseignant référent (Nom Prénom)]],"")</f>
        <v/>
      </c>
      <c r="U69" s="186">
        <f>1/COUNTIF(T_sept_dec[cléTotal],T_sept_dec[[#This Row],[cléTotal]])</f>
        <v>4.1841004184100415E-3</v>
      </c>
    </row>
    <row r="70" spans="11:21">
      <c r="K70" s="21" t="str">
        <f>IF(COUNTIF(Maternelle,E70)=1,listes!$T$1,IF(COUNTIF(Elémentaire,E70)=1,listes!$U$1,IF(COUNTIF(Collège,E70)=1,listes!$V$1,IF(COUNTIF(Lycée,E70)=1,listes!$W$1,""))))</f>
        <v/>
      </c>
      <c r="L70" s="21" t="str">
        <f>IF(COUNTIF(Perralière,D70)=1,listes!$P$1,IF(COUNTIF(Buers,D70)=1,listes!$J$1,IF(COUNTIF(Charpennes,D70)=1,listes!$K$1,IF(COUNTIF(Cusset,D70)=1,listes!$L$1,IF(COUNTIF(Cyprien,D70)=1,listes!$M$1,IF(COUNTIF(Ferrandière,D70)=1,listes!$N$1,IF(COUNTIF(Gratteciel,D70)=1,listes!$O$1,IF(COUNTIF(Saintjean,D70)=1,listes!$Q$1,IF(COUNTIF(horsvilleurbanne,D70)=1,listes!$R$1,"")))))))))</f>
        <v/>
      </c>
      <c r="M70" s="21" t="str">
        <f t="shared" si="1"/>
        <v/>
      </c>
      <c r="N70" s="21" t="str">
        <f>T_sept_dec[[#This Row],[Etablissement accueillant]]&amp;"-"&amp;T_sept_dec[[#This Row],[Enseignant référent (Nom Prénom)]]</f>
        <v>-</v>
      </c>
      <c r="O70" s="21">
        <f>1/COUNTIF(T_sept_dec[CléEtablissement],T_sept_dec[[#This Row],[CléEtablissement]])</f>
        <v>4.1841004184100415E-3</v>
      </c>
      <c r="P7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0" s="186">
        <f>1/COUNTIF(T_sept_dec[CléRéseau-Rize horsmed],T_sept_dec[[#This Row],[CléRéseau-Rize horsmed]])</f>
        <v>4.1841004184100415E-3</v>
      </c>
      <c r="R70" s="186" t="str">
        <f>IF(COUNTIF(RIZE,T_sept_dec[[#This Row],[Secteur organisateur]]),"Rize_"&amp;T_sept_dec[[#This Row],[Enseignant référent (Nom Prénom)]],"")</f>
        <v/>
      </c>
      <c r="S70" s="186">
        <f>1/COUNTIF(T_sept_dec[CléRize],T_sept_dec[[#This Row],[CléRize]])</f>
        <v>4.048582995951417E-3</v>
      </c>
      <c r="T70" s="186" t="str">
        <f>IF(COUNTIF(Total,T_sept_dec[[#This Row],[Secteur organisateur]]),"Total_"&amp;T_sept_dec[[#This Row],[Enseignant référent (Nom Prénom)]],"")</f>
        <v/>
      </c>
      <c r="U70" s="186">
        <f>1/COUNTIF(T_sept_dec[cléTotal],T_sept_dec[[#This Row],[cléTotal]])</f>
        <v>4.1841004184100415E-3</v>
      </c>
    </row>
    <row r="71" spans="11:21">
      <c r="K71" s="21" t="str">
        <f>IF(COUNTIF(Maternelle,E71)=1,listes!$T$1,IF(COUNTIF(Elémentaire,E71)=1,listes!$U$1,IF(COUNTIF(Collège,E71)=1,listes!$V$1,IF(COUNTIF(Lycée,E71)=1,listes!$W$1,""))))</f>
        <v/>
      </c>
      <c r="L71" s="21" t="str">
        <f>IF(COUNTIF(Perralière,D71)=1,listes!$P$1,IF(COUNTIF(Buers,D71)=1,listes!$J$1,IF(COUNTIF(Charpennes,D71)=1,listes!$K$1,IF(COUNTIF(Cusset,D71)=1,listes!$L$1,IF(COUNTIF(Cyprien,D71)=1,listes!$M$1,IF(COUNTIF(Ferrandière,D71)=1,listes!$N$1,IF(COUNTIF(Gratteciel,D71)=1,listes!$O$1,IF(COUNTIF(Saintjean,D71)=1,listes!$Q$1,IF(COUNTIF(horsvilleurbanne,D71)=1,listes!$R$1,"")))))))))</f>
        <v/>
      </c>
      <c r="M71" s="21" t="str">
        <f t="shared" si="1"/>
        <v/>
      </c>
      <c r="N71" s="21" t="str">
        <f>T_sept_dec[[#This Row],[Etablissement accueillant]]&amp;"-"&amp;T_sept_dec[[#This Row],[Enseignant référent (Nom Prénom)]]</f>
        <v>-</v>
      </c>
      <c r="O71" s="21">
        <f>1/COUNTIF(T_sept_dec[CléEtablissement],T_sept_dec[[#This Row],[CléEtablissement]])</f>
        <v>4.1841004184100415E-3</v>
      </c>
      <c r="P7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1" s="186">
        <f>1/COUNTIF(T_sept_dec[CléRéseau-Rize horsmed],T_sept_dec[[#This Row],[CléRéseau-Rize horsmed]])</f>
        <v>4.1841004184100415E-3</v>
      </c>
      <c r="R71" s="186" t="str">
        <f>IF(COUNTIF(RIZE,T_sept_dec[[#This Row],[Secteur organisateur]]),"Rize_"&amp;T_sept_dec[[#This Row],[Enseignant référent (Nom Prénom)]],"")</f>
        <v/>
      </c>
      <c r="S71" s="186">
        <f>1/COUNTIF(T_sept_dec[CléRize],T_sept_dec[[#This Row],[CléRize]])</f>
        <v>4.048582995951417E-3</v>
      </c>
      <c r="T71" s="186" t="str">
        <f>IF(COUNTIF(Total,T_sept_dec[[#This Row],[Secteur organisateur]]),"Total_"&amp;T_sept_dec[[#This Row],[Enseignant référent (Nom Prénom)]],"")</f>
        <v/>
      </c>
      <c r="U71" s="186">
        <f>1/COUNTIF(T_sept_dec[cléTotal],T_sept_dec[[#This Row],[cléTotal]])</f>
        <v>4.1841004184100415E-3</v>
      </c>
    </row>
    <row r="72" spans="11:21">
      <c r="K72" s="21" t="str">
        <f>IF(COUNTIF(Maternelle,E72)=1,listes!$T$1,IF(COUNTIF(Elémentaire,E72)=1,listes!$U$1,IF(COUNTIF(Collège,E72)=1,listes!$V$1,IF(COUNTIF(Lycée,E72)=1,listes!$W$1,""))))</f>
        <v/>
      </c>
      <c r="L72" s="21" t="str">
        <f>IF(COUNTIF(Perralière,D72)=1,listes!$P$1,IF(COUNTIF(Buers,D72)=1,listes!$J$1,IF(COUNTIF(Charpennes,D72)=1,listes!$K$1,IF(COUNTIF(Cusset,D72)=1,listes!$L$1,IF(COUNTIF(Cyprien,D72)=1,listes!$M$1,IF(COUNTIF(Ferrandière,D72)=1,listes!$N$1,IF(COUNTIF(Gratteciel,D72)=1,listes!$O$1,IF(COUNTIF(Saintjean,D72)=1,listes!$Q$1,IF(COUNTIF(horsvilleurbanne,D72)=1,listes!$R$1,"")))))))))</f>
        <v/>
      </c>
      <c r="M72" s="21" t="str">
        <f t="shared" si="1"/>
        <v/>
      </c>
      <c r="N72" s="21" t="str">
        <f>T_sept_dec[[#This Row],[Etablissement accueillant]]&amp;"-"&amp;T_sept_dec[[#This Row],[Enseignant référent (Nom Prénom)]]</f>
        <v>-</v>
      </c>
      <c r="O72" s="21">
        <f>1/COUNTIF(T_sept_dec[CléEtablissement],T_sept_dec[[#This Row],[CléEtablissement]])</f>
        <v>4.1841004184100415E-3</v>
      </c>
      <c r="P7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2" s="186">
        <f>1/COUNTIF(T_sept_dec[CléRéseau-Rize horsmed],T_sept_dec[[#This Row],[CléRéseau-Rize horsmed]])</f>
        <v>4.1841004184100415E-3</v>
      </c>
      <c r="R72" s="186" t="str">
        <f>IF(COUNTIF(RIZE,T_sept_dec[[#This Row],[Secteur organisateur]]),"Rize_"&amp;T_sept_dec[[#This Row],[Enseignant référent (Nom Prénom)]],"")</f>
        <v/>
      </c>
      <c r="S72" s="186">
        <f>1/COUNTIF(T_sept_dec[CléRize],T_sept_dec[[#This Row],[CléRize]])</f>
        <v>4.048582995951417E-3</v>
      </c>
      <c r="T72" s="186" t="str">
        <f>IF(COUNTIF(Total,T_sept_dec[[#This Row],[Secteur organisateur]]),"Total_"&amp;T_sept_dec[[#This Row],[Enseignant référent (Nom Prénom)]],"")</f>
        <v/>
      </c>
      <c r="U72" s="186">
        <f>1/COUNTIF(T_sept_dec[cléTotal],T_sept_dec[[#This Row],[cléTotal]])</f>
        <v>4.1841004184100415E-3</v>
      </c>
    </row>
    <row r="73" spans="11:21">
      <c r="K73" s="21" t="str">
        <f>IF(COUNTIF(Maternelle,E73)=1,listes!$T$1,IF(COUNTIF(Elémentaire,E73)=1,listes!$U$1,IF(COUNTIF(Collège,E73)=1,listes!$V$1,IF(COUNTIF(Lycée,E73)=1,listes!$W$1,""))))</f>
        <v/>
      </c>
      <c r="L73" s="21" t="str">
        <f>IF(COUNTIF(Perralière,D73)=1,listes!$P$1,IF(COUNTIF(Buers,D73)=1,listes!$J$1,IF(COUNTIF(Charpennes,D73)=1,listes!$K$1,IF(COUNTIF(Cusset,D73)=1,listes!$L$1,IF(COUNTIF(Cyprien,D73)=1,listes!$M$1,IF(COUNTIF(Ferrandière,D73)=1,listes!$N$1,IF(COUNTIF(Gratteciel,D73)=1,listes!$O$1,IF(COUNTIF(Saintjean,D73)=1,listes!$Q$1,IF(COUNTIF(horsvilleurbanne,D73)=1,listes!$R$1,"")))))))))</f>
        <v/>
      </c>
      <c r="M73" s="21" t="str">
        <f t="shared" si="1"/>
        <v/>
      </c>
      <c r="N73" s="21" t="str">
        <f>T_sept_dec[[#This Row],[Etablissement accueillant]]&amp;"-"&amp;T_sept_dec[[#This Row],[Enseignant référent (Nom Prénom)]]</f>
        <v>-</v>
      </c>
      <c r="O73" s="21">
        <f>1/COUNTIF(T_sept_dec[CléEtablissement],T_sept_dec[[#This Row],[CléEtablissement]])</f>
        <v>4.1841004184100415E-3</v>
      </c>
      <c r="P7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3" s="186">
        <f>1/COUNTIF(T_sept_dec[CléRéseau-Rize horsmed],T_sept_dec[[#This Row],[CléRéseau-Rize horsmed]])</f>
        <v>4.1841004184100415E-3</v>
      </c>
      <c r="R73" s="186" t="str">
        <f>IF(COUNTIF(RIZE,T_sept_dec[[#This Row],[Secteur organisateur]]),"Rize_"&amp;T_sept_dec[[#This Row],[Enseignant référent (Nom Prénom)]],"")</f>
        <v/>
      </c>
      <c r="S73" s="186">
        <f>1/COUNTIF(T_sept_dec[CléRize],T_sept_dec[[#This Row],[CléRize]])</f>
        <v>4.048582995951417E-3</v>
      </c>
      <c r="T73" s="186" t="str">
        <f>IF(COUNTIF(Total,T_sept_dec[[#This Row],[Secteur organisateur]]),"Total_"&amp;T_sept_dec[[#This Row],[Enseignant référent (Nom Prénom)]],"")</f>
        <v/>
      </c>
      <c r="U73" s="186">
        <f>1/COUNTIF(T_sept_dec[cléTotal],T_sept_dec[[#This Row],[cléTotal]])</f>
        <v>4.1841004184100415E-3</v>
      </c>
    </row>
    <row r="74" spans="11:21">
      <c r="K74" s="21" t="str">
        <f>IF(COUNTIF(Maternelle,E74)=1,listes!$T$1,IF(COUNTIF(Elémentaire,E74)=1,listes!$U$1,IF(COUNTIF(Collège,E74)=1,listes!$V$1,IF(COUNTIF(Lycée,E74)=1,listes!$W$1,""))))</f>
        <v/>
      </c>
      <c r="L74" s="21" t="str">
        <f>IF(COUNTIF(Perralière,D74)=1,listes!$P$1,IF(COUNTIF(Buers,D74)=1,listes!$J$1,IF(COUNTIF(Charpennes,D74)=1,listes!$K$1,IF(COUNTIF(Cusset,D74)=1,listes!$L$1,IF(COUNTIF(Cyprien,D74)=1,listes!$M$1,IF(COUNTIF(Ferrandière,D74)=1,listes!$N$1,IF(COUNTIF(Gratteciel,D74)=1,listes!$O$1,IF(COUNTIF(Saintjean,D74)=1,listes!$Q$1,IF(COUNTIF(horsvilleurbanne,D74)=1,listes!$R$1,"")))))))))</f>
        <v/>
      </c>
      <c r="M74" s="21" t="str">
        <f t="shared" si="1"/>
        <v/>
      </c>
      <c r="N74" s="21" t="str">
        <f>T_sept_dec[[#This Row],[Etablissement accueillant]]&amp;"-"&amp;T_sept_dec[[#This Row],[Enseignant référent (Nom Prénom)]]</f>
        <v>-</v>
      </c>
      <c r="O74" s="21">
        <f>1/COUNTIF(T_sept_dec[CléEtablissement],T_sept_dec[[#This Row],[CléEtablissement]])</f>
        <v>4.1841004184100415E-3</v>
      </c>
      <c r="P7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4" s="186">
        <f>1/COUNTIF(T_sept_dec[CléRéseau-Rize horsmed],T_sept_dec[[#This Row],[CléRéseau-Rize horsmed]])</f>
        <v>4.1841004184100415E-3</v>
      </c>
      <c r="R74" s="186" t="str">
        <f>IF(COUNTIF(RIZE,T_sept_dec[[#This Row],[Secteur organisateur]]),"Rize_"&amp;T_sept_dec[[#This Row],[Enseignant référent (Nom Prénom)]],"")</f>
        <v/>
      </c>
      <c r="S74" s="186">
        <f>1/COUNTIF(T_sept_dec[CléRize],T_sept_dec[[#This Row],[CléRize]])</f>
        <v>4.048582995951417E-3</v>
      </c>
      <c r="T74" s="186" t="str">
        <f>IF(COUNTIF(Total,T_sept_dec[[#This Row],[Secteur organisateur]]),"Total_"&amp;T_sept_dec[[#This Row],[Enseignant référent (Nom Prénom)]],"")</f>
        <v/>
      </c>
      <c r="U74" s="186">
        <f>1/COUNTIF(T_sept_dec[cléTotal],T_sept_dec[[#This Row],[cléTotal]])</f>
        <v>4.1841004184100415E-3</v>
      </c>
    </row>
    <row r="75" spans="11:21">
      <c r="K75" s="21" t="str">
        <f>IF(COUNTIF(Maternelle,E75)=1,listes!$T$1,IF(COUNTIF(Elémentaire,E75)=1,listes!$U$1,IF(COUNTIF(Collège,E75)=1,listes!$V$1,IF(COUNTIF(Lycée,E75)=1,listes!$W$1,""))))</f>
        <v/>
      </c>
      <c r="L75" s="21" t="str">
        <f>IF(COUNTIF(Perralière,D75)=1,listes!$P$1,IF(COUNTIF(Buers,D75)=1,listes!$J$1,IF(COUNTIF(Charpennes,D75)=1,listes!$K$1,IF(COUNTIF(Cusset,D75)=1,listes!$L$1,IF(COUNTIF(Cyprien,D75)=1,listes!$M$1,IF(COUNTIF(Ferrandière,D75)=1,listes!$N$1,IF(COUNTIF(Gratteciel,D75)=1,listes!$O$1,IF(COUNTIF(Saintjean,D75)=1,listes!$Q$1,IF(COUNTIF(horsvilleurbanne,D75)=1,listes!$R$1,"")))))))))</f>
        <v/>
      </c>
      <c r="M75" s="21" t="str">
        <f t="shared" si="1"/>
        <v/>
      </c>
      <c r="N75" s="21" t="str">
        <f>T_sept_dec[[#This Row],[Etablissement accueillant]]&amp;"-"&amp;T_sept_dec[[#This Row],[Enseignant référent (Nom Prénom)]]</f>
        <v>-</v>
      </c>
      <c r="O75" s="21">
        <f>1/COUNTIF(T_sept_dec[CléEtablissement],T_sept_dec[[#This Row],[CléEtablissement]])</f>
        <v>4.1841004184100415E-3</v>
      </c>
      <c r="P7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5" s="186">
        <f>1/COUNTIF(T_sept_dec[CléRéseau-Rize horsmed],T_sept_dec[[#This Row],[CléRéseau-Rize horsmed]])</f>
        <v>4.1841004184100415E-3</v>
      </c>
      <c r="R75" s="186" t="str">
        <f>IF(COUNTIF(RIZE,T_sept_dec[[#This Row],[Secteur organisateur]]),"Rize_"&amp;T_sept_dec[[#This Row],[Enseignant référent (Nom Prénom)]],"")</f>
        <v/>
      </c>
      <c r="S75" s="186">
        <f>1/COUNTIF(T_sept_dec[CléRize],T_sept_dec[[#This Row],[CléRize]])</f>
        <v>4.048582995951417E-3</v>
      </c>
      <c r="T75" s="186" t="str">
        <f>IF(COUNTIF(Total,T_sept_dec[[#This Row],[Secteur organisateur]]),"Total_"&amp;T_sept_dec[[#This Row],[Enseignant référent (Nom Prénom)]],"")</f>
        <v/>
      </c>
      <c r="U75" s="186">
        <f>1/COUNTIF(T_sept_dec[cléTotal],T_sept_dec[[#This Row],[cléTotal]])</f>
        <v>4.1841004184100415E-3</v>
      </c>
    </row>
    <row r="76" spans="11:21">
      <c r="K76" s="21" t="str">
        <f>IF(COUNTIF(Maternelle,E76)=1,listes!$T$1,IF(COUNTIF(Elémentaire,E76)=1,listes!$U$1,IF(COUNTIF(Collège,E76)=1,listes!$V$1,IF(COUNTIF(Lycée,E76)=1,listes!$W$1,""))))</f>
        <v/>
      </c>
      <c r="L76" s="21" t="str">
        <f>IF(COUNTIF(Perralière,D76)=1,listes!$P$1,IF(COUNTIF(Buers,D76)=1,listes!$J$1,IF(COUNTIF(Charpennes,D76)=1,listes!$K$1,IF(COUNTIF(Cusset,D76)=1,listes!$L$1,IF(COUNTIF(Cyprien,D76)=1,listes!$M$1,IF(COUNTIF(Ferrandière,D76)=1,listes!$N$1,IF(COUNTIF(Gratteciel,D76)=1,listes!$O$1,IF(COUNTIF(Saintjean,D76)=1,listes!$Q$1,IF(COUNTIF(horsvilleurbanne,D76)=1,listes!$R$1,"")))))))))</f>
        <v/>
      </c>
      <c r="M76" s="21" t="str">
        <f t="shared" si="1"/>
        <v/>
      </c>
      <c r="N76" s="21" t="str">
        <f>T_sept_dec[[#This Row],[Etablissement accueillant]]&amp;"-"&amp;T_sept_dec[[#This Row],[Enseignant référent (Nom Prénom)]]</f>
        <v>-</v>
      </c>
      <c r="O76" s="21">
        <f>1/COUNTIF(T_sept_dec[CléEtablissement],T_sept_dec[[#This Row],[CléEtablissement]])</f>
        <v>4.1841004184100415E-3</v>
      </c>
      <c r="P7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6" s="186">
        <f>1/COUNTIF(T_sept_dec[CléRéseau-Rize horsmed],T_sept_dec[[#This Row],[CléRéseau-Rize horsmed]])</f>
        <v>4.1841004184100415E-3</v>
      </c>
      <c r="R76" s="186" t="str">
        <f>IF(COUNTIF(RIZE,T_sept_dec[[#This Row],[Secteur organisateur]]),"Rize_"&amp;T_sept_dec[[#This Row],[Enseignant référent (Nom Prénom)]],"")</f>
        <v/>
      </c>
      <c r="S76" s="186">
        <f>1/COUNTIF(T_sept_dec[CléRize],T_sept_dec[[#This Row],[CléRize]])</f>
        <v>4.048582995951417E-3</v>
      </c>
      <c r="T76" s="186" t="str">
        <f>IF(COUNTIF(Total,T_sept_dec[[#This Row],[Secteur organisateur]]),"Total_"&amp;T_sept_dec[[#This Row],[Enseignant référent (Nom Prénom)]],"")</f>
        <v/>
      </c>
      <c r="U76" s="186">
        <f>1/COUNTIF(T_sept_dec[cléTotal],T_sept_dec[[#This Row],[cléTotal]])</f>
        <v>4.1841004184100415E-3</v>
      </c>
    </row>
    <row r="77" spans="11:21">
      <c r="K77" s="21" t="str">
        <f>IF(COUNTIF(Maternelle,E77)=1,listes!$T$1,IF(COUNTIF(Elémentaire,E77)=1,listes!$U$1,IF(COUNTIF(Collège,E77)=1,listes!$V$1,IF(COUNTIF(Lycée,E77)=1,listes!$W$1,""))))</f>
        <v/>
      </c>
      <c r="L77" s="21" t="str">
        <f>IF(COUNTIF(Perralière,D77)=1,listes!$P$1,IF(COUNTIF(Buers,D77)=1,listes!$J$1,IF(COUNTIF(Charpennes,D77)=1,listes!$K$1,IF(COUNTIF(Cusset,D77)=1,listes!$L$1,IF(COUNTIF(Cyprien,D77)=1,listes!$M$1,IF(COUNTIF(Ferrandière,D77)=1,listes!$N$1,IF(COUNTIF(Gratteciel,D77)=1,listes!$O$1,IF(COUNTIF(Saintjean,D77)=1,listes!$Q$1,IF(COUNTIF(horsvilleurbanne,D77)=1,listes!$R$1,"")))))))))</f>
        <v/>
      </c>
      <c r="M77" s="21" t="str">
        <f t="shared" si="1"/>
        <v/>
      </c>
      <c r="N77" s="21" t="str">
        <f>T_sept_dec[[#This Row],[Etablissement accueillant]]&amp;"-"&amp;T_sept_dec[[#This Row],[Enseignant référent (Nom Prénom)]]</f>
        <v>-</v>
      </c>
      <c r="O77" s="21">
        <f>1/COUNTIF(T_sept_dec[CléEtablissement],T_sept_dec[[#This Row],[CléEtablissement]])</f>
        <v>4.1841004184100415E-3</v>
      </c>
      <c r="P7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7" s="186">
        <f>1/COUNTIF(T_sept_dec[CléRéseau-Rize horsmed],T_sept_dec[[#This Row],[CléRéseau-Rize horsmed]])</f>
        <v>4.1841004184100415E-3</v>
      </c>
      <c r="R77" s="186" t="str">
        <f>IF(COUNTIF(RIZE,T_sept_dec[[#This Row],[Secteur organisateur]]),"Rize_"&amp;T_sept_dec[[#This Row],[Enseignant référent (Nom Prénom)]],"")</f>
        <v/>
      </c>
      <c r="S77" s="186">
        <f>1/COUNTIF(T_sept_dec[CléRize],T_sept_dec[[#This Row],[CléRize]])</f>
        <v>4.048582995951417E-3</v>
      </c>
      <c r="T77" s="186" t="str">
        <f>IF(COUNTIF(Total,T_sept_dec[[#This Row],[Secteur organisateur]]),"Total_"&amp;T_sept_dec[[#This Row],[Enseignant référent (Nom Prénom)]],"")</f>
        <v/>
      </c>
      <c r="U77" s="186">
        <f>1/COUNTIF(T_sept_dec[cléTotal],T_sept_dec[[#This Row],[cléTotal]])</f>
        <v>4.1841004184100415E-3</v>
      </c>
    </row>
    <row r="78" spans="11:21">
      <c r="K78" s="21" t="str">
        <f>IF(COUNTIF(Maternelle,E78)=1,listes!$T$1,IF(COUNTIF(Elémentaire,E78)=1,listes!$U$1,IF(COUNTIF(Collège,E78)=1,listes!$V$1,IF(COUNTIF(Lycée,E78)=1,listes!$W$1,""))))</f>
        <v/>
      </c>
      <c r="L78" s="21" t="str">
        <f>IF(COUNTIF(Perralière,D78)=1,listes!$P$1,IF(COUNTIF(Buers,D78)=1,listes!$J$1,IF(COUNTIF(Charpennes,D78)=1,listes!$K$1,IF(COUNTIF(Cusset,D78)=1,listes!$L$1,IF(COUNTIF(Cyprien,D78)=1,listes!$M$1,IF(COUNTIF(Ferrandière,D78)=1,listes!$N$1,IF(COUNTIF(Gratteciel,D78)=1,listes!$O$1,IF(COUNTIF(Saintjean,D78)=1,listes!$Q$1,IF(COUNTIF(horsvilleurbanne,D78)=1,listes!$R$1,"")))))))))</f>
        <v/>
      </c>
      <c r="M78" s="21" t="str">
        <f t="shared" si="1"/>
        <v/>
      </c>
      <c r="N78" s="21" t="str">
        <f>T_sept_dec[[#This Row],[Etablissement accueillant]]&amp;"-"&amp;T_sept_dec[[#This Row],[Enseignant référent (Nom Prénom)]]</f>
        <v>-</v>
      </c>
      <c r="O78" s="21">
        <f>1/COUNTIF(T_sept_dec[CléEtablissement],T_sept_dec[[#This Row],[CléEtablissement]])</f>
        <v>4.1841004184100415E-3</v>
      </c>
      <c r="P7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8" s="186">
        <f>1/COUNTIF(T_sept_dec[CléRéseau-Rize horsmed],T_sept_dec[[#This Row],[CléRéseau-Rize horsmed]])</f>
        <v>4.1841004184100415E-3</v>
      </c>
      <c r="R78" s="186" t="str">
        <f>IF(COUNTIF(RIZE,T_sept_dec[[#This Row],[Secteur organisateur]]),"Rize_"&amp;T_sept_dec[[#This Row],[Enseignant référent (Nom Prénom)]],"")</f>
        <v/>
      </c>
      <c r="S78" s="186">
        <f>1/COUNTIF(T_sept_dec[CléRize],T_sept_dec[[#This Row],[CléRize]])</f>
        <v>4.048582995951417E-3</v>
      </c>
      <c r="T78" s="186" t="str">
        <f>IF(COUNTIF(Total,T_sept_dec[[#This Row],[Secteur organisateur]]),"Total_"&amp;T_sept_dec[[#This Row],[Enseignant référent (Nom Prénom)]],"")</f>
        <v/>
      </c>
      <c r="U78" s="186">
        <f>1/COUNTIF(T_sept_dec[cléTotal],T_sept_dec[[#This Row],[cléTotal]])</f>
        <v>4.1841004184100415E-3</v>
      </c>
    </row>
    <row r="79" spans="11:21">
      <c r="K79" s="21" t="str">
        <f>IF(COUNTIF(Maternelle,E79)=1,listes!$T$1,IF(COUNTIF(Elémentaire,E79)=1,listes!$U$1,IF(COUNTIF(Collège,E79)=1,listes!$V$1,IF(COUNTIF(Lycée,E79)=1,listes!$W$1,""))))</f>
        <v/>
      </c>
      <c r="L79" s="21" t="str">
        <f>IF(COUNTIF(Perralière,D79)=1,listes!$P$1,IF(COUNTIF(Buers,D79)=1,listes!$J$1,IF(COUNTIF(Charpennes,D79)=1,listes!$K$1,IF(COUNTIF(Cusset,D79)=1,listes!$L$1,IF(COUNTIF(Cyprien,D79)=1,listes!$M$1,IF(COUNTIF(Ferrandière,D79)=1,listes!$N$1,IF(COUNTIF(Gratteciel,D79)=1,listes!$O$1,IF(COUNTIF(Saintjean,D79)=1,listes!$Q$1,IF(COUNTIF(horsvilleurbanne,D79)=1,listes!$R$1,"")))))))))</f>
        <v/>
      </c>
      <c r="M79" s="21" t="str">
        <f t="shared" si="1"/>
        <v/>
      </c>
      <c r="N79" s="21" t="str">
        <f>T_sept_dec[[#This Row],[Etablissement accueillant]]&amp;"-"&amp;T_sept_dec[[#This Row],[Enseignant référent (Nom Prénom)]]</f>
        <v>-</v>
      </c>
      <c r="O79" s="21">
        <f>1/COUNTIF(T_sept_dec[CléEtablissement],T_sept_dec[[#This Row],[CléEtablissement]])</f>
        <v>4.1841004184100415E-3</v>
      </c>
      <c r="P7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79" s="186">
        <f>1/COUNTIF(T_sept_dec[CléRéseau-Rize horsmed],T_sept_dec[[#This Row],[CléRéseau-Rize horsmed]])</f>
        <v>4.1841004184100415E-3</v>
      </c>
      <c r="R79" s="186" t="str">
        <f>IF(COUNTIF(RIZE,T_sept_dec[[#This Row],[Secteur organisateur]]),"Rize_"&amp;T_sept_dec[[#This Row],[Enseignant référent (Nom Prénom)]],"")</f>
        <v/>
      </c>
      <c r="S79" s="186">
        <f>1/COUNTIF(T_sept_dec[CléRize],T_sept_dec[[#This Row],[CléRize]])</f>
        <v>4.048582995951417E-3</v>
      </c>
      <c r="T79" s="186" t="str">
        <f>IF(COUNTIF(Total,T_sept_dec[[#This Row],[Secteur organisateur]]),"Total_"&amp;T_sept_dec[[#This Row],[Enseignant référent (Nom Prénom)]],"")</f>
        <v/>
      </c>
      <c r="U79" s="186">
        <f>1/COUNTIF(T_sept_dec[cléTotal],T_sept_dec[[#This Row],[cléTotal]])</f>
        <v>4.1841004184100415E-3</v>
      </c>
    </row>
    <row r="80" spans="11:21">
      <c r="K80" s="21" t="str">
        <f>IF(COUNTIF(Maternelle,E80)=1,listes!$T$1,IF(COUNTIF(Elémentaire,E80)=1,listes!$U$1,IF(COUNTIF(Collège,E80)=1,listes!$V$1,IF(COUNTIF(Lycée,E80)=1,listes!$W$1,""))))</f>
        <v/>
      </c>
      <c r="L80" s="21" t="str">
        <f>IF(COUNTIF(Perralière,D80)=1,listes!$P$1,IF(COUNTIF(Buers,D80)=1,listes!$J$1,IF(COUNTIF(Charpennes,D80)=1,listes!$K$1,IF(COUNTIF(Cusset,D80)=1,listes!$L$1,IF(COUNTIF(Cyprien,D80)=1,listes!$M$1,IF(COUNTIF(Ferrandière,D80)=1,listes!$N$1,IF(COUNTIF(Gratteciel,D80)=1,listes!$O$1,IF(COUNTIF(Saintjean,D80)=1,listes!$Q$1,IF(COUNTIF(horsvilleurbanne,D80)=1,listes!$R$1,"")))))))))</f>
        <v/>
      </c>
      <c r="M80" s="21" t="str">
        <f t="shared" si="1"/>
        <v/>
      </c>
      <c r="N80" s="21" t="str">
        <f>T_sept_dec[[#This Row],[Etablissement accueillant]]&amp;"-"&amp;T_sept_dec[[#This Row],[Enseignant référent (Nom Prénom)]]</f>
        <v>-</v>
      </c>
      <c r="O80" s="21">
        <f>1/COUNTIF(T_sept_dec[CléEtablissement],T_sept_dec[[#This Row],[CléEtablissement]])</f>
        <v>4.1841004184100415E-3</v>
      </c>
      <c r="P8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0" s="186">
        <f>1/COUNTIF(T_sept_dec[CléRéseau-Rize horsmed],T_sept_dec[[#This Row],[CléRéseau-Rize horsmed]])</f>
        <v>4.1841004184100415E-3</v>
      </c>
      <c r="R80" s="186" t="str">
        <f>IF(COUNTIF(RIZE,T_sept_dec[[#This Row],[Secteur organisateur]]),"Rize_"&amp;T_sept_dec[[#This Row],[Enseignant référent (Nom Prénom)]],"")</f>
        <v/>
      </c>
      <c r="S80" s="186">
        <f>1/COUNTIF(T_sept_dec[CléRize],T_sept_dec[[#This Row],[CléRize]])</f>
        <v>4.048582995951417E-3</v>
      </c>
      <c r="T80" s="186" t="str">
        <f>IF(COUNTIF(Total,T_sept_dec[[#This Row],[Secteur organisateur]]),"Total_"&amp;T_sept_dec[[#This Row],[Enseignant référent (Nom Prénom)]],"")</f>
        <v/>
      </c>
      <c r="U80" s="186">
        <f>1/COUNTIF(T_sept_dec[cléTotal],T_sept_dec[[#This Row],[cléTotal]])</f>
        <v>4.1841004184100415E-3</v>
      </c>
    </row>
    <row r="81" spans="11:21">
      <c r="K81" s="21" t="str">
        <f>IF(COUNTIF(Maternelle,E81)=1,listes!$T$1,IF(COUNTIF(Elémentaire,E81)=1,listes!$U$1,IF(COUNTIF(Collège,E81)=1,listes!$V$1,IF(COUNTIF(Lycée,E81)=1,listes!$W$1,""))))</f>
        <v/>
      </c>
      <c r="L81" s="21" t="str">
        <f>IF(COUNTIF(Perralière,D81)=1,listes!$P$1,IF(COUNTIF(Buers,D81)=1,listes!$J$1,IF(COUNTIF(Charpennes,D81)=1,listes!$K$1,IF(COUNTIF(Cusset,D81)=1,listes!$L$1,IF(COUNTIF(Cyprien,D81)=1,listes!$M$1,IF(COUNTIF(Ferrandière,D81)=1,listes!$N$1,IF(COUNTIF(Gratteciel,D81)=1,listes!$O$1,IF(COUNTIF(Saintjean,D81)=1,listes!$Q$1,IF(COUNTIF(horsvilleurbanne,D81)=1,listes!$R$1,"")))))))))</f>
        <v/>
      </c>
      <c r="M81" s="21" t="str">
        <f t="shared" si="1"/>
        <v/>
      </c>
      <c r="N81" s="21" t="str">
        <f>T_sept_dec[[#This Row],[Etablissement accueillant]]&amp;"-"&amp;T_sept_dec[[#This Row],[Enseignant référent (Nom Prénom)]]</f>
        <v>-</v>
      </c>
      <c r="O81" s="21">
        <f>1/COUNTIF(T_sept_dec[CléEtablissement],T_sept_dec[[#This Row],[CléEtablissement]])</f>
        <v>4.1841004184100415E-3</v>
      </c>
      <c r="P8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1" s="186">
        <f>1/COUNTIF(T_sept_dec[CléRéseau-Rize horsmed],T_sept_dec[[#This Row],[CléRéseau-Rize horsmed]])</f>
        <v>4.1841004184100415E-3</v>
      </c>
      <c r="R81" s="186" t="str">
        <f>IF(COUNTIF(RIZE,T_sept_dec[[#This Row],[Secteur organisateur]]),"Rize_"&amp;T_sept_dec[[#This Row],[Enseignant référent (Nom Prénom)]],"")</f>
        <v/>
      </c>
      <c r="S81" s="186">
        <f>1/COUNTIF(T_sept_dec[CléRize],T_sept_dec[[#This Row],[CléRize]])</f>
        <v>4.048582995951417E-3</v>
      </c>
      <c r="T81" s="186" t="str">
        <f>IF(COUNTIF(Total,T_sept_dec[[#This Row],[Secteur organisateur]]),"Total_"&amp;T_sept_dec[[#This Row],[Enseignant référent (Nom Prénom)]],"")</f>
        <v/>
      </c>
      <c r="U81" s="186">
        <f>1/COUNTIF(T_sept_dec[cléTotal],T_sept_dec[[#This Row],[cléTotal]])</f>
        <v>4.1841004184100415E-3</v>
      </c>
    </row>
    <row r="82" spans="11:21">
      <c r="K82" s="21" t="str">
        <f>IF(COUNTIF(Maternelle,E82)=1,listes!$T$1,IF(COUNTIF(Elémentaire,E82)=1,listes!$U$1,IF(COUNTIF(Collège,E82)=1,listes!$V$1,IF(COUNTIF(Lycée,E82)=1,listes!$W$1,""))))</f>
        <v/>
      </c>
      <c r="L82" s="21" t="str">
        <f>IF(COUNTIF(Perralière,D82)=1,listes!$P$1,IF(COUNTIF(Buers,D82)=1,listes!$J$1,IF(COUNTIF(Charpennes,D82)=1,listes!$K$1,IF(COUNTIF(Cusset,D82)=1,listes!$L$1,IF(COUNTIF(Cyprien,D82)=1,listes!$M$1,IF(COUNTIF(Ferrandière,D82)=1,listes!$N$1,IF(COUNTIF(Gratteciel,D82)=1,listes!$O$1,IF(COUNTIF(Saintjean,D82)=1,listes!$Q$1,IF(COUNTIF(horsvilleurbanne,D82)=1,listes!$R$1,"")))))))))</f>
        <v/>
      </c>
      <c r="M82" s="21" t="str">
        <f t="shared" si="1"/>
        <v/>
      </c>
      <c r="N82" s="21" t="str">
        <f>T_sept_dec[[#This Row],[Etablissement accueillant]]&amp;"-"&amp;T_sept_dec[[#This Row],[Enseignant référent (Nom Prénom)]]</f>
        <v>-</v>
      </c>
      <c r="O82" s="21">
        <f>1/COUNTIF(T_sept_dec[CléEtablissement],T_sept_dec[[#This Row],[CléEtablissement]])</f>
        <v>4.1841004184100415E-3</v>
      </c>
      <c r="P8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2" s="186">
        <f>1/COUNTIF(T_sept_dec[CléRéseau-Rize horsmed],T_sept_dec[[#This Row],[CléRéseau-Rize horsmed]])</f>
        <v>4.1841004184100415E-3</v>
      </c>
      <c r="R82" s="186" t="str">
        <f>IF(COUNTIF(RIZE,T_sept_dec[[#This Row],[Secteur organisateur]]),"Rize_"&amp;T_sept_dec[[#This Row],[Enseignant référent (Nom Prénom)]],"")</f>
        <v/>
      </c>
      <c r="S82" s="186">
        <f>1/COUNTIF(T_sept_dec[CléRize],T_sept_dec[[#This Row],[CléRize]])</f>
        <v>4.048582995951417E-3</v>
      </c>
      <c r="T82" s="186" t="str">
        <f>IF(COUNTIF(Total,T_sept_dec[[#This Row],[Secteur organisateur]]),"Total_"&amp;T_sept_dec[[#This Row],[Enseignant référent (Nom Prénom)]],"")</f>
        <v/>
      </c>
      <c r="U82" s="186">
        <f>1/COUNTIF(T_sept_dec[cléTotal],T_sept_dec[[#This Row],[cléTotal]])</f>
        <v>4.1841004184100415E-3</v>
      </c>
    </row>
    <row r="83" spans="11:21">
      <c r="K83" s="21" t="str">
        <f>IF(COUNTIF(Maternelle,E83)=1,listes!$T$1,IF(COUNTIF(Elémentaire,E83)=1,listes!$U$1,IF(COUNTIF(Collège,E83)=1,listes!$V$1,IF(COUNTIF(Lycée,E83)=1,listes!$W$1,""))))</f>
        <v/>
      </c>
      <c r="L83" s="21" t="str">
        <f>IF(COUNTIF(Perralière,D83)=1,listes!$P$1,IF(COUNTIF(Buers,D83)=1,listes!$J$1,IF(COUNTIF(Charpennes,D83)=1,listes!$K$1,IF(COUNTIF(Cusset,D83)=1,listes!$L$1,IF(COUNTIF(Cyprien,D83)=1,listes!$M$1,IF(COUNTIF(Ferrandière,D83)=1,listes!$N$1,IF(COUNTIF(Gratteciel,D83)=1,listes!$O$1,IF(COUNTIF(Saintjean,D83)=1,listes!$Q$1,IF(COUNTIF(horsvilleurbanne,D83)=1,listes!$R$1,"")))))))))</f>
        <v/>
      </c>
      <c r="M83" s="21" t="str">
        <f t="shared" si="1"/>
        <v/>
      </c>
      <c r="N83" s="21" t="str">
        <f>T_sept_dec[[#This Row],[Etablissement accueillant]]&amp;"-"&amp;T_sept_dec[[#This Row],[Enseignant référent (Nom Prénom)]]</f>
        <v>-</v>
      </c>
      <c r="O83" s="21">
        <f>1/COUNTIF(T_sept_dec[CléEtablissement],T_sept_dec[[#This Row],[CléEtablissement]])</f>
        <v>4.1841004184100415E-3</v>
      </c>
      <c r="P8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3" s="186">
        <f>1/COUNTIF(T_sept_dec[CléRéseau-Rize horsmed],T_sept_dec[[#This Row],[CléRéseau-Rize horsmed]])</f>
        <v>4.1841004184100415E-3</v>
      </c>
      <c r="R83" s="186" t="str">
        <f>IF(COUNTIF(RIZE,T_sept_dec[[#This Row],[Secteur organisateur]]),"Rize_"&amp;T_sept_dec[[#This Row],[Enseignant référent (Nom Prénom)]],"")</f>
        <v/>
      </c>
      <c r="S83" s="186">
        <f>1/COUNTIF(T_sept_dec[CléRize],T_sept_dec[[#This Row],[CléRize]])</f>
        <v>4.048582995951417E-3</v>
      </c>
      <c r="T83" s="186" t="str">
        <f>IF(COUNTIF(Total,T_sept_dec[[#This Row],[Secteur organisateur]]),"Total_"&amp;T_sept_dec[[#This Row],[Enseignant référent (Nom Prénom)]],"")</f>
        <v/>
      </c>
      <c r="U83" s="186">
        <f>1/COUNTIF(T_sept_dec[cléTotal],T_sept_dec[[#This Row],[cléTotal]])</f>
        <v>4.1841004184100415E-3</v>
      </c>
    </row>
    <row r="84" spans="11:21">
      <c r="K84" s="21" t="str">
        <f>IF(COUNTIF(Maternelle,E84)=1,listes!$T$1,IF(COUNTIF(Elémentaire,E84)=1,listes!$U$1,IF(COUNTIF(Collège,E84)=1,listes!$V$1,IF(COUNTIF(Lycée,E84)=1,listes!$W$1,""))))</f>
        <v/>
      </c>
      <c r="L84" s="21" t="str">
        <f>IF(COUNTIF(Perralière,D84)=1,listes!$P$1,IF(COUNTIF(Buers,D84)=1,listes!$J$1,IF(COUNTIF(Charpennes,D84)=1,listes!$K$1,IF(COUNTIF(Cusset,D84)=1,listes!$L$1,IF(COUNTIF(Cyprien,D84)=1,listes!$M$1,IF(COUNTIF(Ferrandière,D84)=1,listes!$N$1,IF(COUNTIF(Gratteciel,D84)=1,listes!$O$1,IF(COUNTIF(Saintjean,D84)=1,listes!$Q$1,IF(COUNTIF(horsvilleurbanne,D84)=1,listes!$R$1,"")))))))))</f>
        <v/>
      </c>
      <c r="M84" s="21" t="str">
        <f t="shared" si="1"/>
        <v/>
      </c>
      <c r="N84" s="21" t="str">
        <f>T_sept_dec[[#This Row],[Etablissement accueillant]]&amp;"-"&amp;T_sept_dec[[#This Row],[Enseignant référent (Nom Prénom)]]</f>
        <v>-</v>
      </c>
      <c r="O84" s="21">
        <f>1/COUNTIF(T_sept_dec[CléEtablissement],T_sept_dec[[#This Row],[CléEtablissement]])</f>
        <v>4.1841004184100415E-3</v>
      </c>
      <c r="P8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4" s="186">
        <f>1/COUNTIF(T_sept_dec[CléRéseau-Rize horsmed],T_sept_dec[[#This Row],[CléRéseau-Rize horsmed]])</f>
        <v>4.1841004184100415E-3</v>
      </c>
      <c r="R84" s="186" t="str">
        <f>IF(COUNTIF(RIZE,T_sept_dec[[#This Row],[Secteur organisateur]]),"Rize_"&amp;T_sept_dec[[#This Row],[Enseignant référent (Nom Prénom)]],"")</f>
        <v/>
      </c>
      <c r="S84" s="186">
        <f>1/COUNTIF(T_sept_dec[CléRize],T_sept_dec[[#This Row],[CléRize]])</f>
        <v>4.048582995951417E-3</v>
      </c>
      <c r="T84" s="186" t="str">
        <f>IF(COUNTIF(Total,T_sept_dec[[#This Row],[Secteur organisateur]]),"Total_"&amp;T_sept_dec[[#This Row],[Enseignant référent (Nom Prénom)]],"")</f>
        <v/>
      </c>
      <c r="U84" s="186">
        <f>1/COUNTIF(T_sept_dec[cléTotal],T_sept_dec[[#This Row],[cléTotal]])</f>
        <v>4.1841004184100415E-3</v>
      </c>
    </row>
    <row r="85" spans="11:21">
      <c r="K85" s="21" t="str">
        <f>IF(COUNTIF(Maternelle,E85)=1,listes!$T$1,IF(COUNTIF(Elémentaire,E85)=1,listes!$U$1,IF(COUNTIF(Collège,E85)=1,listes!$V$1,IF(COUNTIF(Lycée,E85)=1,listes!$W$1,""))))</f>
        <v/>
      </c>
      <c r="L85" s="21" t="str">
        <f>IF(COUNTIF(Perralière,D85)=1,listes!$P$1,IF(COUNTIF(Buers,D85)=1,listes!$J$1,IF(COUNTIF(Charpennes,D85)=1,listes!$K$1,IF(COUNTIF(Cusset,D85)=1,listes!$L$1,IF(COUNTIF(Cyprien,D85)=1,listes!$M$1,IF(COUNTIF(Ferrandière,D85)=1,listes!$N$1,IF(COUNTIF(Gratteciel,D85)=1,listes!$O$1,IF(COUNTIF(Saintjean,D85)=1,listes!$Q$1,IF(COUNTIF(horsvilleurbanne,D85)=1,listes!$R$1,"")))))))))</f>
        <v/>
      </c>
      <c r="M85" s="21" t="str">
        <f t="shared" si="1"/>
        <v/>
      </c>
      <c r="N85" s="21" t="str">
        <f>T_sept_dec[[#This Row],[Etablissement accueillant]]&amp;"-"&amp;T_sept_dec[[#This Row],[Enseignant référent (Nom Prénom)]]</f>
        <v>-</v>
      </c>
      <c r="O85" s="21">
        <f>1/COUNTIF(T_sept_dec[CléEtablissement],T_sept_dec[[#This Row],[CléEtablissement]])</f>
        <v>4.1841004184100415E-3</v>
      </c>
      <c r="P8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5" s="186">
        <f>1/COUNTIF(T_sept_dec[CléRéseau-Rize horsmed],T_sept_dec[[#This Row],[CléRéseau-Rize horsmed]])</f>
        <v>4.1841004184100415E-3</v>
      </c>
      <c r="R85" s="186" t="str">
        <f>IF(COUNTIF(RIZE,T_sept_dec[[#This Row],[Secteur organisateur]]),"Rize_"&amp;T_sept_dec[[#This Row],[Enseignant référent (Nom Prénom)]],"")</f>
        <v/>
      </c>
      <c r="S85" s="186">
        <f>1/COUNTIF(T_sept_dec[CléRize],T_sept_dec[[#This Row],[CléRize]])</f>
        <v>4.048582995951417E-3</v>
      </c>
      <c r="T85" s="186" t="str">
        <f>IF(COUNTIF(Total,T_sept_dec[[#This Row],[Secteur organisateur]]),"Total_"&amp;T_sept_dec[[#This Row],[Enseignant référent (Nom Prénom)]],"")</f>
        <v/>
      </c>
      <c r="U85" s="186">
        <f>1/COUNTIF(T_sept_dec[cléTotal],T_sept_dec[[#This Row],[cléTotal]])</f>
        <v>4.1841004184100415E-3</v>
      </c>
    </row>
    <row r="86" spans="11:21">
      <c r="K86" s="21" t="str">
        <f>IF(COUNTIF(Maternelle,E86)=1,listes!$T$1,IF(COUNTIF(Elémentaire,E86)=1,listes!$U$1,IF(COUNTIF(Collège,E86)=1,listes!$V$1,IF(COUNTIF(Lycée,E86)=1,listes!$W$1,""))))</f>
        <v/>
      </c>
      <c r="L86" s="21" t="str">
        <f>IF(COUNTIF(Perralière,D86)=1,listes!$P$1,IF(COUNTIF(Buers,D86)=1,listes!$J$1,IF(COUNTIF(Charpennes,D86)=1,listes!$K$1,IF(COUNTIF(Cusset,D86)=1,listes!$L$1,IF(COUNTIF(Cyprien,D86)=1,listes!$M$1,IF(COUNTIF(Ferrandière,D86)=1,listes!$N$1,IF(COUNTIF(Gratteciel,D86)=1,listes!$O$1,IF(COUNTIF(Saintjean,D86)=1,listes!$Q$1,IF(COUNTIF(horsvilleurbanne,D86)=1,listes!$R$1,"")))))))))</f>
        <v/>
      </c>
      <c r="M86" s="21" t="str">
        <f t="shared" si="1"/>
        <v/>
      </c>
      <c r="N86" s="21" t="str">
        <f>T_sept_dec[[#This Row],[Etablissement accueillant]]&amp;"-"&amp;T_sept_dec[[#This Row],[Enseignant référent (Nom Prénom)]]</f>
        <v>-</v>
      </c>
      <c r="O86" s="21">
        <f>1/COUNTIF(T_sept_dec[CléEtablissement],T_sept_dec[[#This Row],[CléEtablissement]])</f>
        <v>4.1841004184100415E-3</v>
      </c>
      <c r="P8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6" s="186">
        <f>1/COUNTIF(T_sept_dec[CléRéseau-Rize horsmed],T_sept_dec[[#This Row],[CléRéseau-Rize horsmed]])</f>
        <v>4.1841004184100415E-3</v>
      </c>
      <c r="R86" s="186" t="str">
        <f>IF(COUNTIF(RIZE,T_sept_dec[[#This Row],[Secteur organisateur]]),"Rize_"&amp;T_sept_dec[[#This Row],[Enseignant référent (Nom Prénom)]],"")</f>
        <v/>
      </c>
      <c r="S86" s="186">
        <f>1/COUNTIF(T_sept_dec[CléRize],T_sept_dec[[#This Row],[CléRize]])</f>
        <v>4.048582995951417E-3</v>
      </c>
      <c r="T86" s="186" t="str">
        <f>IF(COUNTIF(Total,T_sept_dec[[#This Row],[Secteur organisateur]]),"Total_"&amp;T_sept_dec[[#This Row],[Enseignant référent (Nom Prénom)]],"")</f>
        <v/>
      </c>
      <c r="U86" s="186">
        <f>1/COUNTIF(T_sept_dec[cléTotal],T_sept_dec[[#This Row],[cléTotal]])</f>
        <v>4.1841004184100415E-3</v>
      </c>
    </row>
    <row r="87" spans="11:21">
      <c r="K87" s="21" t="str">
        <f>IF(COUNTIF(Maternelle,E87)=1,listes!$T$1,IF(COUNTIF(Elémentaire,E87)=1,listes!$U$1,IF(COUNTIF(Collège,E87)=1,listes!$V$1,IF(COUNTIF(Lycée,E87)=1,listes!$W$1,""))))</f>
        <v/>
      </c>
      <c r="L87" s="21" t="str">
        <f>IF(COUNTIF(Perralière,D87)=1,listes!$P$1,IF(COUNTIF(Buers,D87)=1,listes!$J$1,IF(COUNTIF(Charpennes,D87)=1,listes!$K$1,IF(COUNTIF(Cusset,D87)=1,listes!$L$1,IF(COUNTIF(Cyprien,D87)=1,listes!$M$1,IF(COUNTIF(Ferrandière,D87)=1,listes!$N$1,IF(COUNTIF(Gratteciel,D87)=1,listes!$O$1,IF(COUNTIF(Saintjean,D87)=1,listes!$Q$1,IF(COUNTIF(horsvilleurbanne,D87)=1,listes!$R$1,"")))))))))</f>
        <v/>
      </c>
      <c r="M87" s="21" t="str">
        <f t="shared" si="1"/>
        <v/>
      </c>
      <c r="N87" s="21" t="str">
        <f>T_sept_dec[[#This Row],[Etablissement accueillant]]&amp;"-"&amp;T_sept_dec[[#This Row],[Enseignant référent (Nom Prénom)]]</f>
        <v>-</v>
      </c>
      <c r="O87" s="21">
        <f>1/COUNTIF(T_sept_dec[CléEtablissement],T_sept_dec[[#This Row],[CléEtablissement]])</f>
        <v>4.1841004184100415E-3</v>
      </c>
      <c r="P8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7" s="186">
        <f>1/COUNTIF(T_sept_dec[CléRéseau-Rize horsmed],T_sept_dec[[#This Row],[CléRéseau-Rize horsmed]])</f>
        <v>4.1841004184100415E-3</v>
      </c>
      <c r="R87" s="186" t="str">
        <f>IF(COUNTIF(RIZE,T_sept_dec[[#This Row],[Secteur organisateur]]),"Rize_"&amp;T_sept_dec[[#This Row],[Enseignant référent (Nom Prénom)]],"")</f>
        <v/>
      </c>
      <c r="S87" s="186">
        <f>1/COUNTIF(T_sept_dec[CléRize],T_sept_dec[[#This Row],[CléRize]])</f>
        <v>4.048582995951417E-3</v>
      </c>
      <c r="T87" s="186" t="str">
        <f>IF(COUNTIF(Total,T_sept_dec[[#This Row],[Secteur organisateur]]),"Total_"&amp;T_sept_dec[[#This Row],[Enseignant référent (Nom Prénom)]],"")</f>
        <v/>
      </c>
      <c r="U87" s="186">
        <f>1/COUNTIF(T_sept_dec[cléTotal],T_sept_dec[[#This Row],[cléTotal]])</f>
        <v>4.1841004184100415E-3</v>
      </c>
    </row>
    <row r="88" spans="11:21">
      <c r="K88" s="21" t="str">
        <f>IF(COUNTIF(Maternelle,E88)=1,listes!$T$1,IF(COUNTIF(Elémentaire,E88)=1,listes!$U$1,IF(COUNTIF(Collège,E88)=1,listes!$V$1,IF(COUNTIF(Lycée,E88)=1,listes!$W$1,""))))</f>
        <v/>
      </c>
      <c r="L88" s="21" t="str">
        <f>IF(COUNTIF(Perralière,D88)=1,listes!$P$1,IF(COUNTIF(Buers,D88)=1,listes!$J$1,IF(COUNTIF(Charpennes,D88)=1,listes!$K$1,IF(COUNTIF(Cusset,D88)=1,listes!$L$1,IF(COUNTIF(Cyprien,D88)=1,listes!$M$1,IF(COUNTIF(Ferrandière,D88)=1,listes!$N$1,IF(COUNTIF(Gratteciel,D88)=1,listes!$O$1,IF(COUNTIF(Saintjean,D88)=1,listes!$Q$1,IF(COUNTIF(horsvilleurbanne,D88)=1,listes!$R$1,"")))))))))</f>
        <v/>
      </c>
      <c r="M88" s="21" t="str">
        <f t="shared" si="1"/>
        <v/>
      </c>
      <c r="N88" s="21" t="str">
        <f>T_sept_dec[[#This Row],[Etablissement accueillant]]&amp;"-"&amp;T_sept_dec[[#This Row],[Enseignant référent (Nom Prénom)]]</f>
        <v>-</v>
      </c>
      <c r="O88" s="21">
        <f>1/COUNTIF(T_sept_dec[CléEtablissement],T_sept_dec[[#This Row],[CléEtablissement]])</f>
        <v>4.1841004184100415E-3</v>
      </c>
      <c r="P8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8" s="186">
        <f>1/COUNTIF(T_sept_dec[CléRéseau-Rize horsmed],T_sept_dec[[#This Row],[CléRéseau-Rize horsmed]])</f>
        <v>4.1841004184100415E-3</v>
      </c>
      <c r="R88" s="186" t="str">
        <f>IF(COUNTIF(RIZE,T_sept_dec[[#This Row],[Secteur organisateur]]),"Rize_"&amp;T_sept_dec[[#This Row],[Enseignant référent (Nom Prénom)]],"")</f>
        <v/>
      </c>
      <c r="S88" s="186">
        <f>1/COUNTIF(T_sept_dec[CléRize],T_sept_dec[[#This Row],[CléRize]])</f>
        <v>4.048582995951417E-3</v>
      </c>
      <c r="T88" s="186" t="str">
        <f>IF(COUNTIF(Total,T_sept_dec[[#This Row],[Secteur organisateur]]),"Total_"&amp;T_sept_dec[[#This Row],[Enseignant référent (Nom Prénom)]],"")</f>
        <v/>
      </c>
      <c r="U88" s="186">
        <f>1/COUNTIF(T_sept_dec[cléTotal],T_sept_dec[[#This Row],[cléTotal]])</f>
        <v>4.1841004184100415E-3</v>
      </c>
    </row>
    <row r="89" spans="11:21">
      <c r="K89" s="21" t="str">
        <f>IF(COUNTIF(Maternelle,E89)=1,listes!$T$1,IF(COUNTIF(Elémentaire,E89)=1,listes!$U$1,IF(COUNTIF(Collège,E89)=1,listes!$V$1,IF(COUNTIF(Lycée,E89)=1,listes!$W$1,""))))</f>
        <v/>
      </c>
      <c r="L89" s="21" t="str">
        <f>IF(COUNTIF(Perralière,D89)=1,listes!$P$1,IF(COUNTIF(Buers,D89)=1,listes!$J$1,IF(COUNTIF(Charpennes,D89)=1,listes!$K$1,IF(COUNTIF(Cusset,D89)=1,listes!$L$1,IF(COUNTIF(Cyprien,D89)=1,listes!$M$1,IF(COUNTIF(Ferrandière,D89)=1,listes!$N$1,IF(COUNTIF(Gratteciel,D89)=1,listes!$O$1,IF(COUNTIF(Saintjean,D89)=1,listes!$Q$1,IF(COUNTIF(horsvilleurbanne,D89)=1,listes!$R$1,"")))))))))</f>
        <v/>
      </c>
      <c r="M89" s="21" t="str">
        <f t="shared" si="1"/>
        <v/>
      </c>
      <c r="N89" s="21" t="str">
        <f>T_sept_dec[[#This Row],[Etablissement accueillant]]&amp;"-"&amp;T_sept_dec[[#This Row],[Enseignant référent (Nom Prénom)]]</f>
        <v>-</v>
      </c>
      <c r="O89" s="21">
        <f>1/COUNTIF(T_sept_dec[CléEtablissement],T_sept_dec[[#This Row],[CléEtablissement]])</f>
        <v>4.1841004184100415E-3</v>
      </c>
      <c r="P8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89" s="186">
        <f>1/COUNTIF(T_sept_dec[CléRéseau-Rize horsmed],T_sept_dec[[#This Row],[CléRéseau-Rize horsmed]])</f>
        <v>4.1841004184100415E-3</v>
      </c>
      <c r="R89" s="186" t="str">
        <f>IF(COUNTIF(RIZE,T_sept_dec[[#This Row],[Secteur organisateur]]),"Rize_"&amp;T_sept_dec[[#This Row],[Enseignant référent (Nom Prénom)]],"")</f>
        <v/>
      </c>
      <c r="S89" s="186">
        <f>1/COUNTIF(T_sept_dec[CléRize],T_sept_dec[[#This Row],[CléRize]])</f>
        <v>4.048582995951417E-3</v>
      </c>
      <c r="T89" s="186" t="str">
        <f>IF(COUNTIF(Total,T_sept_dec[[#This Row],[Secteur organisateur]]),"Total_"&amp;T_sept_dec[[#This Row],[Enseignant référent (Nom Prénom)]],"")</f>
        <v/>
      </c>
      <c r="U89" s="186">
        <f>1/COUNTIF(T_sept_dec[cléTotal],T_sept_dec[[#This Row],[cléTotal]])</f>
        <v>4.1841004184100415E-3</v>
      </c>
    </row>
    <row r="90" spans="11:21">
      <c r="K90" s="21" t="str">
        <f>IF(COUNTIF(Maternelle,E90)=1,listes!$T$1,IF(COUNTIF(Elémentaire,E90)=1,listes!$U$1,IF(COUNTIF(Collège,E90)=1,listes!$V$1,IF(COUNTIF(Lycée,E90)=1,listes!$W$1,""))))</f>
        <v/>
      </c>
      <c r="L90" s="21" t="str">
        <f>IF(COUNTIF(Perralière,D90)=1,listes!$P$1,IF(COUNTIF(Buers,D90)=1,listes!$J$1,IF(COUNTIF(Charpennes,D90)=1,listes!$K$1,IF(COUNTIF(Cusset,D90)=1,listes!$L$1,IF(COUNTIF(Cyprien,D90)=1,listes!$M$1,IF(COUNTIF(Ferrandière,D90)=1,listes!$N$1,IF(COUNTIF(Gratteciel,D90)=1,listes!$O$1,IF(COUNTIF(Saintjean,D90)=1,listes!$Q$1,IF(COUNTIF(horsvilleurbanne,D90)=1,listes!$R$1,"")))))))))</f>
        <v/>
      </c>
      <c r="M90" s="21" t="str">
        <f t="shared" si="1"/>
        <v/>
      </c>
      <c r="N90" s="21" t="str">
        <f>T_sept_dec[[#This Row],[Etablissement accueillant]]&amp;"-"&amp;T_sept_dec[[#This Row],[Enseignant référent (Nom Prénom)]]</f>
        <v>-</v>
      </c>
      <c r="O90" s="21">
        <f>1/COUNTIF(T_sept_dec[CléEtablissement],T_sept_dec[[#This Row],[CléEtablissement]])</f>
        <v>4.1841004184100415E-3</v>
      </c>
      <c r="P9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0" s="186">
        <f>1/COUNTIF(T_sept_dec[CléRéseau-Rize horsmed],T_sept_dec[[#This Row],[CléRéseau-Rize horsmed]])</f>
        <v>4.1841004184100415E-3</v>
      </c>
      <c r="R90" s="186" t="str">
        <f>IF(COUNTIF(RIZE,T_sept_dec[[#This Row],[Secteur organisateur]]),"Rize_"&amp;T_sept_dec[[#This Row],[Enseignant référent (Nom Prénom)]],"")</f>
        <v/>
      </c>
      <c r="S90" s="186">
        <f>1/COUNTIF(T_sept_dec[CléRize],T_sept_dec[[#This Row],[CléRize]])</f>
        <v>4.048582995951417E-3</v>
      </c>
      <c r="T90" s="186" t="str">
        <f>IF(COUNTIF(Total,T_sept_dec[[#This Row],[Secteur organisateur]]),"Total_"&amp;T_sept_dec[[#This Row],[Enseignant référent (Nom Prénom)]],"")</f>
        <v/>
      </c>
      <c r="U90" s="186">
        <f>1/COUNTIF(T_sept_dec[cléTotal],T_sept_dec[[#This Row],[cléTotal]])</f>
        <v>4.1841004184100415E-3</v>
      </c>
    </row>
    <row r="91" spans="11:21">
      <c r="K91" s="21" t="str">
        <f>IF(COUNTIF(Maternelle,E91)=1,listes!$T$1,IF(COUNTIF(Elémentaire,E91)=1,listes!$U$1,IF(COUNTIF(Collège,E91)=1,listes!$V$1,IF(COUNTIF(Lycée,E91)=1,listes!$W$1,""))))</f>
        <v/>
      </c>
      <c r="L91" s="21" t="str">
        <f>IF(COUNTIF(Perralière,D91)=1,listes!$P$1,IF(COUNTIF(Buers,D91)=1,listes!$J$1,IF(COUNTIF(Charpennes,D91)=1,listes!$K$1,IF(COUNTIF(Cusset,D91)=1,listes!$L$1,IF(COUNTIF(Cyprien,D91)=1,listes!$M$1,IF(COUNTIF(Ferrandière,D91)=1,listes!$N$1,IF(COUNTIF(Gratteciel,D91)=1,listes!$O$1,IF(COUNTIF(Saintjean,D91)=1,listes!$Q$1,IF(COUNTIF(horsvilleurbanne,D91)=1,listes!$R$1,"")))))))))</f>
        <v/>
      </c>
      <c r="M91" s="21" t="str">
        <f t="shared" si="1"/>
        <v/>
      </c>
      <c r="N91" s="21" t="str">
        <f>T_sept_dec[[#This Row],[Etablissement accueillant]]&amp;"-"&amp;T_sept_dec[[#This Row],[Enseignant référent (Nom Prénom)]]</f>
        <v>-</v>
      </c>
      <c r="O91" s="21">
        <f>1/COUNTIF(T_sept_dec[CléEtablissement],T_sept_dec[[#This Row],[CléEtablissement]])</f>
        <v>4.1841004184100415E-3</v>
      </c>
      <c r="P9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1" s="186">
        <f>1/COUNTIF(T_sept_dec[CléRéseau-Rize horsmed],T_sept_dec[[#This Row],[CléRéseau-Rize horsmed]])</f>
        <v>4.1841004184100415E-3</v>
      </c>
      <c r="R91" s="186" t="str">
        <f>IF(COUNTIF(RIZE,T_sept_dec[[#This Row],[Secteur organisateur]]),"Rize_"&amp;T_sept_dec[[#This Row],[Enseignant référent (Nom Prénom)]],"")</f>
        <v/>
      </c>
      <c r="S91" s="186">
        <f>1/COUNTIF(T_sept_dec[CléRize],T_sept_dec[[#This Row],[CléRize]])</f>
        <v>4.048582995951417E-3</v>
      </c>
      <c r="T91" s="186" t="str">
        <f>IF(COUNTIF(Total,T_sept_dec[[#This Row],[Secteur organisateur]]),"Total_"&amp;T_sept_dec[[#This Row],[Enseignant référent (Nom Prénom)]],"")</f>
        <v/>
      </c>
      <c r="U91" s="186">
        <f>1/COUNTIF(T_sept_dec[cléTotal],T_sept_dec[[#This Row],[cléTotal]])</f>
        <v>4.1841004184100415E-3</v>
      </c>
    </row>
    <row r="92" spans="11:21">
      <c r="K92" s="21" t="str">
        <f>IF(COUNTIF(Maternelle,E92)=1,listes!$T$1,IF(COUNTIF(Elémentaire,E92)=1,listes!$U$1,IF(COUNTIF(Collège,E92)=1,listes!$V$1,IF(COUNTIF(Lycée,E92)=1,listes!$W$1,""))))</f>
        <v/>
      </c>
      <c r="L92" s="21" t="str">
        <f>IF(COUNTIF(Perralière,D92)=1,listes!$P$1,IF(COUNTIF(Buers,D92)=1,listes!$J$1,IF(COUNTIF(Charpennes,D92)=1,listes!$K$1,IF(COUNTIF(Cusset,D92)=1,listes!$L$1,IF(COUNTIF(Cyprien,D92)=1,listes!$M$1,IF(COUNTIF(Ferrandière,D92)=1,listes!$N$1,IF(COUNTIF(Gratteciel,D92)=1,listes!$O$1,IF(COUNTIF(Saintjean,D92)=1,listes!$Q$1,IF(COUNTIF(horsvilleurbanne,D92)=1,listes!$R$1,"")))))))))</f>
        <v/>
      </c>
      <c r="M92" s="21" t="str">
        <f t="shared" si="1"/>
        <v/>
      </c>
      <c r="N92" s="21" t="str">
        <f>T_sept_dec[[#This Row],[Etablissement accueillant]]&amp;"-"&amp;T_sept_dec[[#This Row],[Enseignant référent (Nom Prénom)]]</f>
        <v>-</v>
      </c>
      <c r="O92" s="21">
        <f>1/COUNTIF(T_sept_dec[CléEtablissement],T_sept_dec[[#This Row],[CléEtablissement]])</f>
        <v>4.1841004184100415E-3</v>
      </c>
      <c r="P9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2" s="186">
        <f>1/COUNTIF(T_sept_dec[CléRéseau-Rize horsmed],T_sept_dec[[#This Row],[CléRéseau-Rize horsmed]])</f>
        <v>4.1841004184100415E-3</v>
      </c>
      <c r="R92" s="186" t="str">
        <f>IF(COUNTIF(RIZE,T_sept_dec[[#This Row],[Secteur organisateur]]),"Rize_"&amp;T_sept_dec[[#This Row],[Enseignant référent (Nom Prénom)]],"")</f>
        <v/>
      </c>
      <c r="S92" s="186">
        <f>1/COUNTIF(T_sept_dec[CléRize],T_sept_dec[[#This Row],[CléRize]])</f>
        <v>4.048582995951417E-3</v>
      </c>
      <c r="T92" s="186" t="str">
        <f>IF(COUNTIF(Total,T_sept_dec[[#This Row],[Secteur organisateur]]),"Total_"&amp;T_sept_dec[[#This Row],[Enseignant référent (Nom Prénom)]],"")</f>
        <v/>
      </c>
      <c r="U92" s="186">
        <f>1/COUNTIF(T_sept_dec[cléTotal],T_sept_dec[[#This Row],[cléTotal]])</f>
        <v>4.1841004184100415E-3</v>
      </c>
    </row>
    <row r="93" spans="11:21">
      <c r="K93" s="21" t="str">
        <f>IF(COUNTIF(Maternelle,E93)=1,listes!$T$1,IF(COUNTIF(Elémentaire,E93)=1,listes!$U$1,IF(COUNTIF(Collège,E93)=1,listes!$V$1,IF(COUNTIF(Lycée,E93)=1,listes!$W$1,""))))</f>
        <v/>
      </c>
      <c r="L93" s="21" t="str">
        <f>IF(COUNTIF(Perralière,D93)=1,listes!$P$1,IF(COUNTIF(Buers,D93)=1,listes!$J$1,IF(COUNTIF(Charpennes,D93)=1,listes!$K$1,IF(COUNTIF(Cusset,D93)=1,listes!$L$1,IF(COUNTIF(Cyprien,D93)=1,listes!$M$1,IF(COUNTIF(Ferrandière,D93)=1,listes!$N$1,IF(COUNTIF(Gratteciel,D93)=1,listes!$O$1,IF(COUNTIF(Saintjean,D93)=1,listes!$Q$1,IF(COUNTIF(horsvilleurbanne,D93)=1,listes!$R$1,"")))))))))</f>
        <v/>
      </c>
      <c r="M93" s="21" t="str">
        <f t="shared" si="1"/>
        <v/>
      </c>
      <c r="N93" s="21" t="str">
        <f>T_sept_dec[[#This Row],[Etablissement accueillant]]&amp;"-"&amp;T_sept_dec[[#This Row],[Enseignant référent (Nom Prénom)]]</f>
        <v>-</v>
      </c>
      <c r="O93" s="21">
        <f>1/COUNTIF(T_sept_dec[CléEtablissement],T_sept_dec[[#This Row],[CléEtablissement]])</f>
        <v>4.1841004184100415E-3</v>
      </c>
      <c r="P9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3" s="186">
        <f>1/COUNTIF(T_sept_dec[CléRéseau-Rize horsmed],T_sept_dec[[#This Row],[CléRéseau-Rize horsmed]])</f>
        <v>4.1841004184100415E-3</v>
      </c>
      <c r="R93" s="186" t="str">
        <f>IF(COUNTIF(RIZE,T_sept_dec[[#This Row],[Secteur organisateur]]),"Rize_"&amp;T_sept_dec[[#This Row],[Enseignant référent (Nom Prénom)]],"")</f>
        <v/>
      </c>
      <c r="S93" s="186">
        <f>1/COUNTIF(T_sept_dec[CléRize],T_sept_dec[[#This Row],[CléRize]])</f>
        <v>4.048582995951417E-3</v>
      </c>
      <c r="T93" s="186" t="str">
        <f>IF(COUNTIF(Total,T_sept_dec[[#This Row],[Secteur organisateur]]),"Total_"&amp;T_sept_dec[[#This Row],[Enseignant référent (Nom Prénom)]],"")</f>
        <v/>
      </c>
      <c r="U93" s="186">
        <f>1/COUNTIF(T_sept_dec[cléTotal],T_sept_dec[[#This Row],[cléTotal]])</f>
        <v>4.1841004184100415E-3</v>
      </c>
    </row>
    <row r="94" spans="11:21">
      <c r="K94" s="21" t="str">
        <f>IF(COUNTIF(Maternelle,E94)=1,listes!$T$1,IF(COUNTIF(Elémentaire,E94)=1,listes!$U$1,IF(COUNTIF(Collège,E94)=1,listes!$V$1,IF(COUNTIF(Lycée,E94)=1,listes!$W$1,""))))</f>
        <v/>
      </c>
      <c r="L94" s="21" t="str">
        <f>IF(COUNTIF(Perralière,D94)=1,listes!$P$1,IF(COUNTIF(Buers,D94)=1,listes!$J$1,IF(COUNTIF(Charpennes,D94)=1,listes!$K$1,IF(COUNTIF(Cusset,D94)=1,listes!$L$1,IF(COUNTIF(Cyprien,D94)=1,listes!$M$1,IF(COUNTIF(Ferrandière,D94)=1,listes!$N$1,IF(COUNTIF(Gratteciel,D94)=1,listes!$O$1,IF(COUNTIF(Saintjean,D94)=1,listes!$Q$1,IF(COUNTIF(horsvilleurbanne,D94)=1,listes!$R$1,"")))))))))</f>
        <v/>
      </c>
      <c r="M94" s="21" t="str">
        <f t="shared" si="1"/>
        <v/>
      </c>
      <c r="N94" s="21" t="str">
        <f>T_sept_dec[[#This Row],[Etablissement accueillant]]&amp;"-"&amp;T_sept_dec[[#This Row],[Enseignant référent (Nom Prénom)]]</f>
        <v>-</v>
      </c>
      <c r="O94" s="21">
        <f>1/COUNTIF(T_sept_dec[CléEtablissement],T_sept_dec[[#This Row],[CléEtablissement]])</f>
        <v>4.1841004184100415E-3</v>
      </c>
      <c r="P9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4" s="186">
        <f>1/COUNTIF(T_sept_dec[CléRéseau-Rize horsmed],T_sept_dec[[#This Row],[CléRéseau-Rize horsmed]])</f>
        <v>4.1841004184100415E-3</v>
      </c>
      <c r="R94" s="186" t="str">
        <f>IF(COUNTIF(RIZE,T_sept_dec[[#This Row],[Secteur organisateur]]),"Rize_"&amp;T_sept_dec[[#This Row],[Enseignant référent (Nom Prénom)]],"")</f>
        <v/>
      </c>
      <c r="S94" s="186">
        <f>1/COUNTIF(T_sept_dec[CléRize],T_sept_dec[[#This Row],[CléRize]])</f>
        <v>4.048582995951417E-3</v>
      </c>
      <c r="T94" s="186" t="str">
        <f>IF(COUNTIF(Total,T_sept_dec[[#This Row],[Secteur organisateur]]),"Total_"&amp;T_sept_dec[[#This Row],[Enseignant référent (Nom Prénom)]],"")</f>
        <v/>
      </c>
      <c r="U94" s="186">
        <f>1/COUNTIF(T_sept_dec[cléTotal],T_sept_dec[[#This Row],[cléTotal]])</f>
        <v>4.1841004184100415E-3</v>
      </c>
    </row>
    <row r="95" spans="11:21">
      <c r="K95" s="21" t="str">
        <f>IF(COUNTIF(Maternelle,E95)=1,listes!$T$1,IF(COUNTIF(Elémentaire,E95)=1,listes!$U$1,IF(COUNTIF(Collège,E95)=1,listes!$V$1,IF(COUNTIF(Lycée,E95)=1,listes!$W$1,""))))</f>
        <v/>
      </c>
      <c r="L95" s="21" t="str">
        <f>IF(COUNTIF(Perralière,D95)=1,listes!$P$1,IF(COUNTIF(Buers,D95)=1,listes!$J$1,IF(COUNTIF(Charpennes,D95)=1,listes!$K$1,IF(COUNTIF(Cusset,D95)=1,listes!$L$1,IF(COUNTIF(Cyprien,D95)=1,listes!$M$1,IF(COUNTIF(Ferrandière,D95)=1,listes!$N$1,IF(COUNTIF(Gratteciel,D95)=1,listes!$O$1,IF(COUNTIF(Saintjean,D95)=1,listes!$Q$1,IF(COUNTIF(horsvilleurbanne,D95)=1,listes!$R$1,"")))))))))</f>
        <v/>
      </c>
      <c r="M95" s="21" t="str">
        <f t="shared" si="1"/>
        <v/>
      </c>
      <c r="N95" s="21" t="str">
        <f>T_sept_dec[[#This Row],[Etablissement accueillant]]&amp;"-"&amp;T_sept_dec[[#This Row],[Enseignant référent (Nom Prénom)]]</f>
        <v>-</v>
      </c>
      <c r="O95" s="21">
        <f>1/COUNTIF(T_sept_dec[CléEtablissement],T_sept_dec[[#This Row],[CléEtablissement]])</f>
        <v>4.1841004184100415E-3</v>
      </c>
      <c r="P9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5" s="186">
        <f>1/COUNTIF(T_sept_dec[CléRéseau-Rize horsmed],T_sept_dec[[#This Row],[CléRéseau-Rize horsmed]])</f>
        <v>4.1841004184100415E-3</v>
      </c>
      <c r="R95" s="186" t="str">
        <f>IF(COUNTIF(RIZE,T_sept_dec[[#This Row],[Secteur organisateur]]),"Rize_"&amp;T_sept_dec[[#This Row],[Enseignant référent (Nom Prénom)]],"")</f>
        <v/>
      </c>
      <c r="S95" s="186">
        <f>1/COUNTIF(T_sept_dec[CléRize],T_sept_dec[[#This Row],[CléRize]])</f>
        <v>4.048582995951417E-3</v>
      </c>
      <c r="T95" s="186" t="str">
        <f>IF(COUNTIF(Total,T_sept_dec[[#This Row],[Secteur organisateur]]),"Total_"&amp;T_sept_dec[[#This Row],[Enseignant référent (Nom Prénom)]],"")</f>
        <v/>
      </c>
      <c r="U95" s="186">
        <f>1/COUNTIF(T_sept_dec[cléTotal],T_sept_dec[[#This Row],[cléTotal]])</f>
        <v>4.1841004184100415E-3</v>
      </c>
    </row>
    <row r="96" spans="11:21">
      <c r="K96" s="21" t="str">
        <f>IF(COUNTIF(Maternelle,E96)=1,listes!$T$1,IF(COUNTIF(Elémentaire,E96)=1,listes!$U$1,IF(COUNTIF(Collège,E96)=1,listes!$V$1,IF(COUNTIF(Lycée,E96)=1,listes!$W$1,""))))</f>
        <v/>
      </c>
      <c r="L96" s="21" t="str">
        <f>IF(COUNTIF(Perralière,D96)=1,listes!$P$1,IF(COUNTIF(Buers,D96)=1,listes!$J$1,IF(COUNTIF(Charpennes,D96)=1,listes!$K$1,IF(COUNTIF(Cusset,D96)=1,listes!$L$1,IF(COUNTIF(Cyprien,D96)=1,listes!$M$1,IF(COUNTIF(Ferrandière,D96)=1,listes!$N$1,IF(COUNTIF(Gratteciel,D96)=1,listes!$O$1,IF(COUNTIF(Saintjean,D96)=1,listes!$Q$1,IF(COUNTIF(horsvilleurbanne,D96)=1,listes!$R$1,"")))))))))</f>
        <v/>
      </c>
      <c r="M96" s="21" t="str">
        <f t="shared" si="1"/>
        <v/>
      </c>
      <c r="N96" s="21" t="str">
        <f>T_sept_dec[[#This Row],[Etablissement accueillant]]&amp;"-"&amp;T_sept_dec[[#This Row],[Enseignant référent (Nom Prénom)]]</f>
        <v>-</v>
      </c>
      <c r="O96" s="21">
        <f>1/COUNTIF(T_sept_dec[CléEtablissement],T_sept_dec[[#This Row],[CléEtablissement]])</f>
        <v>4.1841004184100415E-3</v>
      </c>
      <c r="P9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6" s="186">
        <f>1/COUNTIF(T_sept_dec[CléRéseau-Rize horsmed],T_sept_dec[[#This Row],[CléRéseau-Rize horsmed]])</f>
        <v>4.1841004184100415E-3</v>
      </c>
      <c r="R96" s="186" t="str">
        <f>IF(COUNTIF(RIZE,T_sept_dec[[#This Row],[Secteur organisateur]]),"Rize_"&amp;T_sept_dec[[#This Row],[Enseignant référent (Nom Prénom)]],"")</f>
        <v/>
      </c>
      <c r="S96" s="186">
        <f>1/COUNTIF(T_sept_dec[CléRize],T_sept_dec[[#This Row],[CléRize]])</f>
        <v>4.048582995951417E-3</v>
      </c>
      <c r="T96" s="186" t="str">
        <f>IF(COUNTIF(Total,T_sept_dec[[#This Row],[Secteur organisateur]]),"Total_"&amp;T_sept_dec[[#This Row],[Enseignant référent (Nom Prénom)]],"")</f>
        <v/>
      </c>
      <c r="U96" s="186">
        <f>1/COUNTIF(T_sept_dec[cléTotal],T_sept_dec[[#This Row],[cléTotal]])</f>
        <v>4.1841004184100415E-3</v>
      </c>
    </row>
    <row r="97" spans="11:21">
      <c r="K97" s="21" t="str">
        <f>IF(COUNTIF(Maternelle,E97)=1,listes!$T$1,IF(COUNTIF(Elémentaire,E97)=1,listes!$U$1,IF(COUNTIF(Collège,E97)=1,listes!$V$1,IF(COUNTIF(Lycée,E97)=1,listes!$W$1,""))))</f>
        <v/>
      </c>
      <c r="L97" s="21" t="str">
        <f>IF(COUNTIF(Perralière,D97)=1,listes!$P$1,IF(COUNTIF(Buers,D97)=1,listes!$J$1,IF(COUNTIF(Charpennes,D97)=1,listes!$K$1,IF(COUNTIF(Cusset,D97)=1,listes!$L$1,IF(COUNTIF(Cyprien,D97)=1,listes!$M$1,IF(COUNTIF(Ferrandière,D97)=1,listes!$N$1,IF(COUNTIF(Gratteciel,D97)=1,listes!$O$1,IF(COUNTIF(Saintjean,D97)=1,listes!$Q$1,IF(COUNTIF(horsvilleurbanne,D97)=1,listes!$R$1,"")))))))))</f>
        <v/>
      </c>
      <c r="M97" s="21" t="str">
        <f t="shared" si="1"/>
        <v/>
      </c>
      <c r="N97" s="21" t="str">
        <f>T_sept_dec[[#This Row],[Etablissement accueillant]]&amp;"-"&amp;T_sept_dec[[#This Row],[Enseignant référent (Nom Prénom)]]</f>
        <v>-</v>
      </c>
      <c r="O97" s="21">
        <f>1/COUNTIF(T_sept_dec[CléEtablissement],T_sept_dec[[#This Row],[CléEtablissement]])</f>
        <v>4.1841004184100415E-3</v>
      </c>
      <c r="P9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7" s="186">
        <f>1/COUNTIF(T_sept_dec[CléRéseau-Rize horsmed],T_sept_dec[[#This Row],[CléRéseau-Rize horsmed]])</f>
        <v>4.1841004184100415E-3</v>
      </c>
      <c r="R97" s="186" t="str">
        <f>IF(COUNTIF(RIZE,T_sept_dec[[#This Row],[Secteur organisateur]]),"Rize_"&amp;T_sept_dec[[#This Row],[Enseignant référent (Nom Prénom)]],"")</f>
        <v/>
      </c>
      <c r="S97" s="186">
        <f>1/COUNTIF(T_sept_dec[CléRize],T_sept_dec[[#This Row],[CléRize]])</f>
        <v>4.048582995951417E-3</v>
      </c>
      <c r="T97" s="186" t="str">
        <f>IF(COUNTIF(Total,T_sept_dec[[#This Row],[Secteur organisateur]]),"Total_"&amp;T_sept_dec[[#This Row],[Enseignant référent (Nom Prénom)]],"")</f>
        <v/>
      </c>
      <c r="U97" s="186">
        <f>1/COUNTIF(T_sept_dec[cléTotal],T_sept_dec[[#This Row],[cléTotal]])</f>
        <v>4.1841004184100415E-3</v>
      </c>
    </row>
    <row r="98" spans="11:21">
      <c r="K98" s="21" t="str">
        <f>IF(COUNTIF(Maternelle,E98)=1,listes!$T$1,IF(COUNTIF(Elémentaire,E98)=1,listes!$U$1,IF(COUNTIF(Collège,E98)=1,listes!$V$1,IF(COUNTIF(Lycée,E98)=1,listes!$W$1,""))))</f>
        <v/>
      </c>
      <c r="L98" s="21" t="str">
        <f>IF(COUNTIF(Perralière,D98)=1,listes!$P$1,IF(COUNTIF(Buers,D98)=1,listes!$J$1,IF(COUNTIF(Charpennes,D98)=1,listes!$K$1,IF(COUNTIF(Cusset,D98)=1,listes!$L$1,IF(COUNTIF(Cyprien,D98)=1,listes!$M$1,IF(COUNTIF(Ferrandière,D98)=1,listes!$N$1,IF(COUNTIF(Gratteciel,D98)=1,listes!$O$1,IF(COUNTIF(Saintjean,D98)=1,listes!$Q$1,IF(COUNTIF(horsvilleurbanne,D98)=1,listes!$R$1,"")))))))))</f>
        <v/>
      </c>
      <c r="M98" s="21" t="str">
        <f t="shared" si="1"/>
        <v/>
      </c>
      <c r="N98" s="21" t="str">
        <f>T_sept_dec[[#This Row],[Etablissement accueillant]]&amp;"-"&amp;T_sept_dec[[#This Row],[Enseignant référent (Nom Prénom)]]</f>
        <v>-</v>
      </c>
      <c r="O98" s="21">
        <f>1/COUNTIF(T_sept_dec[CléEtablissement],T_sept_dec[[#This Row],[CléEtablissement]])</f>
        <v>4.1841004184100415E-3</v>
      </c>
      <c r="P9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8" s="186">
        <f>1/COUNTIF(T_sept_dec[CléRéseau-Rize horsmed],T_sept_dec[[#This Row],[CléRéseau-Rize horsmed]])</f>
        <v>4.1841004184100415E-3</v>
      </c>
      <c r="R98" s="186" t="str">
        <f>IF(COUNTIF(RIZE,T_sept_dec[[#This Row],[Secteur organisateur]]),"Rize_"&amp;T_sept_dec[[#This Row],[Enseignant référent (Nom Prénom)]],"")</f>
        <v/>
      </c>
      <c r="S98" s="186">
        <f>1/COUNTIF(T_sept_dec[CléRize],T_sept_dec[[#This Row],[CléRize]])</f>
        <v>4.048582995951417E-3</v>
      </c>
      <c r="T98" s="186" t="str">
        <f>IF(COUNTIF(Total,T_sept_dec[[#This Row],[Secteur organisateur]]),"Total_"&amp;T_sept_dec[[#This Row],[Enseignant référent (Nom Prénom)]],"")</f>
        <v/>
      </c>
      <c r="U98" s="186">
        <f>1/COUNTIF(T_sept_dec[cléTotal],T_sept_dec[[#This Row],[cléTotal]])</f>
        <v>4.1841004184100415E-3</v>
      </c>
    </row>
    <row r="99" spans="11:21">
      <c r="K99" s="21" t="str">
        <f>IF(COUNTIF(Maternelle,E99)=1,listes!$T$1,IF(COUNTIF(Elémentaire,E99)=1,listes!$U$1,IF(COUNTIF(Collège,E99)=1,listes!$V$1,IF(COUNTIF(Lycée,E99)=1,listes!$W$1,""))))</f>
        <v/>
      </c>
      <c r="L99" s="21" t="str">
        <f>IF(COUNTIF(Perralière,D99)=1,listes!$P$1,IF(COUNTIF(Buers,D99)=1,listes!$J$1,IF(COUNTIF(Charpennes,D99)=1,listes!$K$1,IF(COUNTIF(Cusset,D99)=1,listes!$L$1,IF(COUNTIF(Cyprien,D99)=1,listes!$M$1,IF(COUNTIF(Ferrandière,D99)=1,listes!$N$1,IF(COUNTIF(Gratteciel,D99)=1,listes!$O$1,IF(COUNTIF(Saintjean,D99)=1,listes!$Q$1,IF(COUNTIF(horsvilleurbanne,D99)=1,listes!$R$1,"")))))))))</f>
        <v/>
      </c>
      <c r="M99" s="21" t="str">
        <f t="shared" si="1"/>
        <v/>
      </c>
      <c r="N99" s="21" t="str">
        <f>T_sept_dec[[#This Row],[Etablissement accueillant]]&amp;"-"&amp;T_sept_dec[[#This Row],[Enseignant référent (Nom Prénom)]]</f>
        <v>-</v>
      </c>
      <c r="O99" s="21">
        <f>1/COUNTIF(T_sept_dec[CléEtablissement],T_sept_dec[[#This Row],[CléEtablissement]])</f>
        <v>4.1841004184100415E-3</v>
      </c>
      <c r="P9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99" s="186">
        <f>1/COUNTIF(T_sept_dec[CléRéseau-Rize horsmed],T_sept_dec[[#This Row],[CléRéseau-Rize horsmed]])</f>
        <v>4.1841004184100415E-3</v>
      </c>
      <c r="R99" s="186" t="str">
        <f>IF(COUNTIF(RIZE,T_sept_dec[[#This Row],[Secteur organisateur]]),"Rize_"&amp;T_sept_dec[[#This Row],[Enseignant référent (Nom Prénom)]],"")</f>
        <v/>
      </c>
      <c r="S99" s="186">
        <f>1/COUNTIF(T_sept_dec[CléRize],T_sept_dec[[#This Row],[CléRize]])</f>
        <v>4.048582995951417E-3</v>
      </c>
      <c r="T99" s="186" t="str">
        <f>IF(COUNTIF(Total,T_sept_dec[[#This Row],[Secteur organisateur]]),"Total_"&amp;T_sept_dec[[#This Row],[Enseignant référent (Nom Prénom)]],"")</f>
        <v/>
      </c>
      <c r="U99" s="186">
        <f>1/COUNTIF(T_sept_dec[cléTotal],T_sept_dec[[#This Row],[cléTotal]])</f>
        <v>4.1841004184100415E-3</v>
      </c>
    </row>
    <row r="100" spans="11:21">
      <c r="K100" s="21" t="str">
        <f>IF(COUNTIF(Maternelle,E100)=1,listes!$T$1,IF(COUNTIF(Elémentaire,E100)=1,listes!$U$1,IF(COUNTIF(Collège,E100)=1,listes!$V$1,IF(COUNTIF(Lycée,E100)=1,listes!$W$1,""))))</f>
        <v/>
      </c>
      <c r="L100" s="21" t="str">
        <f>IF(COUNTIF(Perralière,D100)=1,listes!$P$1,IF(COUNTIF(Buers,D100)=1,listes!$J$1,IF(COUNTIF(Charpennes,D100)=1,listes!$K$1,IF(COUNTIF(Cusset,D100)=1,listes!$L$1,IF(COUNTIF(Cyprien,D100)=1,listes!$M$1,IF(COUNTIF(Ferrandière,D100)=1,listes!$N$1,IF(COUNTIF(Gratteciel,D100)=1,listes!$O$1,IF(COUNTIF(Saintjean,D100)=1,listes!$Q$1,IF(COUNTIF(horsvilleurbanne,D100)=1,listes!$R$1,"")))))))))</f>
        <v/>
      </c>
      <c r="M100" s="21" t="str">
        <f t="shared" si="1"/>
        <v/>
      </c>
      <c r="N100" s="21" t="str">
        <f>T_sept_dec[[#This Row],[Etablissement accueillant]]&amp;"-"&amp;T_sept_dec[[#This Row],[Enseignant référent (Nom Prénom)]]</f>
        <v>-</v>
      </c>
      <c r="O100" s="21">
        <f>1/COUNTIF(T_sept_dec[CléEtablissement],T_sept_dec[[#This Row],[CléEtablissement]])</f>
        <v>4.1841004184100415E-3</v>
      </c>
      <c r="P10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0" s="186">
        <f>1/COUNTIF(T_sept_dec[CléRéseau-Rize horsmed],T_sept_dec[[#This Row],[CléRéseau-Rize horsmed]])</f>
        <v>4.1841004184100415E-3</v>
      </c>
      <c r="R100" s="186" t="str">
        <f>IF(COUNTIF(RIZE,T_sept_dec[[#This Row],[Secteur organisateur]]),"Rize_"&amp;T_sept_dec[[#This Row],[Enseignant référent (Nom Prénom)]],"")</f>
        <v/>
      </c>
      <c r="S100" s="186">
        <f>1/COUNTIF(T_sept_dec[CléRize],T_sept_dec[[#This Row],[CléRize]])</f>
        <v>4.048582995951417E-3</v>
      </c>
      <c r="T100" s="186" t="str">
        <f>IF(COUNTIF(Total,T_sept_dec[[#This Row],[Secteur organisateur]]),"Total_"&amp;T_sept_dec[[#This Row],[Enseignant référent (Nom Prénom)]],"")</f>
        <v/>
      </c>
      <c r="U100" s="186">
        <f>1/COUNTIF(T_sept_dec[cléTotal],T_sept_dec[[#This Row],[cléTotal]])</f>
        <v>4.1841004184100415E-3</v>
      </c>
    </row>
    <row r="101" spans="11:21">
      <c r="K101" s="21" t="str">
        <f>IF(COUNTIF(Maternelle,E101)=1,listes!$T$1,IF(COUNTIF(Elémentaire,E101)=1,listes!$U$1,IF(COUNTIF(Collège,E101)=1,listes!$V$1,IF(COUNTIF(Lycée,E101)=1,listes!$W$1,""))))</f>
        <v/>
      </c>
      <c r="L101" s="21" t="str">
        <f>IF(COUNTIF(Perralière,D101)=1,listes!$P$1,IF(COUNTIF(Buers,D101)=1,listes!$J$1,IF(COUNTIF(Charpennes,D101)=1,listes!$K$1,IF(COUNTIF(Cusset,D101)=1,listes!$L$1,IF(COUNTIF(Cyprien,D101)=1,listes!$M$1,IF(COUNTIF(Ferrandière,D101)=1,listes!$N$1,IF(COUNTIF(Gratteciel,D101)=1,listes!$O$1,IF(COUNTIF(Saintjean,D101)=1,listes!$Q$1,IF(COUNTIF(horsvilleurbanne,D101)=1,listes!$R$1,"")))))))))</f>
        <v/>
      </c>
      <c r="M101" s="21" t="str">
        <f t="shared" si="1"/>
        <v/>
      </c>
      <c r="N101" s="21" t="str">
        <f>T_sept_dec[[#This Row],[Etablissement accueillant]]&amp;"-"&amp;T_sept_dec[[#This Row],[Enseignant référent (Nom Prénom)]]</f>
        <v>-</v>
      </c>
      <c r="O101" s="21">
        <f>1/COUNTIF(T_sept_dec[CléEtablissement],T_sept_dec[[#This Row],[CléEtablissement]])</f>
        <v>4.1841004184100415E-3</v>
      </c>
      <c r="P10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1" s="186">
        <f>1/COUNTIF(T_sept_dec[CléRéseau-Rize horsmed],T_sept_dec[[#This Row],[CléRéseau-Rize horsmed]])</f>
        <v>4.1841004184100415E-3</v>
      </c>
      <c r="R101" s="186" t="str">
        <f>IF(COUNTIF(RIZE,T_sept_dec[[#This Row],[Secteur organisateur]]),"Rize_"&amp;T_sept_dec[[#This Row],[Enseignant référent (Nom Prénom)]],"")</f>
        <v/>
      </c>
      <c r="S101" s="186">
        <f>1/COUNTIF(T_sept_dec[CléRize],T_sept_dec[[#This Row],[CléRize]])</f>
        <v>4.048582995951417E-3</v>
      </c>
      <c r="T101" s="186" t="str">
        <f>IF(COUNTIF(Total,T_sept_dec[[#This Row],[Secteur organisateur]]),"Total_"&amp;T_sept_dec[[#This Row],[Enseignant référent (Nom Prénom)]],"")</f>
        <v/>
      </c>
      <c r="U101" s="186">
        <f>1/COUNTIF(T_sept_dec[cléTotal],T_sept_dec[[#This Row],[cléTotal]])</f>
        <v>4.1841004184100415E-3</v>
      </c>
    </row>
    <row r="102" spans="11:21">
      <c r="K102" s="21" t="str">
        <f>IF(COUNTIF(Maternelle,E102)=1,listes!$T$1,IF(COUNTIF(Elémentaire,E102)=1,listes!$U$1,IF(COUNTIF(Collège,E102)=1,listes!$V$1,IF(COUNTIF(Lycée,E102)=1,listes!$W$1,""))))</f>
        <v/>
      </c>
      <c r="L102" s="21" t="str">
        <f>IF(COUNTIF(Perralière,D102)=1,listes!$P$1,IF(COUNTIF(Buers,D102)=1,listes!$J$1,IF(COUNTIF(Charpennes,D102)=1,listes!$K$1,IF(COUNTIF(Cusset,D102)=1,listes!$L$1,IF(COUNTIF(Cyprien,D102)=1,listes!$M$1,IF(COUNTIF(Ferrandière,D102)=1,listes!$N$1,IF(COUNTIF(Gratteciel,D102)=1,listes!$O$1,IF(COUNTIF(Saintjean,D102)=1,listes!$Q$1,IF(COUNTIF(horsvilleurbanne,D102)=1,listes!$R$1,"")))))))))</f>
        <v/>
      </c>
      <c r="M102" s="21" t="str">
        <f t="shared" si="1"/>
        <v/>
      </c>
      <c r="N102" s="21" t="str">
        <f>T_sept_dec[[#This Row],[Etablissement accueillant]]&amp;"-"&amp;T_sept_dec[[#This Row],[Enseignant référent (Nom Prénom)]]</f>
        <v>-</v>
      </c>
      <c r="O102" s="21">
        <f>1/COUNTIF(T_sept_dec[CléEtablissement],T_sept_dec[[#This Row],[CléEtablissement]])</f>
        <v>4.1841004184100415E-3</v>
      </c>
      <c r="P10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2" s="186">
        <f>1/COUNTIF(T_sept_dec[CléRéseau-Rize horsmed],T_sept_dec[[#This Row],[CléRéseau-Rize horsmed]])</f>
        <v>4.1841004184100415E-3</v>
      </c>
      <c r="R102" s="186" t="str">
        <f>IF(COUNTIF(RIZE,T_sept_dec[[#This Row],[Secteur organisateur]]),"Rize_"&amp;T_sept_dec[[#This Row],[Enseignant référent (Nom Prénom)]],"")</f>
        <v/>
      </c>
      <c r="S102" s="186">
        <f>1/COUNTIF(T_sept_dec[CléRize],T_sept_dec[[#This Row],[CléRize]])</f>
        <v>4.048582995951417E-3</v>
      </c>
      <c r="T102" s="186" t="str">
        <f>IF(COUNTIF(Total,T_sept_dec[[#This Row],[Secteur organisateur]]),"Total_"&amp;T_sept_dec[[#This Row],[Enseignant référent (Nom Prénom)]],"")</f>
        <v/>
      </c>
      <c r="U102" s="186">
        <f>1/COUNTIF(T_sept_dec[cléTotal],T_sept_dec[[#This Row],[cléTotal]])</f>
        <v>4.1841004184100415E-3</v>
      </c>
    </row>
    <row r="103" spans="11:21">
      <c r="K103" s="21" t="str">
        <f>IF(COUNTIF(Maternelle,E103)=1,listes!$T$1,IF(COUNTIF(Elémentaire,E103)=1,listes!$U$1,IF(COUNTIF(Collège,E103)=1,listes!$V$1,IF(COUNTIF(Lycée,E103)=1,listes!$W$1,""))))</f>
        <v/>
      </c>
      <c r="L103" s="21" t="str">
        <f>IF(COUNTIF(Perralière,D103)=1,listes!$P$1,IF(COUNTIF(Buers,D103)=1,listes!$J$1,IF(COUNTIF(Charpennes,D103)=1,listes!$K$1,IF(COUNTIF(Cusset,D103)=1,listes!$L$1,IF(COUNTIF(Cyprien,D103)=1,listes!$M$1,IF(COUNTIF(Ferrandière,D103)=1,listes!$N$1,IF(COUNTIF(Gratteciel,D103)=1,listes!$O$1,IF(COUNTIF(Saintjean,D103)=1,listes!$Q$1,IF(COUNTIF(horsvilleurbanne,D103)=1,listes!$R$1,"")))))))))</f>
        <v/>
      </c>
      <c r="M103" s="21" t="str">
        <f t="shared" si="1"/>
        <v/>
      </c>
      <c r="N103" s="21" t="str">
        <f>T_sept_dec[[#This Row],[Etablissement accueillant]]&amp;"-"&amp;T_sept_dec[[#This Row],[Enseignant référent (Nom Prénom)]]</f>
        <v>-</v>
      </c>
      <c r="O103" s="21">
        <f>1/COUNTIF(T_sept_dec[CléEtablissement],T_sept_dec[[#This Row],[CléEtablissement]])</f>
        <v>4.1841004184100415E-3</v>
      </c>
      <c r="P10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3" s="186">
        <f>1/COUNTIF(T_sept_dec[CléRéseau-Rize horsmed],T_sept_dec[[#This Row],[CléRéseau-Rize horsmed]])</f>
        <v>4.1841004184100415E-3</v>
      </c>
      <c r="R103" s="186" t="str">
        <f>IF(COUNTIF(RIZE,T_sept_dec[[#This Row],[Secteur organisateur]]),"Rize_"&amp;T_sept_dec[[#This Row],[Enseignant référent (Nom Prénom)]],"")</f>
        <v/>
      </c>
      <c r="S103" s="186">
        <f>1/COUNTIF(T_sept_dec[CléRize],T_sept_dec[[#This Row],[CléRize]])</f>
        <v>4.048582995951417E-3</v>
      </c>
      <c r="T103" s="186" t="str">
        <f>IF(COUNTIF(Total,T_sept_dec[[#This Row],[Secteur organisateur]]),"Total_"&amp;T_sept_dec[[#This Row],[Enseignant référent (Nom Prénom)]],"")</f>
        <v/>
      </c>
      <c r="U103" s="186">
        <f>1/COUNTIF(T_sept_dec[cléTotal],T_sept_dec[[#This Row],[cléTotal]])</f>
        <v>4.1841004184100415E-3</v>
      </c>
    </row>
    <row r="104" spans="11:21">
      <c r="K104" s="21" t="str">
        <f>IF(COUNTIF(Maternelle,E104)=1,listes!$T$1,IF(COUNTIF(Elémentaire,E104)=1,listes!$U$1,IF(COUNTIF(Collège,E104)=1,listes!$V$1,IF(COUNTIF(Lycée,E104)=1,listes!$W$1,""))))</f>
        <v/>
      </c>
      <c r="L104" s="21" t="str">
        <f>IF(COUNTIF(Perralière,D104)=1,listes!$P$1,IF(COUNTIF(Buers,D104)=1,listes!$J$1,IF(COUNTIF(Charpennes,D104)=1,listes!$K$1,IF(COUNTIF(Cusset,D104)=1,listes!$L$1,IF(COUNTIF(Cyprien,D104)=1,listes!$M$1,IF(COUNTIF(Ferrandière,D104)=1,listes!$N$1,IF(COUNTIF(Gratteciel,D104)=1,listes!$O$1,IF(COUNTIF(Saintjean,D104)=1,listes!$Q$1,IF(COUNTIF(horsvilleurbanne,D104)=1,listes!$R$1,"")))))))))</f>
        <v/>
      </c>
      <c r="M104" s="21" t="str">
        <f t="shared" si="1"/>
        <v/>
      </c>
      <c r="N104" s="21" t="str">
        <f>T_sept_dec[[#This Row],[Etablissement accueillant]]&amp;"-"&amp;T_sept_dec[[#This Row],[Enseignant référent (Nom Prénom)]]</f>
        <v>-</v>
      </c>
      <c r="O104" s="21">
        <f>1/COUNTIF(T_sept_dec[CléEtablissement],T_sept_dec[[#This Row],[CléEtablissement]])</f>
        <v>4.1841004184100415E-3</v>
      </c>
      <c r="P10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4" s="186">
        <f>1/COUNTIF(T_sept_dec[CléRéseau-Rize horsmed],T_sept_dec[[#This Row],[CléRéseau-Rize horsmed]])</f>
        <v>4.1841004184100415E-3</v>
      </c>
      <c r="R104" s="186" t="str">
        <f>IF(COUNTIF(RIZE,T_sept_dec[[#This Row],[Secteur organisateur]]),"Rize_"&amp;T_sept_dec[[#This Row],[Enseignant référent (Nom Prénom)]],"")</f>
        <v/>
      </c>
      <c r="S104" s="186">
        <f>1/COUNTIF(T_sept_dec[CléRize],T_sept_dec[[#This Row],[CléRize]])</f>
        <v>4.048582995951417E-3</v>
      </c>
      <c r="T104" s="186" t="str">
        <f>IF(COUNTIF(Total,T_sept_dec[[#This Row],[Secteur organisateur]]),"Total_"&amp;T_sept_dec[[#This Row],[Enseignant référent (Nom Prénom)]],"")</f>
        <v/>
      </c>
      <c r="U104" s="186">
        <f>1/COUNTIF(T_sept_dec[cléTotal],T_sept_dec[[#This Row],[cléTotal]])</f>
        <v>4.1841004184100415E-3</v>
      </c>
    </row>
    <row r="105" spans="11:21">
      <c r="K105" s="21" t="str">
        <f>IF(COUNTIF(Maternelle,E105)=1,listes!$T$1,IF(COUNTIF(Elémentaire,E105)=1,listes!$U$1,IF(COUNTIF(Collège,E105)=1,listes!$V$1,IF(COUNTIF(Lycée,E105)=1,listes!$W$1,""))))</f>
        <v/>
      </c>
      <c r="L105" s="21" t="str">
        <f>IF(COUNTIF(Perralière,D105)=1,listes!$P$1,IF(COUNTIF(Buers,D105)=1,listes!$J$1,IF(COUNTIF(Charpennes,D105)=1,listes!$K$1,IF(COUNTIF(Cusset,D105)=1,listes!$L$1,IF(COUNTIF(Cyprien,D105)=1,listes!$M$1,IF(COUNTIF(Ferrandière,D105)=1,listes!$N$1,IF(COUNTIF(Gratteciel,D105)=1,listes!$O$1,IF(COUNTIF(Saintjean,D105)=1,listes!$Q$1,IF(COUNTIF(horsvilleurbanne,D105)=1,listes!$R$1,"")))))))))</f>
        <v/>
      </c>
      <c r="M105" s="21" t="str">
        <f t="shared" si="1"/>
        <v/>
      </c>
      <c r="N105" s="21" t="str">
        <f>T_sept_dec[[#This Row],[Etablissement accueillant]]&amp;"-"&amp;T_sept_dec[[#This Row],[Enseignant référent (Nom Prénom)]]</f>
        <v>-</v>
      </c>
      <c r="O105" s="21">
        <f>1/COUNTIF(T_sept_dec[CléEtablissement],T_sept_dec[[#This Row],[CléEtablissement]])</f>
        <v>4.1841004184100415E-3</v>
      </c>
      <c r="P10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5" s="186">
        <f>1/COUNTIF(T_sept_dec[CléRéseau-Rize horsmed],T_sept_dec[[#This Row],[CléRéseau-Rize horsmed]])</f>
        <v>4.1841004184100415E-3</v>
      </c>
      <c r="R105" s="186" t="str">
        <f>IF(COUNTIF(RIZE,T_sept_dec[[#This Row],[Secteur organisateur]]),"Rize_"&amp;T_sept_dec[[#This Row],[Enseignant référent (Nom Prénom)]],"")</f>
        <v/>
      </c>
      <c r="S105" s="186">
        <f>1/COUNTIF(T_sept_dec[CléRize],T_sept_dec[[#This Row],[CléRize]])</f>
        <v>4.048582995951417E-3</v>
      </c>
      <c r="T105" s="186" t="str">
        <f>IF(COUNTIF(Total,T_sept_dec[[#This Row],[Secteur organisateur]]),"Total_"&amp;T_sept_dec[[#This Row],[Enseignant référent (Nom Prénom)]],"")</f>
        <v/>
      </c>
      <c r="U105" s="186">
        <f>1/COUNTIF(T_sept_dec[cléTotal],T_sept_dec[[#This Row],[cléTotal]])</f>
        <v>4.1841004184100415E-3</v>
      </c>
    </row>
    <row r="106" spans="11:21">
      <c r="K106" s="21" t="str">
        <f>IF(COUNTIF(Maternelle,E106)=1,listes!$T$1,IF(COUNTIF(Elémentaire,E106)=1,listes!$U$1,IF(COUNTIF(Collège,E106)=1,listes!$V$1,IF(COUNTIF(Lycée,E106)=1,listes!$W$1,""))))</f>
        <v/>
      </c>
      <c r="L106" s="21" t="str">
        <f>IF(COUNTIF(Perralière,D106)=1,listes!$P$1,IF(COUNTIF(Buers,D106)=1,listes!$J$1,IF(COUNTIF(Charpennes,D106)=1,listes!$K$1,IF(COUNTIF(Cusset,D106)=1,listes!$L$1,IF(COUNTIF(Cyprien,D106)=1,listes!$M$1,IF(COUNTIF(Ferrandière,D106)=1,listes!$N$1,IF(COUNTIF(Gratteciel,D106)=1,listes!$O$1,IF(COUNTIF(Saintjean,D106)=1,listes!$Q$1,IF(COUNTIF(horsvilleurbanne,D106)=1,listes!$R$1,"")))))))))</f>
        <v/>
      </c>
      <c r="M106" s="21" t="str">
        <f t="shared" si="1"/>
        <v/>
      </c>
      <c r="N106" s="21" t="str">
        <f>T_sept_dec[[#This Row],[Etablissement accueillant]]&amp;"-"&amp;T_sept_dec[[#This Row],[Enseignant référent (Nom Prénom)]]</f>
        <v>-</v>
      </c>
      <c r="O106" s="21">
        <f>1/COUNTIF(T_sept_dec[CléEtablissement],T_sept_dec[[#This Row],[CléEtablissement]])</f>
        <v>4.1841004184100415E-3</v>
      </c>
      <c r="P10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6" s="186">
        <f>1/COUNTIF(T_sept_dec[CléRéseau-Rize horsmed],T_sept_dec[[#This Row],[CléRéseau-Rize horsmed]])</f>
        <v>4.1841004184100415E-3</v>
      </c>
      <c r="R106" s="186" t="str">
        <f>IF(COUNTIF(RIZE,T_sept_dec[[#This Row],[Secteur organisateur]]),"Rize_"&amp;T_sept_dec[[#This Row],[Enseignant référent (Nom Prénom)]],"")</f>
        <v/>
      </c>
      <c r="S106" s="186">
        <f>1/COUNTIF(T_sept_dec[CléRize],T_sept_dec[[#This Row],[CléRize]])</f>
        <v>4.048582995951417E-3</v>
      </c>
      <c r="T106" s="186" t="str">
        <f>IF(COUNTIF(Total,T_sept_dec[[#This Row],[Secteur organisateur]]),"Total_"&amp;T_sept_dec[[#This Row],[Enseignant référent (Nom Prénom)]],"")</f>
        <v/>
      </c>
      <c r="U106" s="186">
        <f>1/COUNTIF(T_sept_dec[cléTotal],T_sept_dec[[#This Row],[cléTotal]])</f>
        <v>4.1841004184100415E-3</v>
      </c>
    </row>
    <row r="107" spans="11:21">
      <c r="K107" s="21" t="str">
        <f>IF(COUNTIF(Maternelle,E107)=1,listes!$T$1,IF(COUNTIF(Elémentaire,E107)=1,listes!$U$1,IF(COUNTIF(Collège,E107)=1,listes!$V$1,IF(COUNTIF(Lycée,E107)=1,listes!$W$1,""))))</f>
        <v/>
      </c>
      <c r="L107" s="21" t="str">
        <f>IF(COUNTIF(Perralière,D107)=1,listes!$P$1,IF(COUNTIF(Buers,D107)=1,listes!$J$1,IF(COUNTIF(Charpennes,D107)=1,listes!$K$1,IF(COUNTIF(Cusset,D107)=1,listes!$L$1,IF(COUNTIF(Cyprien,D107)=1,listes!$M$1,IF(COUNTIF(Ferrandière,D107)=1,listes!$N$1,IF(COUNTIF(Gratteciel,D107)=1,listes!$O$1,IF(COUNTIF(Saintjean,D107)=1,listes!$Q$1,IF(COUNTIF(horsvilleurbanne,D107)=1,listes!$R$1,"")))))))))</f>
        <v/>
      </c>
      <c r="M107" s="21" t="str">
        <f t="shared" si="1"/>
        <v/>
      </c>
      <c r="N107" s="21" t="str">
        <f>T_sept_dec[[#This Row],[Etablissement accueillant]]&amp;"-"&amp;T_sept_dec[[#This Row],[Enseignant référent (Nom Prénom)]]</f>
        <v>-</v>
      </c>
      <c r="O107" s="21">
        <f>1/COUNTIF(T_sept_dec[CléEtablissement],T_sept_dec[[#This Row],[CléEtablissement]])</f>
        <v>4.1841004184100415E-3</v>
      </c>
      <c r="P10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7" s="186">
        <f>1/COUNTIF(T_sept_dec[CléRéseau-Rize horsmed],T_sept_dec[[#This Row],[CléRéseau-Rize horsmed]])</f>
        <v>4.1841004184100415E-3</v>
      </c>
      <c r="R107" s="186" t="str">
        <f>IF(COUNTIF(RIZE,T_sept_dec[[#This Row],[Secteur organisateur]]),"Rize_"&amp;T_sept_dec[[#This Row],[Enseignant référent (Nom Prénom)]],"")</f>
        <v/>
      </c>
      <c r="S107" s="186">
        <f>1/COUNTIF(T_sept_dec[CléRize],T_sept_dec[[#This Row],[CléRize]])</f>
        <v>4.048582995951417E-3</v>
      </c>
      <c r="T107" s="186" t="str">
        <f>IF(COUNTIF(Total,T_sept_dec[[#This Row],[Secteur organisateur]]),"Total_"&amp;T_sept_dec[[#This Row],[Enseignant référent (Nom Prénom)]],"")</f>
        <v/>
      </c>
      <c r="U107" s="186">
        <f>1/COUNTIF(T_sept_dec[cléTotal],T_sept_dec[[#This Row],[cléTotal]])</f>
        <v>4.1841004184100415E-3</v>
      </c>
    </row>
    <row r="108" spans="11:21">
      <c r="K108" s="21" t="str">
        <f>IF(COUNTIF(Maternelle,E108)=1,listes!$T$1,IF(COUNTIF(Elémentaire,E108)=1,listes!$U$1,IF(COUNTIF(Collège,E108)=1,listes!$V$1,IF(COUNTIF(Lycée,E108)=1,listes!$W$1,""))))</f>
        <v/>
      </c>
      <c r="L108" s="21" t="str">
        <f>IF(COUNTIF(Perralière,D108)=1,listes!$P$1,IF(COUNTIF(Buers,D108)=1,listes!$J$1,IF(COUNTIF(Charpennes,D108)=1,listes!$K$1,IF(COUNTIF(Cusset,D108)=1,listes!$L$1,IF(COUNTIF(Cyprien,D108)=1,listes!$M$1,IF(COUNTIF(Ferrandière,D108)=1,listes!$N$1,IF(COUNTIF(Gratteciel,D108)=1,listes!$O$1,IF(COUNTIF(Saintjean,D108)=1,listes!$Q$1,IF(COUNTIF(horsvilleurbanne,D108)=1,listes!$R$1,"")))))))))</f>
        <v/>
      </c>
      <c r="M108" s="21" t="str">
        <f t="shared" si="1"/>
        <v/>
      </c>
      <c r="N108" s="21" t="str">
        <f>T_sept_dec[[#This Row],[Etablissement accueillant]]&amp;"-"&amp;T_sept_dec[[#This Row],[Enseignant référent (Nom Prénom)]]</f>
        <v>-</v>
      </c>
      <c r="O108" s="21">
        <f>1/COUNTIF(T_sept_dec[CléEtablissement],T_sept_dec[[#This Row],[CléEtablissement]])</f>
        <v>4.1841004184100415E-3</v>
      </c>
      <c r="P10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8" s="186">
        <f>1/COUNTIF(T_sept_dec[CléRéseau-Rize horsmed],T_sept_dec[[#This Row],[CléRéseau-Rize horsmed]])</f>
        <v>4.1841004184100415E-3</v>
      </c>
      <c r="R108" s="186" t="str">
        <f>IF(COUNTIF(RIZE,T_sept_dec[[#This Row],[Secteur organisateur]]),"Rize_"&amp;T_sept_dec[[#This Row],[Enseignant référent (Nom Prénom)]],"")</f>
        <v/>
      </c>
      <c r="S108" s="186">
        <f>1/COUNTIF(T_sept_dec[CléRize],T_sept_dec[[#This Row],[CléRize]])</f>
        <v>4.048582995951417E-3</v>
      </c>
      <c r="T108" s="186" t="str">
        <f>IF(COUNTIF(Total,T_sept_dec[[#This Row],[Secteur organisateur]]),"Total_"&amp;T_sept_dec[[#This Row],[Enseignant référent (Nom Prénom)]],"")</f>
        <v/>
      </c>
      <c r="U108" s="186">
        <f>1/COUNTIF(T_sept_dec[cléTotal],T_sept_dec[[#This Row],[cléTotal]])</f>
        <v>4.1841004184100415E-3</v>
      </c>
    </row>
    <row r="109" spans="11:21">
      <c r="K109" s="21" t="str">
        <f>IF(COUNTIF(Maternelle,E109)=1,listes!$T$1,IF(COUNTIF(Elémentaire,E109)=1,listes!$U$1,IF(COUNTIF(Collège,E109)=1,listes!$V$1,IF(COUNTIF(Lycée,E109)=1,listes!$W$1,""))))</f>
        <v/>
      </c>
      <c r="L109" s="21" t="str">
        <f>IF(COUNTIF(Perralière,D109)=1,listes!$P$1,IF(COUNTIF(Buers,D109)=1,listes!$J$1,IF(COUNTIF(Charpennes,D109)=1,listes!$K$1,IF(COUNTIF(Cusset,D109)=1,listes!$L$1,IF(COUNTIF(Cyprien,D109)=1,listes!$M$1,IF(COUNTIF(Ferrandière,D109)=1,listes!$N$1,IF(COUNTIF(Gratteciel,D109)=1,listes!$O$1,IF(COUNTIF(Saintjean,D109)=1,listes!$Q$1,IF(COUNTIF(horsvilleurbanne,D109)=1,listes!$R$1,"")))))))))</f>
        <v/>
      </c>
      <c r="M109" s="21" t="str">
        <f t="shared" si="1"/>
        <v/>
      </c>
      <c r="N109" s="21" t="str">
        <f>T_sept_dec[[#This Row],[Etablissement accueillant]]&amp;"-"&amp;T_sept_dec[[#This Row],[Enseignant référent (Nom Prénom)]]</f>
        <v>-</v>
      </c>
      <c r="O109" s="21">
        <f>1/COUNTIF(T_sept_dec[CléEtablissement],T_sept_dec[[#This Row],[CléEtablissement]])</f>
        <v>4.1841004184100415E-3</v>
      </c>
      <c r="P10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09" s="186">
        <f>1/COUNTIF(T_sept_dec[CléRéseau-Rize horsmed],T_sept_dec[[#This Row],[CléRéseau-Rize horsmed]])</f>
        <v>4.1841004184100415E-3</v>
      </c>
      <c r="R109" s="186" t="str">
        <f>IF(COUNTIF(RIZE,T_sept_dec[[#This Row],[Secteur organisateur]]),"Rize_"&amp;T_sept_dec[[#This Row],[Enseignant référent (Nom Prénom)]],"")</f>
        <v/>
      </c>
      <c r="S109" s="186">
        <f>1/COUNTIF(T_sept_dec[CléRize],T_sept_dec[[#This Row],[CléRize]])</f>
        <v>4.048582995951417E-3</v>
      </c>
      <c r="T109" s="186" t="str">
        <f>IF(COUNTIF(Total,T_sept_dec[[#This Row],[Secteur organisateur]]),"Total_"&amp;T_sept_dec[[#This Row],[Enseignant référent (Nom Prénom)]],"")</f>
        <v/>
      </c>
      <c r="U109" s="186">
        <f>1/COUNTIF(T_sept_dec[cléTotal],T_sept_dec[[#This Row],[cléTotal]])</f>
        <v>4.1841004184100415E-3</v>
      </c>
    </row>
    <row r="110" spans="11:21">
      <c r="K110" s="21" t="str">
        <f>IF(COUNTIF(Maternelle,E110)=1,listes!$T$1,IF(COUNTIF(Elémentaire,E110)=1,listes!$U$1,IF(COUNTIF(Collège,E110)=1,listes!$V$1,IF(COUNTIF(Lycée,E110)=1,listes!$W$1,""))))</f>
        <v/>
      </c>
      <c r="L110" s="21" t="str">
        <f>IF(COUNTIF(Perralière,D110)=1,listes!$P$1,IF(COUNTIF(Buers,D110)=1,listes!$J$1,IF(COUNTIF(Charpennes,D110)=1,listes!$K$1,IF(COUNTIF(Cusset,D110)=1,listes!$L$1,IF(COUNTIF(Cyprien,D110)=1,listes!$M$1,IF(COUNTIF(Ferrandière,D110)=1,listes!$N$1,IF(COUNTIF(Gratteciel,D110)=1,listes!$O$1,IF(COUNTIF(Saintjean,D110)=1,listes!$Q$1,IF(COUNTIF(horsvilleurbanne,D110)=1,listes!$R$1,"")))))))))</f>
        <v/>
      </c>
      <c r="M110" s="21" t="str">
        <f t="shared" si="1"/>
        <v/>
      </c>
      <c r="N110" s="21" t="str">
        <f>T_sept_dec[[#This Row],[Etablissement accueillant]]&amp;"-"&amp;T_sept_dec[[#This Row],[Enseignant référent (Nom Prénom)]]</f>
        <v>-</v>
      </c>
      <c r="O110" s="21">
        <f>1/COUNTIF(T_sept_dec[CléEtablissement],T_sept_dec[[#This Row],[CléEtablissement]])</f>
        <v>4.1841004184100415E-3</v>
      </c>
      <c r="P11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0" s="186">
        <f>1/COUNTIF(T_sept_dec[CléRéseau-Rize horsmed],T_sept_dec[[#This Row],[CléRéseau-Rize horsmed]])</f>
        <v>4.1841004184100415E-3</v>
      </c>
      <c r="R110" s="186" t="str">
        <f>IF(COUNTIF(RIZE,T_sept_dec[[#This Row],[Secteur organisateur]]),"Rize_"&amp;T_sept_dec[[#This Row],[Enseignant référent (Nom Prénom)]],"")</f>
        <v/>
      </c>
      <c r="S110" s="186">
        <f>1/COUNTIF(T_sept_dec[CléRize],T_sept_dec[[#This Row],[CléRize]])</f>
        <v>4.048582995951417E-3</v>
      </c>
      <c r="T110" s="186" t="str">
        <f>IF(COUNTIF(Total,T_sept_dec[[#This Row],[Secteur organisateur]]),"Total_"&amp;T_sept_dec[[#This Row],[Enseignant référent (Nom Prénom)]],"")</f>
        <v/>
      </c>
      <c r="U110" s="186">
        <f>1/COUNTIF(T_sept_dec[cléTotal],T_sept_dec[[#This Row],[cléTotal]])</f>
        <v>4.1841004184100415E-3</v>
      </c>
    </row>
    <row r="111" spans="11:21" ht="15.75" customHeight="1">
      <c r="K111" s="21" t="str">
        <f>IF(COUNTIF(Maternelle,E111)=1,listes!$T$1,IF(COUNTIF(Elémentaire,E111)=1,listes!$U$1,IF(COUNTIF(Collège,E111)=1,listes!$V$1,IF(COUNTIF(Lycée,E111)=1,listes!$W$1,""))))</f>
        <v/>
      </c>
      <c r="L111" s="21" t="str">
        <f>IF(COUNTIF(Perralière,D111)=1,listes!$P$1,IF(COUNTIF(Buers,D111)=1,listes!$J$1,IF(COUNTIF(Charpennes,D111)=1,listes!$K$1,IF(COUNTIF(Cusset,D111)=1,listes!$L$1,IF(COUNTIF(Cyprien,D111)=1,listes!$M$1,IF(COUNTIF(Ferrandière,D111)=1,listes!$N$1,IF(COUNTIF(Gratteciel,D111)=1,listes!$O$1,IF(COUNTIF(Saintjean,D111)=1,listes!$Q$1,IF(COUNTIF(horsvilleurbanne,D111)=1,listes!$R$1,"")))))))))</f>
        <v/>
      </c>
      <c r="M111" s="21" t="str">
        <f t="shared" si="1"/>
        <v/>
      </c>
      <c r="N111" s="21" t="str">
        <f>T_sept_dec[[#This Row],[Etablissement accueillant]]&amp;"-"&amp;T_sept_dec[[#This Row],[Enseignant référent (Nom Prénom)]]</f>
        <v>-</v>
      </c>
      <c r="O111" s="21">
        <f>1/COUNTIF(T_sept_dec[CléEtablissement],T_sept_dec[[#This Row],[CléEtablissement]])</f>
        <v>4.1841004184100415E-3</v>
      </c>
      <c r="P11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1" s="186">
        <f>1/COUNTIF(T_sept_dec[CléRéseau-Rize horsmed],T_sept_dec[[#This Row],[CléRéseau-Rize horsmed]])</f>
        <v>4.1841004184100415E-3</v>
      </c>
      <c r="R111" s="186" t="str">
        <f>IF(COUNTIF(RIZE,T_sept_dec[[#This Row],[Secteur organisateur]]),"Rize_"&amp;T_sept_dec[[#This Row],[Enseignant référent (Nom Prénom)]],"")</f>
        <v/>
      </c>
      <c r="S111" s="186">
        <f>1/COUNTIF(T_sept_dec[CléRize],T_sept_dec[[#This Row],[CléRize]])</f>
        <v>4.048582995951417E-3</v>
      </c>
      <c r="T111" s="186" t="str">
        <f>IF(COUNTIF(Total,T_sept_dec[[#This Row],[Secteur organisateur]]),"Total_"&amp;T_sept_dec[[#This Row],[Enseignant référent (Nom Prénom)]],"")</f>
        <v/>
      </c>
      <c r="U111" s="186">
        <f>1/COUNTIF(T_sept_dec[cléTotal],T_sept_dec[[#This Row],[cléTotal]])</f>
        <v>4.1841004184100415E-3</v>
      </c>
    </row>
    <row r="112" spans="11:21">
      <c r="K112" s="21" t="str">
        <f>IF(COUNTIF(Maternelle,E112)=1,listes!$T$1,IF(COUNTIF(Elémentaire,E112)=1,listes!$U$1,IF(COUNTIF(Collège,E112)=1,listes!$V$1,IF(COUNTIF(Lycée,E112)=1,listes!$W$1,""))))</f>
        <v/>
      </c>
      <c r="L112" s="21" t="str">
        <f>IF(COUNTIF(Perralière,D112)=1,listes!$P$1,IF(COUNTIF(Buers,D112)=1,listes!$J$1,IF(COUNTIF(Charpennes,D112)=1,listes!$K$1,IF(COUNTIF(Cusset,D112)=1,listes!$L$1,IF(COUNTIF(Cyprien,D112)=1,listes!$M$1,IF(COUNTIF(Ferrandière,D112)=1,listes!$N$1,IF(COUNTIF(Gratteciel,D112)=1,listes!$O$1,IF(COUNTIF(Saintjean,D112)=1,listes!$Q$1,IF(COUNTIF(horsvilleurbanne,D112)=1,listes!$R$1,"")))))))))</f>
        <v/>
      </c>
      <c r="M112" s="21" t="str">
        <f t="shared" si="1"/>
        <v/>
      </c>
      <c r="N112" s="21" t="str">
        <f>T_sept_dec[[#This Row],[Etablissement accueillant]]&amp;"-"&amp;T_sept_dec[[#This Row],[Enseignant référent (Nom Prénom)]]</f>
        <v>-</v>
      </c>
      <c r="O112" s="21">
        <f>1/COUNTIF(T_sept_dec[CléEtablissement],T_sept_dec[[#This Row],[CléEtablissement]])</f>
        <v>4.1841004184100415E-3</v>
      </c>
      <c r="P11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2" s="186">
        <f>1/COUNTIF(T_sept_dec[CléRéseau-Rize horsmed],T_sept_dec[[#This Row],[CléRéseau-Rize horsmed]])</f>
        <v>4.1841004184100415E-3</v>
      </c>
      <c r="R112" s="186" t="str">
        <f>IF(COUNTIF(RIZE,T_sept_dec[[#This Row],[Secteur organisateur]]),"Rize_"&amp;T_sept_dec[[#This Row],[Enseignant référent (Nom Prénom)]],"")</f>
        <v/>
      </c>
      <c r="S112" s="186">
        <f>1/COUNTIF(T_sept_dec[CléRize],T_sept_dec[[#This Row],[CléRize]])</f>
        <v>4.048582995951417E-3</v>
      </c>
      <c r="T112" s="186" t="str">
        <f>IF(COUNTIF(Total,T_sept_dec[[#This Row],[Secteur organisateur]]),"Total_"&amp;T_sept_dec[[#This Row],[Enseignant référent (Nom Prénom)]],"")</f>
        <v/>
      </c>
      <c r="U112" s="186">
        <f>1/COUNTIF(T_sept_dec[cléTotal],T_sept_dec[[#This Row],[cléTotal]])</f>
        <v>4.1841004184100415E-3</v>
      </c>
    </row>
    <row r="113" spans="11:21">
      <c r="K113" s="21" t="str">
        <f>IF(COUNTIF(Maternelle,E113)=1,listes!$T$1,IF(COUNTIF(Elémentaire,E113)=1,listes!$U$1,IF(COUNTIF(Collège,E113)=1,listes!$V$1,IF(COUNTIF(Lycée,E113)=1,listes!$W$1,""))))</f>
        <v/>
      </c>
      <c r="L113" s="21" t="str">
        <f>IF(COUNTIF(Perralière,D113)=1,listes!$P$1,IF(COUNTIF(Buers,D113)=1,listes!$J$1,IF(COUNTIF(Charpennes,D113)=1,listes!$K$1,IF(COUNTIF(Cusset,D113)=1,listes!$L$1,IF(COUNTIF(Cyprien,D113)=1,listes!$M$1,IF(COUNTIF(Ferrandière,D113)=1,listes!$N$1,IF(COUNTIF(Gratteciel,D113)=1,listes!$O$1,IF(COUNTIF(Saintjean,D113)=1,listes!$Q$1,IF(COUNTIF(horsvilleurbanne,D113)=1,listes!$R$1,"")))))))))</f>
        <v/>
      </c>
      <c r="M113" s="21" t="str">
        <f t="shared" si="1"/>
        <v/>
      </c>
      <c r="N113" s="21" t="str">
        <f>T_sept_dec[[#This Row],[Etablissement accueillant]]&amp;"-"&amp;T_sept_dec[[#This Row],[Enseignant référent (Nom Prénom)]]</f>
        <v>-</v>
      </c>
      <c r="O113" s="21">
        <f>1/COUNTIF(T_sept_dec[CléEtablissement],T_sept_dec[[#This Row],[CléEtablissement]])</f>
        <v>4.1841004184100415E-3</v>
      </c>
      <c r="P11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3" s="186">
        <f>1/COUNTIF(T_sept_dec[CléRéseau-Rize horsmed],T_sept_dec[[#This Row],[CléRéseau-Rize horsmed]])</f>
        <v>4.1841004184100415E-3</v>
      </c>
      <c r="R113" s="186" t="str">
        <f>IF(COUNTIF(RIZE,T_sept_dec[[#This Row],[Secteur organisateur]]),"Rize_"&amp;T_sept_dec[[#This Row],[Enseignant référent (Nom Prénom)]],"")</f>
        <v/>
      </c>
      <c r="S113" s="186">
        <f>1/COUNTIF(T_sept_dec[CléRize],T_sept_dec[[#This Row],[CléRize]])</f>
        <v>4.048582995951417E-3</v>
      </c>
      <c r="T113" s="186" t="str">
        <f>IF(COUNTIF(Total,T_sept_dec[[#This Row],[Secteur organisateur]]),"Total_"&amp;T_sept_dec[[#This Row],[Enseignant référent (Nom Prénom)]],"")</f>
        <v/>
      </c>
      <c r="U113" s="186">
        <f>1/COUNTIF(T_sept_dec[cléTotal],T_sept_dec[[#This Row],[cléTotal]])</f>
        <v>4.1841004184100415E-3</v>
      </c>
    </row>
    <row r="114" spans="11:21">
      <c r="K114" s="21" t="str">
        <f>IF(COUNTIF(Maternelle,E114)=1,listes!$T$1,IF(COUNTIF(Elémentaire,E114)=1,listes!$U$1,IF(COUNTIF(Collège,E114)=1,listes!$V$1,IF(COUNTIF(Lycée,E114)=1,listes!$W$1,""))))</f>
        <v/>
      </c>
      <c r="L114" s="21" t="str">
        <f>IF(COUNTIF(Perralière,D114)=1,listes!$P$1,IF(COUNTIF(Buers,D114)=1,listes!$J$1,IF(COUNTIF(Charpennes,D114)=1,listes!$K$1,IF(COUNTIF(Cusset,D114)=1,listes!$L$1,IF(COUNTIF(Cyprien,D114)=1,listes!$M$1,IF(COUNTIF(Ferrandière,D114)=1,listes!$N$1,IF(COUNTIF(Gratteciel,D114)=1,listes!$O$1,IF(COUNTIF(Saintjean,D114)=1,listes!$Q$1,IF(COUNTIF(horsvilleurbanne,D114)=1,listes!$R$1,"")))))))))</f>
        <v/>
      </c>
      <c r="M114" s="21" t="str">
        <f t="shared" si="1"/>
        <v/>
      </c>
      <c r="N114" s="21" t="str">
        <f>T_sept_dec[[#This Row],[Etablissement accueillant]]&amp;"-"&amp;T_sept_dec[[#This Row],[Enseignant référent (Nom Prénom)]]</f>
        <v>-</v>
      </c>
      <c r="O114" s="21">
        <f>1/COUNTIF(T_sept_dec[CléEtablissement],T_sept_dec[[#This Row],[CléEtablissement]])</f>
        <v>4.1841004184100415E-3</v>
      </c>
      <c r="P11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4" s="186">
        <f>1/COUNTIF(T_sept_dec[CléRéseau-Rize horsmed],T_sept_dec[[#This Row],[CléRéseau-Rize horsmed]])</f>
        <v>4.1841004184100415E-3</v>
      </c>
      <c r="R114" s="186" t="str">
        <f>IF(COUNTIF(RIZE,T_sept_dec[[#This Row],[Secteur organisateur]]),"Rize_"&amp;T_sept_dec[[#This Row],[Enseignant référent (Nom Prénom)]],"")</f>
        <v/>
      </c>
      <c r="S114" s="186">
        <f>1/COUNTIF(T_sept_dec[CléRize],T_sept_dec[[#This Row],[CléRize]])</f>
        <v>4.048582995951417E-3</v>
      </c>
      <c r="T114" s="186" t="str">
        <f>IF(COUNTIF(Total,T_sept_dec[[#This Row],[Secteur organisateur]]),"Total_"&amp;T_sept_dec[[#This Row],[Enseignant référent (Nom Prénom)]],"")</f>
        <v/>
      </c>
      <c r="U114" s="186">
        <f>1/COUNTIF(T_sept_dec[cléTotal],T_sept_dec[[#This Row],[cléTotal]])</f>
        <v>4.1841004184100415E-3</v>
      </c>
    </row>
    <row r="115" spans="11:21">
      <c r="K115" s="21" t="str">
        <f>IF(COUNTIF(Maternelle,E115)=1,listes!$T$1,IF(COUNTIF(Elémentaire,E115)=1,listes!$U$1,IF(COUNTIF(Collège,E115)=1,listes!$V$1,IF(COUNTIF(Lycée,E115)=1,listes!$W$1,""))))</f>
        <v/>
      </c>
      <c r="L115" s="21" t="str">
        <f>IF(COUNTIF(Perralière,D115)=1,listes!$P$1,IF(COUNTIF(Buers,D115)=1,listes!$J$1,IF(COUNTIF(Charpennes,D115)=1,listes!$K$1,IF(COUNTIF(Cusset,D115)=1,listes!$L$1,IF(COUNTIF(Cyprien,D115)=1,listes!$M$1,IF(COUNTIF(Ferrandière,D115)=1,listes!$N$1,IF(COUNTIF(Gratteciel,D115)=1,listes!$O$1,IF(COUNTIF(Saintjean,D115)=1,listes!$Q$1,IF(COUNTIF(horsvilleurbanne,D115)=1,listes!$R$1,"")))))))))</f>
        <v/>
      </c>
      <c r="M115" s="21" t="str">
        <f t="shared" si="1"/>
        <v/>
      </c>
      <c r="N115" s="21" t="str">
        <f>T_sept_dec[[#This Row],[Etablissement accueillant]]&amp;"-"&amp;T_sept_dec[[#This Row],[Enseignant référent (Nom Prénom)]]</f>
        <v>-</v>
      </c>
      <c r="O115" s="21">
        <f>1/COUNTIF(T_sept_dec[CléEtablissement],T_sept_dec[[#This Row],[CléEtablissement]])</f>
        <v>4.1841004184100415E-3</v>
      </c>
      <c r="P11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5" s="186">
        <f>1/COUNTIF(T_sept_dec[CléRéseau-Rize horsmed],T_sept_dec[[#This Row],[CléRéseau-Rize horsmed]])</f>
        <v>4.1841004184100415E-3</v>
      </c>
      <c r="R115" s="186" t="str">
        <f>IF(COUNTIF(RIZE,T_sept_dec[[#This Row],[Secteur organisateur]]),"Rize_"&amp;T_sept_dec[[#This Row],[Enseignant référent (Nom Prénom)]],"")</f>
        <v/>
      </c>
      <c r="S115" s="186">
        <f>1/COUNTIF(T_sept_dec[CléRize],T_sept_dec[[#This Row],[CléRize]])</f>
        <v>4.048582995951417E-3</v>
      </c>
      <c r="T115" s="186" t="str">
        <f>IF(COUNTIF(Total,T_sept_dec[[#This Row],[Secteur organisateur]]),"Total_"&amp;T_sept_dec[[#This Row],[Enseignant référent (Nom Prénom)]],"")</f>
        <v/>
      </c>
      <c r="U115" s="186">
        <f>1/COUNTIF(T_sept_dec[cléTotal],T_sept_dec[[#This Row],[cléTotal]])</f>
        <v>4.1841004184100415E-3</v>
      </c>
    </row>
    <row r="116" spans="11:21">
      <c r="K116" s="21" t="str">
        <f>IF(COUNTIF(Maternelle,E116)=1,listes!$T$1,IF(COUNTIF(Elémentaire,E116)=1,listes!$U$1,IF(COUNTIF(Collège,E116)=1,listes!$V$1,IF(COUNTIF(Lycée,E116)=1,listes!$W$1,""))))</f>
        <v/>
      </c>
      <c r="L116" s="21" t="str">
        <f>IF(COUNTIF(Perralière,D116)=1,listes!$P$1,IF(COUNTIF(Buers,D116)=1,listes!$J$1,IF(COUNTIF(Charpennes,D116)=1,listes!$K$1,IF(COUNTIF(Cusset,D116)=1,listes!$L$1,IF(COUNTIF(Cyprien,D116)=1,listes!$M$1,IF(COUNTIF(Ferrandière,D116)=1,listes!$N$1,IF(COUNTIF(Gratteciel,D116)=1,listes!$O$1,IF(COUNTIF(Saintjean,D116)=1,listes!$Q$1,IF(COUNTIF(horsvilleurbanne,D116)=1,listes!$R$1,"")))))))))</f>
        <v/>
      </c>
      <c r="M116" s="21" t="str">
        <f t="shared" si="1"/>
        <v/>
      </c>
      <c r="N116" s="21" t="str">
        <f>T_sept_dec[[#This Row],[Etablissement accueillant]]&amp;"-"&amp;T_sept_dec[[#This Row],[Enseignant référent (Nom Prénom)]]</f>
        <v>-</v>
      </c>
      <c r="O116" s="21">
        <f>1/COUNTIF(T_sept_dec[CléEtablissement],T_sept_dec[[#This Row],[CléEtablissement]])</f>
        <v>4.1841004184100415E-3</v>
      </c>
      <c r="P11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6" s="186">
        <f>1/COUNTIF(T_sept_dec[CléRéseau-Rize horsmed],T_sept_dec[[#This Row],[CléRéseau-Rize horsmed]])</f>
        <v>4.1841004184100415E-3</v>
      </c>
      <c r="R116" s="186" t="str">
        <f>IF(COUNTIF(RIZE,T_sept_dec[[#This Row],[Secteur organisateur]]),"Rize_"&amp;T_sept_dec[[#This Row],[Enseignant référent (Nom Prénom)]],"")</f>
        <v/>
      </c>
      <c r="S116" s="186">
        <f>1/COUNTIF(T_sept_dec[CléRize],T_sept_dec[[#This Row],[CléRize]])</f>
        <v>4.048582995951417E-3</v>
      </c>
      <c r="T116" s="186" t="str">
        <f>IF(COUNTIF(Total,T_sept_dec[[#This Row],[Secteur organisateur]]),"Total_"&amp;T_sept_dec[[#This Row],[Enseignant référent (Nom Prénom)]],"")</f>
        <v/>
      </c>
      <c r="U116" s="186">
        <f>1/COUNTIF(T_sept_dec[cléTotal],T_sept_dec[[#This Row],[cléTotal]])</f>
        <v>4.1841004184100415E-3</v>
      </c>
    </row>
    <row r="117" spans="11:21">
      <c r="K117" s="21" t="str">
        <f>IF(COUNTIF(Maternelle,E117)=1,listes!$T$1,IF(COUNTIF(Elémentaire,E117)=1,listes!$U$1,IF(COUNTIF(Collège,E117)=1,listes!$V$1,IF(COUNTIF(Lycée,E117)=1,listes!$W$1,""))))</f>
        <v/>
      </c>
      <c r="L117" s="21" t="str">
        <f>IF(COUNTIF(Perralière,D117)=1,listes!$P$1,IF(COUNTIF(Buers,D117)=1,listes!$J$1,IF(COUNTIF(Charpennes,D117)=1,listes!$K$1,IF(COUNTIF(Cusset,D117)=1,listes!$L$1,IF(COUNTIF(Cyprien,D117)=1,listes!$M$1,IF(COUNTIF(Ferrandière,D117)=1,listes!$N$1,IF(COUNTIF(Gratteciel,D117)=1,listes!$O$1,IF(COUNTIF(Saintjean,D117)=1,listes!$Q$1,IF(COUNTIF(horsvilleurbanne,D117)=1,listes!$R$1,"")))))))))</f>
        <v/>
      </c>
      <c r="M117" s="21" t="str">
        <f t="shared" si="1"/>
        <v/>
      </c>
      <c r="N117" s="21" t="str">
        <f>T_sept_dec[[#This Row],[Etablissement accueillant]]&amp;"-"&amp;T_sept_dec[[#This Row],[Enseignant référent (Nom Prénom)]]</f>
        <v>-</v>
      </c>
      <c r="O117" s="21">
        <f>1/COUNTIF(T_sept_dec[CléEtablissement],T_sept_dec[[#This Row],[CléEtablissement]])</f>
        <v>4.1841004184100415E-3</v>
      </c>
      <c r="P11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7" s="186">
        <f>1/COUNTIF(T_sept_dec[CléRéseau-Rize horsmed],T_sept_dec[[#This Row],[CléRéseau-Rize horsmed]])</f>
        <v>4.1841004184100415E-3</v>
      </c>
      <c r="R117" s="186" t="str">
        <f>IF(COUNTIF(RIZE,T_sept_dec[[#This Row],[Secteur organisateur]]),"Rize_"&amp;T_sept_dec[[#This Row],[Enseignant référent (Nom Prénom)]],"")</f>
        <v/>
      </c>
      <c r="S117" s="186">
        <f>1/COUNTIF(T_sept_dec[CléRize],T_sept_dec[[#This Row],[CléRize]])</f>
        <v>4.048582995951417E-3</v>
      </c>
      <c r="T117" s="186" t="str">
        <f>IF(COUNTIF(Total,T_sept_dec[[#This Row],[Secteur organisateur]]),"Total_"&amp;T_sept_dec[[#This Row],[Enseignant référent (Nom Prénom)]],"")</f>
        <v/>
      </c>
      <c r="U117" s="186">
        <f>1/COUNTIF(T_sept_dec[cléTotal],T_sept_dec[[#This Row],[cléTotal]])</f>
        <v>4.1841004184100415E-3</v>
      </c>
    </row>
    <row r="118" spans="11:21">
      <c r="K118" s="21" t="str">
        <f>IF(COUNTIF(Maternelle,E118)=1,listes!$T$1,IF(COUNTIF(Elémentaire,E118)=1,listes!$U$1,IF(COUNTIF(Collège,E118)=1,listes!$V$1,IF(COUNTIF(Lycée,E118)=1,listes!$W$1,""))))</f>
        <v/>
      </c>
      <c r="L118" s="21" t="str">
        <f>IF(COUNTIF(Perralière,D118)=1,listes!$P$1,IF(COUNTIF(Buers,D118)=1,listes!$J$1,IF(COUNTIF(Charpennes,D118)=1,listes!$K$1,IF(COUNTIF(Cusset,D118)=1,listes!$L$1,IF(COUNTIF(Cyprien,D118)=1,listes!$M$1,IF(COUNTIF(Ferrandière,D118)=1,listes!$N$1,IF(COUNTIF(Gratteciel,D118)=1,listes!$O$1,IF(COUNTIF(Saintjean,D118)=1,listes!$Q$1,IF(COUNTIF(horsvilleurbanne,D118)=1,listes!$R$1,"")))))))))</f>
        <v/>
      </c>
      <c r="M118" s="21" t="str">
        <f t="shared" si="1"/>
        <v/>
      </c>
      <c r="N118" s="21" t="str">
        <f>T_sept_dec[[#This Row],[Etablissement accueillant]]&amp;"-"&amp;T_sept_dec[[#This Row],[Enseignant référent (Nom Prénom)]]</f>
        <v>-</v>
      </c>
      <c r="O118" s="21">
        <f>1/COUNTIF(T_sept_dec[CléEtablissement],T_sept_dec[[#This Row],[CléEtablissement]])</f>
        <v>4.1841004184100415E-3</v>
      </c>
      <c r="P11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8" s="186">
        <f>1/COUNTIF(T_sept_dec[CléRéseau-Rize horsmed],T_sept_dec[[#This Row],[CléRéseau-Rize horsmed]])</f>
        <v>4.1841004184100415E-3</v>
      </c>
      <c r="R118" s="186" t="str">
        <f>IF(COUNTIF(RIZE,T_sept_dec[[#This Row],[Secteur organisateur]]),"Rize_"&amp;T_sept_dec[[#This Row],[Enseignant référent (Nom Prénom)]],"")</f>
        <v/>
      </c>
      <c r="S118" s="186">
        <f>1/COUNTIF(T_sept_dec[CléRize],T_sept_dec[[#This Row],[CléRize]])</f>
        <v>4.048582995951417E-3</v>
      </c>
      <c r="T118" s="186" t="str">
        <f>IF(COUNTIF(Total,T_sept_dec[[#This Row],[Secteur organisateur]]),"Total_"&amp;T_sept_dec[[#This Row],[Enseignant référent (Nom Prénom)]],"")</f>
        <v/>
      </c>
      <c r="U118" s="186">
        <f>1/COUNTIF(T_sept_dec[cléTotal],T_sept_dec[[#This Row],[cléTotal]])</f>
        <v>4.1841004184100415E-3</v>
      </c>
    </row>
    <row r="119" spans="11:21">
      <c r="K119" s="21" t="str">
        <f>IF(COUNTIF(Maternelle,E119)=1,listes!$T$1,IF(COUNTIF(Elémentaire,E119)=1,listes!$U$1,IF(COUNTIF(Collège,E119)=1,listes!$V$1,IF(COUNTIF(Lycée,E119)=1,listes!$W$1,""))))</f>
        <v/>
      </c>
      <c r="L119" s="21" t="str">
        <f>IF(COUNTIF(Perralière,D119)=1,listes!$P$1,IF(COUNTIF(Buers,D119)=1,listes!$J$1,IF(COUNTIF(Charpennes,D119)=1,listes!$K$1,IF(COUNTIF(Cusset,D119)=1,listes!$L$1,IF(COUNTIF(Cyprien,D119)=1,listes!$M$1,IF(COUNTIF(Ferrandière,D119)=1,listes!$N$1,IF(COUNTIF(Gratteciel,D119)=1,listes!$O$1,IF(COUNTIF(Saintjean,D119)=1,listes!$Q$1,IF(COUNTIF(horsvilleurbanne,D119)=1,listes!$R$1,"")))))))))</f>
        <v/>
      </c>
      <c r="M119" s="21" t="str">
        <f t="shared" si="1"/>
        <v/>
      </c>
      <c r="N119" s="21" t="str">
        <f>T_sept_dec[[#This Row],[Etablissement accueillant]]&amp;"-"&amp;T_sept_dec[[#This Row],[Enseignant référent (Nom Prénom)]]</f>
        <v>-</v>
      </c>
      <c r="O119" s="21">
        <f>1/COUNTIF(T_sept_dec[CléEtablissement],T_sept_dec[[#This Row],[CléEtablissement]])</f>
        <v>4.1841004184100415E-3</v>
      </c>
      <c r="P11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19" s="186">
        <f>1/COUNTIF(T_sept_dec[CléRéseau-Rize horsmed],T_sept_dec[[#This Row],[CléRéseau-Rize horsmed]])</f>
        <v>4.1841004184100415E-3</v>
      </c>
      <c r="R119" s="186" t="str">
        <f>IF(COUNTIF(RIZE,T_sept_dec[[#This Row],[Secteur organisateur]]),"Rize_"&amp;T_sept_dec[[#This Row],[Enseignant référent (Nom Prénom)]],"")</f>
        <v/>
      </c>
      <c r="S119" s="186">
        <f>1/COUNTIF(T_sept_dec[CléRize],T_sept_dec[[#This Row],[CléRize]])</f>
        <v>4.048582995951417E-3</v>
      </c>
      <c r="T119" s="186" t="str">
        <f>IF(COUNTIF(Total,T_sept_dec[[#This Row],[Secteur organisateur]]),"Total_"&amp;T_sept_dec[[#This Row],[Enseignant référent (Nom Prénom)]],"")</f>
        <v/>
      </c>
      <c r="U119" s="186">
        <f>1/COUNTIF(T_sept_dec[cléTotal],T_sept_dec[[#This Row],[cléTotal]])</f>
        <v>4.1841004184100415E-3</v>
      </c>
    </row>
    <row r="120" spans="11:21">
      <c r="K120" s="21" t="str">
        <f>IF(COUNTIF(Maternelle,E120)=1,listes!$T$1,IF(COUNTIF(Elémentaire,E120)=1,listes!$U$1,IF(COUNTIF(Collège,E120)=1,listes!$V$1,IF(COUNTIF(Lycée,E120)=1,listes!$W$1,""))))</f>
        <v/>
      </c>
      <c r="L120" s="21" t="str">
        <f>IF(COUNTIF(Perralière,D120)=1,listes!$P$1,IF(COUNTIF(Buers,D120)=1,listes!$J$1,IF(COUNTIF(Charpennes,D120)=1,listes!$K$1,IF(COUNTIF(Cusset,D120)=1,listes!$L$1,IF(COUNTIF(Cyprien,D120)=1,listes!$M$1,IF(COUNTIF(Ferrandière,D120)=1,listes!$N$1,IF(COUNTIF(Gratteciel,D120)=1,listes!$O$1,IF(COUNTIF(Saintjean,D120)=1,listes!$Q$1,IF(COUNTIF(horsvilleurbanne,D120)=1,listes!$R$1,"")))))))))</f>
        <v/>
      </c>
      <c r="M120" s="21" t="str">
        <f t="shared" si="1"/>
        <v/>
      </c>
      <c r="N120" s="21" t="str">
        <f>T_sept_dec[[#This Row],[Etablissement accueillant]]&amp;"-"&amp;T_sept_dec[[#This Row],[Enseignant référent (Nom Prénom)]]</f>
        <v>-</v>
      </c>
      <c r="O120" s="21">
        <f>1/COUNTIF(T_sept_dec[CléEtablissement],T_sept_dec[[#This Row],[CléEtablissement]])</f>
        <v>4.1841004184100415E-3</v>
      </c>
      <c r="P12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0" s="186">
        <f>1/COUNTIF(T_sept_dec[CléRéseau-Rize horsmed],T_sept_dec[[#This Row],[CléRéseau-Rize horsmed]])</f>
        <v>4.1841004184100415E-3</v>
      </c>
      <c r="R120" s="186" t="str">
        <f>IF(COUNTIF(RIZE,T_sept_dec[[#This Row],[Secteur organisateur]]),"Rize_"&amp;T_sept_dec[[#This Row],[Enseignant référent (Nom Prénom)]],"")</f>
        <v/>
      </c>
      <c r="S120" s="186">
        <f>1/COUNTIF(T_sept_dec[CléRize],T_sept_dec[[#This Row],[CléRize]])</f>
        <v>4.048582995951417E-3</v>
      </c>
      <c r="T120" s="186" t="str">
        <f>IF(COUNTIF(Total,T_sept_dec[[#This Row],[Secteur organisateur]]),"Total_"&amp;T_sept_dec[[#This Row],[Enseignant référent (Nom Prénom)]],"")</f>
        <v/>
      </c>
      <c r="U120" s="186">
        <f>1/COUNTIF(T_sept_dec[cléTotal],T_sept_dec[[#This Row],[cléTotal]])</f>
        <v>4.1841004184100415E-3</v>
      </c>
    </row>
    <row r="121" spans="11:21">
      <c r="K121" s="21" t="str">
        <f>IF(COUNTIF(Maternelle,E121)=1,listes!$T$1,IF(COUNTIF(Elémentaire,E121)=1,listes!$U$1,IF(COUNTIF(Collège,E121)=1,listes!$V$1,IF(COUNTIF(Lycée,E121)=1,listes!$W$1,""))))</f>
        <v/>
      </c>
      <c r="L121" s="21" t="str">
        <f>IF(COUNTIF(Perralière,D121)=1,listes!$P$1,IF(COUNTIF(Buers,D121)=1,listes!$J$1,IF(COUNTIF(Charpennes,D121)=1,listes!$K$1,IF(COUNTIF(Cusset,D121)=1,listes!$L$1,IF(COUNTIF(Cyprien,D121)=1,listes!$M$1,IF(COUNTIF(Ferrandière,D121)=1,listes!$N$1,IF(COUNTIF(Gratteciel,D121)=1,listes!$O$1,IF(COUNTIF(Saintjean,D121)=1,listes!$Q$1,IF(COUNTIF(horsvilleurbanne,D121)=1,listes!$R$1,"")))))))))</f>
        <v/>
      </c>
      <c r="M121" s="21" t="str">
        <f t="shared" si="1"/>
        <v/>
      </c>
      <c r="N121" s="21" t="str">
        <f>T_sept_dec[[#This Row],[Etablissement accueillant]]&amp;"-"&amp;T_sept_dec[[#This Row],[Enseignant référent (Nom Prénom)]]</f>
        <v>-</v>
      </c>
      <c r="O121" s="21">
        <f>1/COUNTIF(T_sept_dec[CléEtablissement],T_sept_dec[[#This Row],[CléEtablissement]])</f>
        <v>4.1841004184100415E-3</v>
      </c>
      <c r="P12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1" s="186">
        <f>1/COUNTIF(T_sept_dec[CléRéseau-Rize horsmed],T_sept_dec[[#This Row],[CléRéseau-Rize horsmed]])</f>
        <v>4.1841004184100415E-3</v>
      </c>
      <c r="R121" s="186" t="str">
        <f>IF(COUNTIF(RIZE,T_sept_dec[[#This Row],[Secteur organisateur]]),"Rize_"&amp;T_sept_dec[[#This Row],[Enseignant référent (Nom Prénom)]],"")</f>
        <v/>
      </c>
      <c r="S121" s="186">
        <f>1/COUNTIF(T_sept_dec[CléRize],T_sept_dec[[#This Row],[CléRize]])</f>
        <v>4.048582995951417E-3</v>
      </c>
      <c r="T121" s="186" t="str">
        <f>IF(COUNTIF(Total,T_sept_dec[[#This Row],[Secteur organisateur]]),"Total_"&amp;T_sept_dec[[#This Row],[Enseignant référent (Nom Prénom)]],"")</f>
        <v/>
      </c>
      <c r="U121" s="186">
        <f>1/COUNTIF(T_sept_dec[cléTotal],T_sept_dec[[#This Row],[cléTotal]])</f>
        <v>4.1841004184100415E-3</v>
      </c>
    </row>
    <row r="122" spans="11:21">
      <c r="K122" s="21" t="str">
        <f>IF(COUNTIF(Maternelle,E122)=1,listes!$T$1,IF(COUNTIF(Elémentaire,E122)=1,listes!$U$1,IF(COUNTIF(Collège,E122)=1,listes!$V$1,IF(COUNTIF(Lycée,E122)=1,listes!$W$1,""))))</f>
        <v/>
      </c>
      <c r="L122" s="21" t="str">
        <f>IF(COUNTIF(Perralière,D122)=1,listes!$P$1,IF(COUNTIF(Buers,D122)=1,listes!$J$1,IF(COUNTIF(Charpennes,D122)=1,listes!$K$1,IF(COUNTIF(Cusset,D122)=1,listes!$L$1,IF(COUNTIF(Cyprien,D122)=1,listes!$M$1,IF(COUNTIF(Ferrandière,D122)=1,listes!$N$1,IF(COUNTIF(Gratteciel,D122)=1,listes!$O$1,IF(COUNTIF(Saintjean,D122)=1,listes!$Q$1,IF(COUNTIF(horsvilleurbanne,D122)=1,listes!$R$1,"")))))))))</f>
        <v/>
      </c>
      <c r="M122" s="21" t="str">
        <f t="shared" si="1"/>
        <v/>
      </c>
      <c r="N122" s="21" t="str">
        <f>T_sept_dec[[#This Row],[Etablissement accueillant]]&amp;"-"&amp;T_sept_dec[[#This Row],[Enseignant référent (Nom Prénom)]]</f>
        <v>-</v>
      </c>
      <c r="O122" s="21">
        <f>1/COUNTIF(T_sept_dec[CléEtablissement],T_sept_dec[[#This Row],[CléEtablissement]])</f>
        <v>4.1841004184100415E-3</v>
      </c>
      <c r="P12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2" s="186">
        <f>1/COUNTIF(T_sept_dec[CléRéseau-Rize horsmed],T_sept_dec[[#This Row],[CléRéseau-Rize horsmed]])</f>
        <v>4.1841004184100415E-3</v>
      </c>
      <c r="R122" s="186" t="str">
        <f>IF(COUNTIF(RIZE,T_sept_dec[[#This Row],[Secteur organisateur]]),"Rize_"&amp;T_sept_dec[[#This Row],[Enseignant référent (Nom Prénom)]],"")</f>
        <v/>
      </c>
      <c r="S122" s="186">
        <f>1/COUNTIF(T_sept_dec[CléRize],T_sept_dec[[#This Row],[CléRize]])</f>
        <v>4.048582995951417E-3</v>
      </c>
      <c r="T122" s="186" t="str">
        <f>IF(COUNTIF(Total,T_sept_dec[[#This Row],[Secteur organisateur]]),"Total_"&amp;T_sept_dec[[#This Row],[Enseignant référent (Nom Prénom)]],"")</f>
        <v/>
      </c>
      <c r="U122" s="186">
        <f>1/COUNTIF(T_sept_dec[cléTotal],T_sept_dec[[#This Row],[cléTotal]])</f>
        <v>4.1841004184100415E-3</v>
      </c>
    </row>
    <row r="123" spans="11:21">
      <c r="K123" s="21" t="str">
        <f>IF(COUNTIF(Maternelle,E123)=1,listes!$T$1,IF(COUNTIF(Elémentaire,E123)=1,listes!$U$1,IF(COUNTIF(Collège,E123)=1,listes!$V$1,IF(COUNTIF(Lycée,E123)=1,listes!$W$1,""))))</f>
        <v/>
      </c>
      <c r="L123" s="21" t="str">
        <f>IF(COUNTIF(Perralière,D123)=1,listes!$P$1,IF(COUNTIF(Buers,D123)=1,listes!$J$1,IF(COUNTIF(Charpennes,D123)=1,listes!$K$1,IF(COUNTIF(Cusset,D123)=1,listes!$L$1,IF(COUNTIF(Cyprien,D123)=1,listes!$M$1,IF(COUNTIF(Ferrandière,D123)=1,listes!$N$1,IF(COUNTIF(Gratteciel,D123)=1,listes!$O$1,IF(COUNTIF(Saintjean,D123)=1,listes!$Q$1,IF(COUNTIF(horsvilleurbanne,D123)=1,listes!$R$1,"")))))))))</f>
        <v/>
      </c>
      <c r="M123" s="21" t="str">
        <f t="shared" si="1"/>
        <v/>
      </c>
      <c r="N123" s="21" t="str">
        <f>T_sept_dec[[#This Row],[Etablissement accueillant]]&amp;"-"&amp;T_sept_dec[[#This Row],[Enseignant référent (Nom Prénom)]]</f>
        <v>-</v>
      </c>
      <c r="O123" s="21">
        <f>1/COUNTIF(T_sept_dec[CléEtablissement],T_sept_dec[[#This Row],[CléEtablissement]])</f>
        <v>4.1841004184100415E-3</v>
      </c>
      <c r="P12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3" s="186">
        <f>1/COUNTIF(T_sept_dec[CléRéseau-Rize horsmed],T_sept_dec[[#This Row],[CléRéseau-Rize horsmed]])</f>
        <v>4.1841004184100415E-3</v>
      </c>
      <c r="R123" s="186" t="str">
        <f>IF(COUNTIF(RIZE,T_sept_dec[[#This Row],[Secteur organisateur]]),"Rize_"&amp;T_sept_dec[[#This Row],[Enseignant référent (Nom Prénom)]],"")</f>
        <v/>
      </c>
      <c r="S123" s="186">
        <f>1/COUNTIF(T_sept_dec[CléRize],T_sept_dec[[#This Row],[CléRize]])</f>
        <v>4.048582995951417E-3</v>
      </c>
      <c r="T123" s="186" t="str">
        <f>IF(COUNTIF(Total,T_sept_dec[[#This Row],[Secteur organisateur]]),"Total_"&amp;T_sept_dec[[#This Row],[Enseignant référent (Nom Prénom)]],"")</f>
        <v/>
      </c>
      <c r="U123" s="186">
        <f>1/COUNTIF(T_sept_dec[cléTotal],T_sept_dec[[#This Row],[cléTotal]])</f>
        <v>4.1841004184100415E-3</v>
      </c>
    </row>
    <row r="124" spans="11:21">
      <c r="K124" s="21" t="str">
        <f>IF(COUNTIF(Maternelle,E124)=1,listes!$T$1,IF(COUNTIF(Elémentaire,E124)=1,listes!$U$1,IF(COUNTIF(Collège,E124)=1,listes!$V$1,IF(COUNTIF(Lycée,E124)=1,listes!$W$1,""))))</f>
        <v/>
      </c>
      <c r="L124" s="21" t="str">
        <f>IF(COUNTIF(Perralière,D124)=1,listes!$P$1,IF(COUNTIF(Buers,D124)=1,listes!$J$1,IF(COUNTIF(Charpennes,D124)=1,listes!$K$1,IF(COUNTIF(Cusset,D124)=1,listes!$L$1,IF(COUNTIF(Cyprien,D124)=1,listes!$M$1,IF(COUNTIF(Ferrandière,D124)=1,listes!$N$1,IF(COUNTIF(Gratteciel,D124)=1,listes!$O$1,IF(COUNTIF(Saintjean,D124)=1,listes!$Q$1,IF(COUNTIF(horsvilleurbanne,D124)=1,listes!$R$1,"")))))))))</f>
        <v/>
      </c>
      <c r="M124" s="21" t="str">
        <f t="shared" si="1"/>
        <v/>
      </c>
      <c r="N124" s="21" t="str">
        <f>T_sept_dec[[#This Row],[Etablissement accueillant]]&amp;"-"&amp;T_sept_dec[[#This Row],[Enseignant référent (Nom Prénom)]]</f>
        <v>-</v>
      </c>
      <c r="O124" s="21">
        <f>1/COUNTIF(T_sept_dec[CléEtablissement],T_sept_dec[[#This Row],[CléEtablissement]])</f>
        <v>4.1841004184100415E-3</v>
      </c>
      <c r="P12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4" s="186">
        <f>1/COUNTIF(T_sept_dec[CléRéseau-Rize horsmed],T_sept_dec[[#This Row],[CléRéseau-Rize horsmed]])</f>
        <v>4.1841004184100415E-3</v>
      </c>
      <c r="R124" s="186" t="str">
        <f>IF(COUNTIF(RIZE,T_sept_dec[[#This Row],[Secteur organisateur]]),"Rize_"&amp;T_sept_dec[[#This Row],[Enseignant référent (Nom Prénom)]],"")</f>
        <v/>
      </c>
      <c r="S124" s="186">
        <f>1/COUNTIF(T_sept_dec[CléRize],T_sept_dec[[#This Row],[CléRize]])</f>
        <v>4.048582995951417E-3</v>
      </c>
      <c r="T124" s="186" t="str">
        <f>IF(COUNTIF(Total,T_sept_dec[[#This Row],[Secteur organisateur]]),"Total_"&amp;T_sept_dec[[#This Row],[Enseignant référent (Nom Prénom)]],"")</f>
        <v/>
      </c>
      <c r="U124" s="186">
        <f>1/COUNTIF(T_sept_dec[cléTotal],T_sept_dec[[#This Row],[cléTotal]])</f>
        <v>4.1841004184100415E-3</v>
      </c>
    </row>
    <row r="125" spans="11:21">
      <c r="K125" s="21" t="str">
        <f>IF(COUNTIF(Maternelle,E125)=1,listes!$T$1,IF(COUNTIF(Elémentaire,E125)=1,listes!$U$1,IF(COUNTIF(Collège,E125)=1,listes!$V$1,IF(COUNTIF(Lycée,E125)=1,listes!$W$1,""))))</f>
        <v/>
      </c>
      <c r="L125" s="21" t="str">
        <f>IF(COUNTIF(Perralière,D125)=1,listes!$P$1,IF(COUNTIF(Buers,D125)=1,listes!$J$1,IF(COUNTIF(Charpennes,D125)=1,listes!$K$1,IF(COUNTIF(Cusset,D125)=1,listes!$L$1,IF(COUNTIF(Cyprien,D125)=1,listes!$M$1,IF(COUNTIF(Ferrandière,D125)=1,listes!$N$1,IF(COUNTIF(Gratteciel,D125)=1,listes!$O$1,IF(COUNTIF(Saintjean,D125)=1,listes!$Q$1,IF(COUNTIF(horsvilleurbanne,D125)=1,listes!$R$1,"")))))))))</f>
        <v/>
      </c>
      <c r="M125" s="21" t="str">
        <f t="shared" si="1"/>
        <v/>
      </c>
      <c r="N125" s="21" t="str">
        <f>T_sept_dec[[#This Row],[Etablissement accueillant]]&amp;"-"&amp;T_sept_dec[[#This Row],[Enseignant référent (Nom Prénom)]]</f>
        <v>-</v>
      </c>
      <c r="O125" s="21">
        <f>1/COUNTIF(T_sept_dec[CléEtablissement],T_sept_dec[[#This Row],[CléEtablissement]])</f>
        <v>4.1841004184100415E-3</v>
      </c>
      <c r="P12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5" s="186">
        <f>1/COUNTIF(T_sept_dec[CléRéseau-Rize horsmed],T_sept_dec[[#This Row],[CléRéseau-Rize horsmed]])</f>
        <v>4.1841004184100415E-3</v>
      </c>
      <c r="R125" s="186" t="str">
        <f>IF(COUNTIF(RIZE,T_sept_dec[[#This Row],[Secteur organisateur]]),"Rize_"&amp;T_sept_dec[[#This Row],[Enseignant référent (Nom Prénom)]],"")</f>
        <v/>
      </c>
      <c r="S125" s="186">
        <f>1/COUNTIF(T_sept_dec[CléRize],T_sept_dec[[#This Row],[CléRize]])</f>
        <v>4.048582995951417E-3</v>
      </c>
      <c r="T125" s="186" t="str">
        <f>IF(COUNTIF(Total,T_sept_dec[[#This Row],[Secteur organisateur]]),"Total_"&amp;T_sept_dec[[#This Row],[Enseignant référent (Nom Prénom)]],"")</f>
        <v/>
      </c>
      <c r="U125" s="186">
        <f>1/COUNTIF(T_sept_dec[cléTotal],T_sept_dec[[#This Row],[cléTotal]])</f>
        <v>4.1841004184100415E-3</v>
      </c>
    </row>
    <row r="126" spans="11:21">
      <c r="K126" s="21" t="str">
        <f>IF(COUNTIF(Maternelle,E126)=1,listes!$T$1,IF(COUNTIF(Elémentaire,E126)=1,listes!$U$1,IF(COUNTIF(Collège,E126)=1,listes!$V$1,IF(COUNTIF(Lycée,E126)=1,listes!$W$1,""))))</f>
        <v/>
      </c>
      <c r="L126" s="21" t="str">
        <f>IF(COUNTIF(Perralière,D126)=1,listes!$P$1,IF(COUNTIF(Buers,D126)=1,listes!$J$1,IF(COUNTIF(Charpennes,D126)=1,listes!$K$1,IF(COUNTIF(Cusset,D126)=1,listes!$L$1,IF(COUNTIF(Cyprien,D126)=1,listes!$M$1,IF(COUNTIF(Ferrandière,D126)=1,listes!$N$1,IF(COUNTIF(Gratteciel,D126)=1,listes!$O$1,IF(COUNTIF(Saintjean,D126)=1,listes!$Q$1,IF(COUNTIF(horsvilleurbanne,D126)=1,listes!$R$1,"")))))))))</f>
        <v/>
      </c>
      <c r="M126" s="21" t="str">
        <f t="shared" si="1"/>
        <v/>
      </c>
      <c r="N126" s="21" t="str">
        <f>T_sept_dec[[#This Row],[Etablissement accueillant]]&amp;"-"&amp;T_sept_dec[[#This Row],[Enseignant référent (Nom Prénom)]]</f>
        <v>-</v>
      </c>
      <c r="O126" s="21">
        <f>1/COUNTIF(T_sept_dec[CléEtablissement],T_sept_dec[[#This Row],[CléEtablissement]])</f>
        <v>4.1841004184100415E-3</v>
      </c>
      <c r="P12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6" s="186">
        <f>1/COUNTIF(T_sept_dec[CléRéseau-Rize horsmed],T_sept_dec[[#This Row],[CléRéseau-Rize horsmed]])</f>
        <v>4.1841004184100415E-3</v>
      </c>
      <c r="R126" s="186" t="str">
        <f>IF(COUNTIF(RIZE,T_sept_dec[[#This Row],[Secteur organisateur]]),"Rize_"&amp;T_sept_dec[[#This Row],[Enseignant référent (Nom Prénom)]],"")</f>
        <v/>
      </c>
      <c r="S126" s="186">
        <f>1/COUNTIF(T_sept_dec[CléRize],T_sept_dec[[#This Row],[CléRize]])</f>
        <v>4.048582995951417E-3</v>
      </c>
      <c r="T126" s="186" t="str">
        <f>IF(COUNTIF(Total,T_sept_dec[[#This Row],[Secteur organisateur]]),"Total_"&amp;T_sept_dec[[#This Row],[Enseignant référent (Nom Prénom)]],"")</f>
        <v/>
      </c>
      <c r="U126" s="186">
        <f>1/COUNTIF(T_sept_dec[cléTotal],T_sept_dec[[#This Row],[cléTotal]])</f>
        <v>4.1841004184100415E-3</v>
      </c>
    </row>
    <row r="127" spans="11:21">
      <c r="K127" s="21" t="str">
        <f>IF(COUNTIF(Maternelle,E127)=1,listes!$T$1,IF(COUNTIF(Elémentaire,E127)=1,listes!$U$1,IF(COUNTIF(Collège,E127)=1,listes!$V$1,IF(COUNTIF(Lycée,E127)=1,listes!$W$1,""))))</f>
        <v/>
      </c>
      <c r="L127" s="21" t="str">
        <f>IF(COUNTIF(Perralière,D127)=1,listes!$P$1,IF(COUNTIF(Buers,D127)=1,listes!$J$1,IF(COUNTIF(Charpennes,D127)=1,listes!$K$1,IF(COUNTIF(Cusset,D127)=1,listes!$L$1,IF(COUNTIF(Cyprien,D127)=1,listes!$M$1,IF(COUNTIF(Ferrandière,D127)=1,listes!$N$1,IF(COUNTIF(Gratteciel,D127)=1,listes!$O$1,IF(COUNTIF(Saintjean,D127)=1,listes!$Q$1,IF(COUNTIF(horsvilleurbanne,D127)=1,listes!$R$1,"")))))))))</f>
        <v/>
      </c>
      <c r="M127" s="21" t="str">
        <f t="shared" si="1"/>
        <v/>
      </c>
      <c r="N127" s="21" t="str">
        <f>T_sept_dec[[#This Row],[Etablissement accueillant]]&amp;"-"&amp;T_sept_dec[[#This Row],[Enseignant référent (Nom Prénom)]]</f>
        <v>-</v>
      </c>
      <c r="O127" s="21">
        <f>1/COUNTIF(T_sept_dec[CléEtablissement],T_sept_dec[[#This Row],[CléEtablissement]])</f>
        <v>4.1841004184100415E-3</v>
      </c>
      <c r="P12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7" s="186">
        <f>1/COUNTIF(T_sept_dec[CléRéseau-Rize horsmed],T_sept_dec[[#This Row],[CléRéseau-Rize horsmed]])</f>
        <v>4.1841004184100415E-3</v>
      </c>
      <c r="R127" s="186" t="str">
        <f>IF(COUNTIF(RIZE,T_sept_dec[[#This Row],[Secteur organisateur]]),"Rize_"&amp;T_sept_dec[[#This Row],[Enseignant référent (Nom Prénom)]],"")</f>
        <v/>
      </c>
      <c r="S127" s="186">
        <f>1/COUNTIF(T_sept_dec[CléRize],T_sept_dec[[#This Row],[CléRize]])</f>
        <v>4.048582995951417E-3</v>
      </c>
      <c r="T127" s="186" t="str">
        <f>IF(COUNTIF(Total,T_sept_dec[[#This Row],[Secteur organisateur]]),"Total_"&amp;T_sept_dec[[#This Row],[Enseignant référent (Nom Prénom)]],"")</f>
        <v/>
      </c>
      <c r="U127" s="186">
        <f>1/COUNTIF(T_sept_dec[cléTotal],T_sept_dec[[#This Row],[cléTotal]])</f>
        <v>4.1841004184100415E-3</v>
      </c>
    </row>
    <row r="128" spans="11:21">
      <c r="K128" s="21" t="str">
        <f>IF(COUNTIF(Maternelle,E128)=1,listes!$T$1,IF(COUNTIF(Elémentaire,E128)=1,listes!$U$1,IF(COUNTIF(Collège,E128)=1,listes!$V$1,IF(COUNTIF(Lycée,E128)=1,listes!$W$1,""))))</f>
        <v/>
      </c>
      <c r="L128" s="21" t="str">
        <f>IF(COUNTIF(Perralière,D128)=1,listes!$P$1,IF(COUNTIF(Buers,D128)=1,listes!$J$1,IF(COUNTIF(Charpennes,D128)=1,listes!$K$1,IF(COUNTIF(Cusset,D128)=1,listes!$L$1,IF(COUNTIF(Cyprien,D128)=1,listes!$M$1,IF(COUNTIF(Ferrandière,D128)=1,listes!$N$1,IF(COUNTIF(Gratteciel,D128)=1,listes!$O$1,IF(COUNTIF(Saintjean,D128)=1,listes!$Q$1,IF(COUNTIF(horsvilleurbanne,D128)=1,listes!$R$1,"")))))))))</f>
        <v/>
      </c>
      <c r="M128" s="21" t="str">
        <f t="shared" si="1"/>
        <v/>
      </c>
      <c r="N128" s="21" t="str">
        <f>T_sept_dec[[#This Row],[Etablissement accueillant]]&amp;"-"&amp;T_sept_dec[[#This Row],[Enseignant référent (Nom Prénom)]]</f>
        <v>-</v>
      </c>
      <c r="O128" s="21">
        <f>1/COUNTIF(T_sept_dec[CléEtablissement],T_sept_dec[[#This Row],[CléEtablissement]])</f>
        <v>4.1841004184100415E-3</v>
      </c>
      <c r="P12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8" s="186">
        <f>1/COUNTIF(T_sept_dec[CléRéseau-Rize horsmed],T_sept_dec[[#This Row],[CléRéseau-Rize horsmed]])</f>
        <v>4.1841004184100415E-3</v>
      </c>
      <c r="R128" s="186" t="str">
        <f>IF(COUNTIF(RIZE,T_sept_dec[[#This Row],[Secteur organisateur]]),"Rize_"&amp;T_sept_dec[[#This Row],[Enseignant référent (Nom Prénom)]],"")</f>
        <v/>
      </c>
      <c r="S128" s="186">
        <f>1/COUNTIF(T_sept_dec[CléRize],T_sept_dec[[#This Row],[CléRize]])</f>
        <v>4.048582995951417E-3</v>
      </c>
      <c r="T128" s="186" t="str">
        <f>IF(COUNTIF(Total,T_sept_dec[[#This Row],[Secteur organisateur]]),"Total_"&amp;T_sept_dec[[#This Row],[Enseignant référent (Nom Prénom)]],"")</f>
        <v/>
      </c>
      <c r="U128" s="186">
        <f>1/COUNTIF(T_sept_dec[cléTotal],T_sept_dec[[#This Row],[cléTotal]])</f>
        <v>4.1841004184100415E-3</v>
      </c>
    </row>
    <row r="129" spans="1:21">
      <c r="K129" s="21" t="str">
        <f>IF(COUNTIF(Maternelle,E129)=1,listes!$T$1,IF(COUNTIF(Elémentaire,E129)=1,listes!$U$1,IF(COUNTIF(Collège,E129)=1,listes!$V$1,IF(COUNTIF(Lycée,E129)=1,listes!$W$1,""))))</f>
        <v/>
      </c>
      <c r="L129" s="21" t="str">
        <f>IF(COUNTIF(Perralière,D129)=1,listes!$P$1,IF(COUNTIF(Buers,D129)=1,listes!$J$1,IF(COUNTIF(Charpennes,D129)=1,listes!$K$1,IF(COUNTIF(Cusset,D129)=1,listes!$L$1,IF(COUNTIF(Cyprien,D129)=1,listes!$M$1,IF(COUNTIF(Ferrandière,D129)=1,listes!$N$1,IF(COUNTIF(Gratteciel,D129)=1,listes!$O$1,IF(COUNTIF(Saintjean,D129)=1,listes!$Q$1,IF(COUNTIF(horsvilleurbanne,D129)=1,listes!$R$1,"")))))))))</f>
        <v/>
      </c>
      <c r="M129" s="21" t="str">
        <f t="shared" si="1"/>
        <v/>
      </c>
      <c r="N129" s="21" t="str">
        <f>T_sept_dec[[#This Row],[Etablissement accueillant]]&amp;"-"&amp;T_sept_dec[[#This Row],[Enseignant référent (Nom Prénom)]]</f>
        <v>-</v>
      </c>
      <c r="O129" s="21">
        <f>1/COUNTIF(T_sept_dec[CléEtablissement],T_sept_dec[[#This Row],[CléEtablissement]])</f>
        <v>4.1841004184100415E-3</v>
      </c>
      <c r="P12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29" s="186">
        <f>1/COUNTIF(T_sept_dec[CléRéseau-Rize horsmed],T_sept_dec[[#This Row],[CléRéseau-Rize horsmed]])</f>
        <v>4.1841004184100415E-3</v>
      </c>
      <c r="R129" s="186" t="str">
        <f>IF(COUNTIF(RIZE,T_sept_dec[[#This Row],[Secteur organisateur]]),"Rize_"&amp;T_sept_dec[[#This Row],[Enseignant référent (Nom Prénom)]],"")</f>
        <v/>
      </c>
      <c r="S129" s="186">
        <f>1/COUNTIF(T_sept_dec[CléRize],T_sept_dec[[#This Row],[CléRize]])</f>
        <v>4.048582995951417E-3</v>
      </c>
      <c r="T129" s="186" t="str">
        <f>IF(COUNTIF(Total,T_sept_dec[[#This Row],[Secteur organisateur]]),"Total_"&amp;T_sept_dec[[#This Row],[Enseignant référent (Nom Prénom)]],"")</f>
        <v/>
      </c>
      <c r="U129" s="186">
        <f>1/COUNTIF(T_sept_dec[cléTotal],T_sept_dec[[#This Row],[cléTotal]])</f>
        <v>4.1841004184100415E-3</v>
      </c>
    </row>
    <row r="130" spans="1:21">
      <c r="K130" s="21" t="str">
        <f>IF(COUNTIF(Maternelle,E130)=1,listes!$T$1,IF(COUNTIF(Elémentaire,E130)=1,listes!$U$1,IF(COUNTIF(Collège,E130)=1,listes!$V$1,IF(COUNTIF(Lycée,E130)=1,listes!$W$1,""))))</f>
        <v/>
      </c>
      <c r="L130" s="21" t="str">
        <f>IF(COUNTIF(Perralière,D130)=1,listes!$P$1,IF(COUNTIF(Buers,D130)=1,listes!$J$1,IF(COUNTIF(Charpennes,D130)=1,listes!$K$1,IF(COUNTIF(Cusset,D130)=1,listes!$L$1,IF(COUNTIF(Cyprien,D130)=1,listes!$M$1,IF(COUNTIF(Ferrandière,D130)=1,listes!$N$1,IF(COUNTIF(Gratteciel,D130)=1,listes!$O$1,IF(COUNTIF(Saintjean,D130)=1,listes!$Q$1,IF(COUNTIF(horsvilleurbanne,D130)=1,listes!$R$1,"")))))))))</f>
        <v/>
      </c>
      <c r="M130" s="21" t="str">
        <f t="shared" ref="M130:M193" si="2">IF(COUNTIF(FDL,B130)=1,"FDL",IF(COUNTIF(RIZE,B130)=1,"RIZE",IF(COUNTIF(MLIS,B130)=1,"MLIS",IF(COUNTIF(PACBUS,B130)=1,"PAC-BUS",IF(COUNTIF(Tonkin,B130)=1,"Tonkin","")))))</f>
        <v/>
      </c>
      <c r="N130" s="21" t="str">
        <f>T_sept_dec[[#This Row],[Etablissement accueillant]]&amp;"-"&amp;T_sept_dec[[#This Row],[Enseignant référent (Nom Prénom)]]</f>
        <v>-</v>
      </c>
      <c r="O130" s="21">
        <f>1/COUNTIF(T_sept_dec[CléEtablissement],T_sept_dec[[#This Row],[CléEtablissement]])</f>
        <v>4.1841004184100415E-3</v>
      </c>
      <c r="P13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0" s="186">
        <f>1/COUNTIF(T_sept_dec[CléRéseau-Rize horsmed],T_sept_dec[[#This Row],[CléRéseau-Rize horsmed]])</f>
        <v>4.1841004184100415E-3</v>
      </c>
      <c r="R130" s="186" t="str">
        <f>IF(COUNTIF(RIZE,T_sept_dec[[#This Row],[Secteur organisateur]]),"Rize_"&amp;T_sept_dec[[#This Row],[Enseignant référent (Nom Prénom)]],"")</f>
        <v/>
      </c>
      <c r="S130" s="186">
        <f>1/COUNTIF(T_sept_dec[CléRize],T_sept_dec[[#This Row],[CléRize]])</f>
        <v>4.048582995951417E-3</v>
      </c>
      <c r="T130" s="186" t="str">
        <f>IF(COUNTIF(Total,T_sept_dec[[#This Row],[Secteur organisateur]]),"Total_"&amp;T_sept_dec[[#This Row],[Enseignant référent (Nom Prénom)]],"")</f>
        <v/>
      </c>
      <c r="U130" s="186">
        <f>1/COUNTIF(T_sept_dec[cléTotal],T_sept_dec[[#This Row],[cléTotal]])</f>
        <v>4.1841004184100415E-3</v>
      </c>
    </row>
    <row r="131" spans="1:21">
      <c r="K131" s="21" t="str">
        <f>IF(COUNTIF(Maternelle,E131)=1,listes!$T$1,IF(COUNTIF(Elémentaire,E131)=1,listes!$U$1,IF(COUNTIF(Collège,E131)=1,listes!$V$1,IF(COUNTIF(Lycée,E131)=1,listes!$W$1,""))))</f>
        <v/>
      </c>
      <c r="L131" s="21" t="str">
        <f>IF(COUNTIF(Perralière,D131)=1,listes!$P$1,IF(COUNTIF(Buers,D131)=1,listes!$J$1,IF(COUNTIF(Charpennes,D131)=1,listes!$K$1,IF(COUNTIF(Cusset,D131)=1,listes!$L$1,IF(COUNTIF(Cyprien,D131)=1,listes!$M$1,IF(COUNTIF(Ferrandière,D131)=1,listes!$N$1,IF(COUNTIF(Gratteciel,D131)=1,listes!$O$1,IF(COUNTIF(Saintjean,D131)=1,listes!$Q$1,IF(COUNTIF(horsvilleurbanne,D131)=1,listes!$R$1,"")))))))))</f>
        <v/>
      </c>
      <c r="M131" s="21" t="str">
        <f t="shared" si="2"/>
        <v/>
      </c>
      <c r="N131" s="21" t="str">
        <f>T_sept_dec[[#This Row],[Etablissement accueillant]]&amp;"-"&amp;T_sept_dec[[#This Row],[Enseignant référent (Nom Prénom)]]</f>
        <v>-</v>
      </c>
      <c r="O131" s="21">
        <f>1/COUNTIF(T_sept_dec[CléEtablissement],T_sept_dec[[#This Row],[CléEtablissement]])</f>
        <v>4.1841004184100415E-3</v>
      </c>
      <c r="P13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1" s="186">
        <f>1/COUNTIF(T_sept_dec[CléRéseau-Rize horsmed],T_sept_dec[[#This Row],[CléRéseau-Rize horsmed]])</f>
        <v>4.1841004184100415E-3</v>
      </c>
      <c r="R131" s="186" t="str">
        <f>IF(COUNTIF(RIZE,T_sept_dec[[#This Row],[Secteur organisateur]]),"Rize_"&amp;T_sept_dec[[#This Row],[Enseignant référent (Nom Prénom)]],"")</f>
        <v/>
      </c>
      <c r="S131" s="186">
        <f>1/COUNTIF(T_sept_dec[CléRize],T_sept_dec[[#This Row],[CléRize]])</f>
        <v>4.048582995951417E-3</v>
      </c>
      <c r="T131" s="186" t="str">
        <f>IF(COUNTIF(Total,T_sept_dec[[#This Row],[Secteur organisateur]]),"Total_"&amp;T_sept_dec[[#This Row],[Enseignant référent (Nom Prénom)]],"")</f>
        <v/>
      </c>
      <c r="U131" s="186">
        <f>1/COUNTIF(T_sept_dec[cléTotal],T_sept_dec[[#This Row],[cléTotal]])</f>
        <v>4.1841004184100415E-3</v>
      </c>
    </row>
    <row r="132" spans="1:21" ht="15.75" customHeight="1">
      <c r="K132" s="21" t="str">
        <f>IF(COUNTIF(Maternelle,E132)=1,listes!$T$1,IF(COUNTIF(Elémentaire,E132)=1,listes!$U$1,IF(COUNTIF(Collège,E132)=1,listes!$V$1,IF(COUNTIF(Lycée,E132)=1,listes!$W$1,""))))</f>
        <v/>
      </c>
      <c r="L132" s="21" t="str">
        <f>IF(COUNTIF(Perralière,D132)=1,listes!$P$1,IF(COUNTIF(Buers,D132)=1,listes!$J$1,IF(COUNTIF(Charpennes,D132)=1,listes!$K$1,IF(COUNTIF(Cusset,D132)=1,listes!$L$1,IF(COUNTIF(Cyprien,D132)=1,listes!$M$1,IF(COUNTIF(Ferrandière,D132)=1,listes!$N$1,IF(COUNTIF(Gratteciel,D132)=1,listes!$O$1,IF(COUNTIF(Saintjean,D132)=1,listes!$Q$1,IF(COUNTIF(horsvilleurbanne,D132)=1,listes!$R$1,"")))))))))</f>
        <v/>
      </c>
      <c r="M132" s="21" t="str">
        <f t="shared" si="2"/>
        <v/>
      </c>
      <c r="N132" s="21" t="str">
        <f>T_sept_dec[[#This Row],[Etablissement accueillant]]&amp;"-"&amp;T_sept_dec[[#This Row],[Enseignant référent (Nom Prénom)]]</f>
        <v>-</v>
      </c>
      <c r="O132" s="21">
        <f>1/COUNTIF(T_sept_dec[CléEtablissement],T_sept_dec[[#This Row],[CléEtablissement]])</f>
        <v>4.1841004184100415E-3</v>
      </c>
      <c r="P13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2" s="186">
        <f>1/COUNTIF(T_sept_dec[CléRéseau-Rize horsmed],T_sept_dec[[#This Row],[CléRéseau-Rize horsmed]])</f>
        <v>4.1841004184100415E-3</v>
      </c>
      <c r="R132" s="186" t="str">
        <f>IF(COUNTIF(RIZE,T_sept_dec[[#This Row],[Secteur organisateur]]),"Rize_"&amp;T_sept_dec[[#This Row],[Enseignant référent (Nom Prénom)]],"")</f>
        <v/>
      </c>
      <c r="S132" s="186">
        <f>1/COUNTIF(T_sept_dec[CléRize],T_sept_dec[[#This Row],[CléRize]])</f>
        <v>4.048582995951417E-3</v>
      </c>
      <c r="T132" s="186" t="str">
        <f>IF(COUNTIF(Total,T_sept_dec[[#This Row],[Secteur organisateur]]),"Total_"&amp;T_sept_dec[[#This Row],[Enseignant référent (Nom Prénom)]],"")</f>
        <v/>
      </c>
      <c r="U132" s="186">
        <f>1/COUNTIF(T_sept_dec[cléTotal],T_sept_dec[[#This Row],[cléTotal]])</f>
        <v>4.1841004184100415E-3</v>
      </c>
    </row>
    <row r="133" spans="1:21" ht="15" customHeight="1">
      <c r="K133" s="21" t="str">
        <f>IF(COUNTIF(Maternelle,E133)=1,listes!$T$1,IF(COUNTIF(Elémentaire,E133)=1,listes!$U$1,IF(COUNTIF(Collège,E133)=1,listes!$V$1,IF(COUNTIF(Lycée,E133)=1,listes!$W$1,""))))</f>
        <v/>
      </c>
      <c r="L133" s="21" t="str">
        <f>IF(COUNTIF(Perralière,D133)=1,listes!$P$1,IF(COUNTIF(Buers,D133)=1,listes!$J$1,IF(COUNTIF(Charpennes,D133)=1,listes!$K$1,IF(COUNTIF(Cusset,D133)=1,listes!$L$1,IF(COUNTIF(Cyprien,D133)=1,listes!$M$1,IF(COUNTIF(Ferrandière,D133)=1,listes!$N$1,IF(COUNTIF(Gratteciel,D133)=1,listes!$O$1,IF(COUNTIF(Saintjean,D133)=1,listes!$Q$1,IF(COUNTIF(horsvilleurbanne,D133)=1,listes!$R$1,"")))))))))</f>
        <v/>
      </c>
      <c r="M133" s="21" t="str">
        <f t="shared" si="2"/>
        <v/>
      </c>
      <c r="N133" s="21" t="str">
        <f>T_sept_dec[[#This Row],[Etablissement accueillant]]&amp;"-"&amp;T_sept_dec[[#This Row],[Enseignant référent (Nom Prénom)]]</f>
        <v>-</v>
      </c>
      <c r="O133" s="21">
        <f>1/COUNTIF(T_sept_dec[CléEtablissement],T_sept_dec[[#This Row],[CléEtablissement]])</f>
        <v>4.1841004184100415E-3</v>
      </c>
      <c r="P13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3" s="186">
        <f>1/COUNTIF(T_sept_dec[CléRéseau-Rize horsmed],T_sept_dec[[#This Row],[CléRéseau-Rize horsmed]])</f>
        <v>4.1841004184100415E-3</v>
      </c>
      <c r="R133" s="186" t="str">
        <f>IF(COUNTIF(RIZE,T_sept_dec[[#This Row],[Secteur organisateur]]),"Rize_"&amp;T_sept_dec[[#This Row],[Enseignant référent (Nom Prénom)]],"")</f>
        <v/>
      </c>
      <c r="S133" s="186">
        <f>1/COUNTIF(T_sept_dec[CléRize],T_sept_dec[[#This Row],[CléRize]])</f>
        <v>4.048582995951417E-3</v>
      </c>
      <c r="T133" s="186" t="str">
        <f>IF(COUNTIF(Total,T_sept_dec[[#This Row],[Secteur organisateur]]),"Total_"&amp;T_sept_dec[[#This Row],[Enseignant référent (Nom Prénom)]],"")</f>
        <v/>
      </c>
      <c r="U133" s="186">
        <f>1/COUNTIF(T_sept_dec[cléTotal],T_sept_dec[[#This Row],[cléTotal]])</f>
        <v>4.1841004184100415E-3</v>
      </c>
    </row>
    <row r="134" spans="1:21">
      <c r="K134" s="21" t="str">
        <f>IF(COUNTIF(Maternelle,E134)=1,listes!$T$1,IF(COUNTIF(Elémentaire,E134)=1,listes!$U$1,IF(COUNTIF(Collège,E134)=1,listes!$V$1,IF(COUNTIF(Lycée,E134)=1,listes!$W$1,""))))</f>
        <v/>
      </c>
      <c r="L134" s="21" t="str">
        <f>IF(COUNTIF(Perralière,D134)=1,listes!$P$1,IF(COUNTIF(Buers,D134)=1,listes!$J$1,IF(COUNTIF(Charpennes,D134)=1,listes!$K$1,IF(COUNTIF(Cusset,D134)=1,listes!$L$1,IF(COUNTIF(Cyprien,D134)=1,listes!$M$1,IF(COUNTIF(Ferrandière,D134)=1,listes!$N$1,IF(COUNTIF(Gratteciel,D134)=1,listes!$O$1,IF(COUNTIF(Saintjean,D134)=1,listes!$Q$1,IF(COUNTIF(horsvilleurbanne,D134)=1,listes!$R$1,"")))))))))</f>
        <v/>
      </c>
      <c r="M134" s="21" t="str">
        <f t="shared" si="2"/>
        <v/>
      </c>
      <c r="N134" s="21" t="str">
        <f>T_sept_dec[[#This Row],[Etablissement accueillant]]&amp;"-"&amp;T_sept_dec[[#This Row],[Enseignant référent (Nom Prénom)]]</f>
        <v>-</v>
      </c>
      <c r="O134" s="21">
        <f>1/COUNTIF(T_sept_dec[CléEtablissement],T_sept_dec[[#This Row],[CléEtablissement]])</f>
        <v>4.1841004184100415E-3</v>
      </c>
      <c r="P13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4" s="186">
        <f>1/COUNTIF(T_sept_dec[CléRéseau-Rize horsmed],T_sept_dec[[#This Row],[CléRéseau-Rize horsmed]])</f>
        <v>4.1841004184100415E-3</v>
      </c>
      <c r="R134" s="186" t="str">
        <f>IF(COUNTIF(RIZE,T_sept_dec[[#This Row],[Secteur organisateur]]),"Rize_"&amp;T_sept_dec[[#This Row],[Enseignant référent (Nom Prénom)]],"")</f>
        <v/>
      </c>
      <c r="S134" s="186">
        <f>1/COUNTIF(T_sept_dec[CléRize],T_sept_dec[[#This Row],[CléRize]])</f>
        <v>4.048582995951417E-3</v>
      </c>
      <c r="T134" s="186" t="str">
        <f>IF(COUNTIF(Total,T_sept_dec[[#This Row],[Secteur organisateur]]),"Total_"&amp;T_sept_dec[[#This Row],[Enseignant référent (Nom Prénom)]],"")</f>
        <v/>
      </c>
      <c r="U134" s="186">
        <f>1/COUNTIF(T_sept_dec[cléTotal],T_sept_dec[[#This Row],[cléTotal]])</f>
        <v>4.1841004184100415E-3</v>
      </c>
    </row>
    <row r="135" spans="1:21">
      <c r="K135" s="21" t="str">
        <f>IF(COUNTIF(Maternelle,E135)=1,listes!$T$1,IF(COUNTIF(Elémentaire,E135)=1,listes!$U$1,IF(COUNTIF(Collège,E135)=1,listes!$V$1,IF(COUNTIF(Lycée,E135)=1,listes!$W$1,""))))</f>
        <v/>
      </c>
      <c r="L135" s="21" t="str">
        <f>IF(COUNTIF(Perralière,D135)=1,listes!$P$1,IF(COUNTIF(Buers,D135)=1,listes!$J$1,IF(COUNTIF(Charpennes,D135)=1,listes!$K$1,IF(COUNTIF(Cusset,D135)=1,listes!$L$1,IF(COUNTIF(Cyprien,D135)=1,listes!$M$1,IF(COUNTIF(Ferrandière,D135)=1,listes!$N$1,IF(COUNTIF(Gratteciel,D135)=1,listes!$O$1,IF(COUNTIF(Saintjean,D135)=1,listes!$Q$1,IF(COUNTIF(horsvilleurbanne,D135)=1,listes!$R$1,"")))))))))</f>
        <v/>
      </c>
      <c r="M135" s="21" t="str">
        <f t="shared" si="2"/>
        <v/>
      </c>
      <c r="N135" s="21" t="str">
        <f>T_sept_dec[[#This Row],[Etablissement accueillant]]&amp;"-"&amp;T_sept_dec[[#This Row],[Enseignant référent (Nom Prénom)]]</f>
        <v>-</v>
      </c>
      <c r="O135" s="21">
        <f>1/COUNTIF(T_sept_dec[CléEtablissement],T_sept_dec[[#This Row],[CléEtablissement]])</f>
        <v>4.1841004184100415E-3</v>
      </c>
      <c r="P13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5" s="186">
        <f>1/COUNTIF(T_sept_dec[CléRéseau-Rize horsmed],T_sept_dec[[#This Row],[CléRéseau-Rize horsmed]])</f>
        <v>4.1841004184100415E-3</v>
      </c>
      <c r="R135" s="186" t="str">
        <f>IF(COUNTIF(RIZE,T_sept_dec[[#This Row],[Secteur organisateur]]),"Rize_"&amp;T_sept_dec[[#This Row],[Enseignant référent (Nom Prénom)]],"")</f>
        <v/>
      </c>
      <c r="S135" s="186">
        <f>1/COUNTIF(T_sept_dec[CléRize],T_sept_dec[[#This Row],[CléRize]])</f>
        <v>4.048582995951417E-3</v>
      </c>
      <c r="T135" s="186" t="str">
        <f>IF(COUNTIF(Total,T_sept_dec[[#This Row],[Secteur organisateur]]),"Total_"&amp;T_sept_dec[[#This Row],[Enseignant référent (Nom Prénom)]],"")</f>
        <v/>
      </c>
      <c r="U135" s="186">
        <f>1/COUNTIF(T_sept_dec[cléTotal],T_sept_dec[[#This Row],[cléTotal]])</f>
        <v>4.1841004184100415E-3</v>
      </c>
    </row>
    <row r="136" spans="1:21">
      <c r="K136" s="21" t="str">
        <f>IF(COUNTIF(Maternelle,E136)=1,listes!$T$1,IF(COUNTIF(Elémentaire,E136)=1,listes!$U$1,IF(COUNTIF(Collège,E136)=1,listes!$V$1,IF(COUNTIF(Lycée,E136)=1,listes!$W$1,""))))</f>
        <v/>
      </c>
      <c r="L136" s="21" t="str">
        <f>IF(COUNTIF(Perralière,D136)=1,listes!$P$1,IF(COUNTIF(Buers,D136)=1,listes!$J$1,IF(COUNTIF(Charpennes,D136)=1,listes!$K$1,IF(COUNTIF(Cusset,D136)=1,listes!$L$1,IF(COUNTIF(Cyprien,D136)=1,listes!$M$1,IF(COUNTIF(Ferrandière,D136)=1,listes!$N$1,IF(COUNTIF(Gratteciel,D136)=1,listes!$O$1,IF(COUNTIF(Saintjean,D136)=1,listes!$Q$1,IF(COUNTIF(horsvilleurbanne,D136)=1,listes!$R$1,"")))))))))</f>
        <v/>
      </c>
      <c r="M136" s="21" t="str">
        <f t="shared" si="2"/>
        <v/>
      </c>
      <c r="N136" s="21" t="str">
        <f>T_sept_dec[[#This Row],[Etablissement accueillant]]&amp;"-"&amp;T_sept_dec[[#This Row],[Enseignant référent (Nom Prénom)]]</f>
        <v>-</v>
      </c>
      <c r="O136" s="21">
        <f>1/COUNTIF(T_sept_dec[CléEtablissement],T_sept_dec[[#This Row],[CléEtablissement]])</f>
        <v>4.1841004184100415E-3</v>
      </c>
      <c r="P13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6" s="186">
        <f>1/COUNTIF(T_sept_dec[CléRéseau-Rize horsmed],T_sept_dec[[#This Row],[CléRéseau-Rize horsmed]])</f>
        <v>4.1841004184100415E-3</v>
      </c>
      <c r="R136" s="186" t="str">
        <f>IF(COUNTIF(RIZE,T_sept_dec[[#This Row],[Secteur organisateur]]),"Rize_"&amp;T_sept_dec[[#This Row],[Enseignant référent (Nom Prénom)]],"")</f>
        <v/>
      </c>
      <c r="S136" s="186">
        <f>1/COUNTIF(T_sept_dec[CléRize],T_sept_dec[[#This Row],[CléRize]])</f>
        <v>4.048582995951417E-3</v>
      </c>
      <c r="T136" s="186" t="str">
        <f>IF(COUNTIF(Total,T_sept_dec[[#This Row],[Secteur organisateur]]),"Total_"&amp;T_sept_dec[[#This Row],[Enseignant référent (Nom Prénom)]],"")</f>
        <v/>
      </c>
      <c r="U136" s="186">
        <f>1/COUNTIF(T_sept_dec[cléTotal],T_sept_dec[[#This Row],[cléTotal]])</f>
        <v>4.1841004184100415E-3</v>
      </c>
    </row>
    <row r="137" spans="1:21" s="163" customFormat="1">
      <c r="A137" s="122"/>
      <c r="B137" s="20"/>
      <c r="C137" s="20"/>
      <c r="D137" s="20"/>
      <c r="E137" s="20"/>
      <c r="F137" s="20"/>
      <c r="G137" s="20"/>
      <c r="H137" s="20"/>
      <c r="I137" s="20"/>
      <c r="J137" s="20"/>
      <c r="K137" s="21" t="str">
        <f>IF(COUNTIF(Maternelle,E137)=1,listes!$T$1,IF(COUNTIF(Elémentaire,E137)=1,listes!$U$1,IF(COUNTIF(Collège,E137)=1,listes!$V$1,IF(COUNTIF(Lycée,E137)=1,listes!$W$1,""))))</f>
        <v/>
      </c>
      <c r="L137" s="21" t="str">
        <f>IF(COUNTIF(Perralière,D137)=1,listes!$P$1,IF(COUNTIF(Buers,D137)=1,listes!$J$1,IF(COUNTIF(Charpennes,D137)=1,listes!$K$1,IF(COUNTIF(Cusset,D137)=1,listes!$L$1,IF(COUNTIF(Cyprien,D137)=1,listes!$M$1,IF(COUNTIF(Ferrandière,D137)=1,listes!$N$1,IF(COUNTIF(Gratteciel,D137)=1,listes!$O$1,IF(COUNTIF(Saintjean,D137)=1,listes!$Q$1,IF(COUNTIF(horsvilleurbanne,D137)=1,listes!$R$1,"")))))))))</f>
        <v/>
      </c>
      <c r="M137" s="21" t="str">
        <f t="shared" si="2"/>
        <v/>
      </c>
      <c r="N137" s="185" t="str">
        <f>T_sept_dec[[#This Row],[Etablissement accueillant]]&amp;"-"&amp;T_sept_dec[[#This Row],[Enseignant référent (Nom Prénom)]]</f>
        <v>-</v>
      </c>
      <c r="O137" s="185">
        <f>1/COUNTIF(T_sept_dec[CléEtablissement],T_sept_dec[[#This Row],[CléEtablissement]])</f>
        <v>4.1841004184100415E-3</v>
      </c>
      <c r="P137" s="185"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7" s="187">
        <f>1/COUNTIF(T_sept_dec[CléRéseau-Rize horsmed],T_sept_dec[[#This Row],[CléRéseau-Rize horsmed]])</f>
        <v>4.1841004184100415E-3</v>
      </c>
      <c r="R137" s="187" t="str">
        <f>IF(COUNTIF(RIZE,T_sept_dec[[#This Row],[Secteur organisateur]]),"Rize_"&amp;T_sept_dec[[#This Row],[Enseignant référent (Nom Prénom)]],"")</f>
        <v/>
      </c>
      <c r="S137" s="187">
        <f>1/COUNTIF(T_sept_dec[CléRize],T_sept_dec[[#This Row],[CléRize]])</f>
        <v>4.048582995951417E-3</v>
      </c>
      <c r="T137" s="187" t="str">
        <f>IF(COUNTIF(Total,T_sept_dec[[#This Row],[Secteur organisateur]]),"Total_"&amp;T_sept_dec[[#This Row],[Enseignant référent (Nom Prénom)]],"")</f>
        <v/>
      </c>
      <c r="U137" s="187">
        <f>1/COUNTIF(T_sept_dec[cléTotal],T_sept_dec[[#This Row],[cléTotal]])</f>
        <v>4.1841004184100415E-3</v>
      </c>
    </row>
    <row r="138" spans="1:21">
      <c r="K138" s="21" t="str">
        <f>IF(COUNTIF(Maternelle,E138)=1,listes!$T$1,IF(COUNTIF(Elémentaire,E138)=1,listes!$U$1,IF(COUNTIF(Collège,E138)=1,listes!$V$1,IF(COUNTIF(Lycée,E138)=1,listes!$W$1,""))))</f>
        <v/>
      </c>
      <c r="L138" s="21" t="str">
        <f>IF(COUNTIF(Perralière,D138)=1,listes!$P$1,IF(COUNTIF(Buers,D138)=1,listes!$J$1,IF(COUNTIF(Charpennes,D138)=1,listes!$K$1,IF(COUNTIF(Cusset,D138)=1,listes!$L$1,IF(COUNTIF(Cyprien,D138)=1,listes!$M$1,IF(COUNTIF(Ferrandière,D138)=1,listes!$N$1,IF(COUNTIF(Gratteciel,D138)=1,listes!$O$1,IF(COUNTIF(Saintjean,D138)=1,listes!$Q$1,IF(COUNTIF(horsvilleurbanne,D138)=1,listes!$R$1,"")))))))))</f>
        <v/>
      </c>
      <c r="M138" s="21" t="str">
        <f t="shared" si="2"/>
        <v/>
      </c>
      <c r="N138" s="21" t="str">
        <f>T_sept_dec[[#This Row],[Etablissement accueillant]]&amp;"-"&amp;T_sept_dec[[#This Row],[Enseignant référent (Nom Prénom)]]</f>
        <v>-</v>
      </c>
      <c r="O138" s="21">
        <f>1/COUNTIF(T_sept_dec[CléEtablissement],T_sept_dec[[#This Row],[CléEtablissement]])</f>
        <v>4.1841004184100415E-3</v>
      </c>
      <c r="P13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8" s="186">
        <f>1/COUNTIF(T_sept_dec[CléRéseau-Rize horsmed],T_sept_dec[[#This Row],[CléRéseau-Rize horsmed]])</f>
        <v>4.1841004184100415E-3</v>
      </c>
      <c r="R138" s="186" t="str">
        <f>IF(COUNTIF(RIZE,T_sept_dec[[#This Row],[Secteur organisateur]]),"Rize_"&amp;T_sept_dec[[#This Row],[Enseignant référent (Nom Prénom)]],"")</f>
        <v/>
      </c>
      <c r="S138" s="186">
        <f>1/COUNTIF(T_sept_dec[CléRize],T_sept_dec[[#This Row],[CléRize]])</f>
        <v>4.048582995951417E-3</v>
      </c>
      <c r="T138" s="186" t="str">
        <f>IF(COUNTIF(Total,T_sept_dec[[#This Row],[Secteur organisateur]]),"Total_"&amp;T_sept_dec[[#This Row],[Enseignant référent (Nom Prénom)]],"")</f>
        <v/>
      </c>
      <c r="U138" s="186">
        <f>1/COUNTIF(T_sept_dec[cléTotal],T_sept_dec[[#This Row],[cléTotal]])</f>
        <v>4.1841004184100415E-3</v>
      </c>
    </row>
    <row r="139" spans="1:21">
      <c r="K139" s="21" t="str">
        <f>IF(COUNTIF(Maternelle,E139)=1,listes!$T$1,IF(COUNTIF(Elémentaire,E139)=1,listes!$U$1,IF(COUNTIF(Collège,E139)=1,listes!$V$1,IF(COUNTIF(Lycée,E139)=1,listes!$W$1,""))))</f>
        <v/>
      </c>
      <c r="L139" s="21" t="str">
        <f>IF(COUNTIF(Perralière,D139)=1,listes!$P$1,IF(COUNTIF(Buers,D139)=1,listes!$J$1,IF(COUNTIF(Charpennes,D139)=1,listes!$K$1,IF(COUNTIF(Cusset,D139)=1,listes!$L$1,IF(COUNTIF(Cyprien,D139)=1,listes!$M$1,IF(COUNTIF(Ferrandière,D139)=1,listes!$N$1,IF(COUNTIF(Gratteciel,D139)=1,listes!$O$1,IF(COUNTIF(Saintjean,D139)=1,listes!$Q$1,IF(COUNTIF(horsvilleurbanne,D139)=1,listes!$R$1,"")))))))))</f>
        <v/>
      </c>
      <c r="M139" s="21" t="str">
        <f t="shared" si="2"/>
        <v/>
      </c>
      <c r="N139" s="21" t="str">
        <f>T_sept_dec[[#This Row],[Etablissement accueillant]]&amp;"-"&amp;T_sept_dec[[#This Row],[Enseignant référent (Nom Prénom)]]</f>
        <v>-</v>
      </c>
      <c r="O139" s="21">
        <f>1/COUNTIF(T_sept_dec[CléEtablissement],T_sept_dec[[#This Row],[CléEtablissement]])</f>
        <v>4.1841004184100415E-3</v>
      </c>
      <c r="P13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39" s="186">
        <f>1/COUNTIF(T_sept_dec[CléRéseau-Rize horsmed],T_sept_dec[[#This Row],[CléRéseau-Rize horsmed]])</f>
        <v>4.1841004184100415E-3</v>
      </c>
      <c r="R139" s="186" t="str">
        <f>IF(COUNTIF(RIZE,T_sept_dec[[#This Row],[Secteur organisateur]]),"Rize_"&amp;T_sept_dec[[#This Row],[Enseignant référent (Nom Prénom)]],"")</f>
        <v/>
      </c>
      <c r="S139" s="186">
        <f>1/COUNTIF(T_sept_dec[CléRize],T_sept_dec[[#This Row],[CléRize]])</f>
        <v>4.048582995951417E-3</v>
      </c>
      <c r="T139" s="186" t="str">
        <f>IF(COUNTIF(Total,T_sept_dec[[#This Row],[Secteur organisateur]]),"Total_"&amp;T_sept_dec[[#This Row],[Enseignant référent (Nom Prénom)]],"")</f>
        <v/>
      </c>
      <c r="U139" s="186">
        <f>1/COUNTIF(T_sept_dec[cléTotal],T_sept_dec[[#This Row],[cléTotal]])</f>
        <v>4.1841004184100415E-3</v>
      </c>
    </row>
    <row r="140" spans="1:21">
      <c r="K140" s="21" t="str">
        <f>IF(COUNTIF(Maternelle,E140)=1,listes!$T$1,IF(COUNTIF(Elémentaire,E140)=1,listes!$U$1,IF(COUNTIF(Collège,E140)=1,listes!$V$1,IF(COUNTIF(Lycée,E140)=1,listes!$W$1,""))))</f>
        <v/>
      </c>
      <c r="L140" s="21" t="str">
        <f>IF(COUNTIF(Perralière,D140)=1,listes!$P$1,IF(COUNTIF(Buers,D140)=1,listes!$J$1,IF(COUNTIF(Charpennes,D140)=1,listes!$K$1,IF(COUNTIF(Cusset,D140)=1,listes!$L$1,IF(COUNTIF(Cyprien,D140)=1,listes!$M$1,IF(COUNTIF(Ferrandière,D140)=1,listes!$N$1,IF(COUNTIF(Gratteciel,D140)=1,listes!$O$1,IF(COUNTIF(Saintjean,D140)=1,listes!$Q$1,IF(COUNTIF(horsvilleurbanne,D140)=1,listes!$R$1,"")))))))))</f>
        <v/>
      </c>
      <c r="M140" s="21" t="str">
        <f t="shared" si="2"/>
        <v/>
      </c>
      <c r="N140" s="21" t="str">
        <f>T_sept_dec[[#This Row],[Etablissement accueillant]]&amp;"-"&amp;T_sept_dec[[#This Row],[Enseignant référent (Nom Prénom)]]</f>
        <v>-</v>
      </c>
      <c r="O140" s="21">
        <f>1/COUNTIF(T_sept_dec[CléEtablissement],T_sept_dec[[#This Row],[CléEtablissement]])</f>
        <v>4.1841004184100415E-3</v>
      </c>
      <c r="P14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0" s="186">
        <f>1/COUNTIF(T_sept_dec[CléRéseau-Rize horsmed],T_sept_dec[[#This Row],[CléRéseau-Rize horsmed]])</f>
        <v>4.1841004184100415E-3</v>
      </c>
      <c r="R140" s="186" t="str">
        <f>IF(COUNTIF(RIZE,T_sept_dec[[#This Row],[Secteur organisateur]]),"Rize_"&amp;T_sept_dec[[#This Row],[Enseignant référent (Nom Prénom)]],"")</f>
        <v/>
      </c>
      <c r="S140" s="186">
        <f>1/COUNTIF(T_sept_dec[CléRize],T_sept_dec[[#This Row],[CléRize]])</f>
        <v>4.048582995951417E-3</v>
      </c>
      <c r="T140" s="186" t="str">
        <f>IF(COUNTIF(Total,T_sept_dec[[#This Row],[Secteur organisateur]]),"Total_"&amp;T_sept_dec[[#This Row],[Enseignant référent (Nom Prénom)]],"")</f>
        <v/>
      </c>
      <c r="U140" s="186">
        <f>1/COUNTIF(T_sept_dec[cléTotal],T_sept_dec[[#This Row],[cléTotal]])</f>
        <v>4.1841004184100415E-3</v>
      </c>
    </row>
    <row r="141" spans="1:21">
      <c r="F141" s="155"/>
      <c r="K141" s="21" t="str">
        <f>IF(COUNTIF(Maternelle,E141)=1,listes!$T$1,IF(COUNTIF(Elémentaire,E141)=1,listes!$U$1,IF(COUNTIF(Collège,E141)=1,listes!$V$1,IF(COUNTIF(Lycée,E141)=1,listes!$W$1,""))))</f>
        <v/>
      </c>
      <c r="L141" s="21" t="str">
        <f>IF(COUNTIF(Perralière,D141)=1,listes!$P$1,IF(COUNTIF(Buers,D141)=1,listes!$J$1,IF(COUNTIF(Charpennes,D141)=1,listes!$K$1,IF(COUNTIF(Cusset,D141)=1,listes!$L$1,IF(COUNTIF(Cyprien,D141)=1,listes!$M$1,IF(COUNTIF(Ferrandière,D141)=1,listes!$N$1,IF(COUNTIF(Gratteciel,D141)=1,listes!$O$1,IF(COUNTIF(Saintjean,D141)=1,listes!$Q$1,IF(COUNTIF(horsvilleurbanne,D141)=1,listes!$R$1,"")))))))))</f>
        <v/>
      </c>
      <c r="M141" s="21" t="str">
        <f t="shared" si="2"/>
        <v/>
      </c>
      <c r="N141" s="21" t="str">
        <f>T_sept_dec[[#This Row],[Etablissement accueillant]]&amp;"-"&amp;T_sept_dec[[#This Row],[Enseignant référent (Nom Prénom)]]</f>
        <v>-</v>
      </c>
      <c r="O141" s="21">
        <f>1/COUNTIF(T_sept_dec[CléEtablissement],T_sept_dec[[#This Row],[CléEtablissement]])</f>
        <v>4.1841004184100415E-3</v>
      </c>
      <c r="P14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1" s="186">
        <f>1/COUNTIF(T_sept_dec[CléRéseau-Rize horsmed],T_sept_dec[[#This Row],[CléRéseau-Rize horsmed]])</f>
        <v>4.1841004184100415E-3</v>
      </c>
      <c r="R141" s="186" t="str">
        <f>IF(COUNTIF(RIZE,T_sept_dec[[#This Row],[Secteur organisateur]]),"Rize_"&amp;T_sept_dec[[#This Row],[Enseignant référent (Nom Prénom)]],"")</f>
        <v/>
      </c>
      <c r="S141" s="186">
        <f>1/COUNTIF(T_sept_dec[CléRize],T_sept_dec[[#This Row],[CléRize]])</f>
        <v>4.048582995951417E-3</v>
      </c>
      <c r="T141" s="186" t="str">
        <f>IF(COUNTIF(Total,T_sept_dec[[#This Row],[Secteur organisateur]]),"Total_"&amp;T_sept_dec[[#This Row],[Enseignant référent (Nom Prénom)]],"")</f>
        <v/>
      </c>
      <c r="U141" s="186">
        <f>1/COUNTIF(T_sept_dec[cléTotal],T_sept_dec[[#This Row],[cléTotal]])</f>
        <v>4.1841004184100415E-3</v>
      </c>
    </row>
    <row r="142" spans="1:21">
      <c r="K142" s="21" t="str">
        <f>IF(COUNTIF(Maternelle,E142)=1,listes!$T$1,IF(COUNTIF(Elémentaire,E142)=1,listes!$U$1,IF(COUNTIF(Collège,E142)=1,listes!$V$1,IF(COUNTIF(Lycée,E142)=1,listes!$W$1,""))))</f>
        <v/>
      </c>
      <c r="L142" s="21" t="str">
        <f>IF(COUNTIF(Perralière,D142)=1,listes!$P$1,IF(COUNTIF(Buers,D142)=1,listes!$J$1,IF(COUNTIF(Charpennes,D142)=1,listes!$K$1,IF(COUNTIF(Cusset,D142)=1,listes!$L$1,IF(COUNTIF(Cyprien,D142)=1,listes!$M$1,IF(COUNTIF(Ferrandière,D142)=1,listes!$N$1,IF(COUNTIF(Gratteciel,D142)=1,listes!$O$1,IF(COUNTIF(Saintjean,D142)=1,listes!$Q$1,IF(COUNTIF(horsvilleurbanne,D142)=1,listes!$R$1,"")))))))))</f>
        <v/>
      </c>
      <c r="M142" s="21" t="str">
        <f t="shared" si="2"/>
        <v/>
      </c>
      <c r="N142" s="21" t="str">
        <f>T_sept_dec[[#This Row],[Etablissement accueillant]]&amp;"-"&amp;T_sept_dec[[#This Row],[Enseignant référent (Nom Prénom)]]</f>
        <v>-</v>
      </c>
      <c r="O142" s="21">
        <f>1/COUNTIF(T_sept_dec[CléEtablissement],T_sept_dec[[#This Row],[CléEtablissement]])</f>
        <v>4.1841004184100415E-3</v>
      </c>
      <c r="P14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2" s="186">
        <f>1/COUNTIF(T_sept_dec[CléRéseau-Rize horsmed],T_sept_dec[[#This Row],[CléRéseau-Rize horsmed]])</f>
        <v>4.1841004184100415E-3</v>
      </c>
      <c r="R142" s="186" t="str">
        <f>IF(COUNTIF(RIZE,T_sept_dec[[#This Row],[Secteur organisateur]]),"Rize_"&amp;T_sept_dec[[#This Row],[Enseignant référent (Nom Prénom)]],"")</f>
        <v/>
      </c>
      <c r="S142" s="186">
        <f>1/COUNTIF(T_sept_dec[CléRize],T_sept_dec[[#This Row],[CléRize]])</f>
        <v>4.048582995951417E-3</v>
      </c>
      <c r="T142" s="186" t="str">
        <f>IF(COUNTIF(Total,T_sept_dec[[#This Row],[Secteur organisateur]]),"Total_"&amp;T_sept_dec[[#This Row],[Enseignant référent (Nom Prénom)]],"")</f>
        <v/>
      </c>
      <c r="U142" s="186">
        <f>1/COUNTIF(T_sept_dec[cléTotal],T_sept_dec[[#This Row],[cléTotal]])</f>
        <v>4.1841004184100415E-3</v>
      </c>
    </row>
    <row r="143" spans="1:21">
      <c r="K143" s="21" t="str">
        <f>IF(COUNTIF(Maternelle,E143)=1,listes!$T$1,IF(COUNTIF(Elémentaire,E143)=1,listes!$U$1,IF(COUNTIF(Collège,E143)=1,listes!$V$1,IF(COUNTIF(Lycée,E143)=1,listes!$W$1,""))))</f>
        <v/>
      </c>
      <c r="L143" s="21" t="str">
        <f>IF(COUNTIF(Perralière,D143)=1,listes!$P$1,IF(COUNTIF(Buers,D143)=1,listes!$J$1,IF(COUNTIF(Charpennes,D143)=1,listes!$K$1,IF(COUNTIF(Cusset,D143)=1,listes!$L$1,IF(COUNTIF(Cyprien,D143)=1,listes!$M$1,IF(COUNTIF(Ferrandière,D143)=1,listes!$N$1,IF(COUNTIF(Gratteciel,D143)=1,listes!$O$1,IF(COUNTIF(Saintjean,D143)=1,listes!$Q$1,IF(COUNTIF(horsvilleurbanne,D143)=1,listes!$R$1,"")))))))))</f>
        <v/>
      </c>
      <c r="M143" s="21" t="str">
        <f t="shared" si="2"/>
        <v/>
      </c>
      <c r="N143" s="21" t="str">
        <f>T_sept_dec[[#This Row],[Etablissement accueillant]]&amp;"-"&amp;T_sept_dec[[#This Row],[Enseignant référent (Nom Prénom)]]</f>
        <v>-</v>
      </c>
      <c r="O143" s="21">
        <f>1/COUNTIF(T_sept_dec[CléEtablissement],T_sept_dec[[#This Row],[CléEtablissement]])</f>
        <v>4.1841004184100415E-3</v>
      </c>
      <c r="P14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3" s="186">
        <f>1/COUNTIF(T_sept_dec[CléRéseau-Rize horsmed],T_sept_dec[[#This Row],[CléRéseau-Rize horsmed]])</f>
        <v>4.1841004184100415E-3</v>
      </c>
      <c r="R143" s="186" t="str">
        <f>IF(COUNTIF(RIZE,T_sept_dec[[#This Row],[Secteur organisateur]]),"Rize_"&amp;T_sept_dec[[#This Row],[Enseignant référent (Nom Prénom)]],"")</f>
        <v/>
      </c>
      <c r="S143" s="186">
        <f>1/COUNTIF(T_sept_dec[CléRize],T_sept_dec[[#This Row],[CléRize]])</f>
        <v>4.048582995951417E-3</v>
      </c>
      <c r="T143" s="186" t="str">
        <f>IF(COUNTIF(Total,T_sept_dec[[#This Row],[Secteur organisateur]]),"Total_"&amp;T_sept_dec[[#This Row],[Enseignant référent (Nom Prénom)]],"")</f>
        <v/>
      </c>
      <c r="U143" s="186">
        <f>1/COUNTIF(T_sept_dec[cléTotal],T_sept_dec[[#This Row],[cléTotal]])</f>
        <v>4.1841004184100415E-3</v>
      </c>
    </row>
    <row r="144" spans="1:21">
      <c r="K144" s="21" t="str">
        <f>IF(COUNTIF(Maternelle,E144)=1,listes!$T$1,IF(COUNTIF(Elémentaire,E144)=1,listes!$U$1,IF(COUNTIF(Collège,E144)=1,listes!$V$1,IF(COUNTIF(Lycée,E144)=1,listes!$W$1,""))))</f>
        <v/>
      </c>
      <c r="L144" s="21" t="str">
        <f>IF(COUNTIF(Perralière,D144)=1,listes!$P$1,IF(COUNTIF(Buers,D144)=1,listes!$J$1,IF(COUNTIF(Charpennes,D144)=1,listes!$K$1,IF(COUNTIF(Cusset,D144)=1,listes!$L$1,IF(COUNTIF(Cyprien,D144)=1,listes!$M$1,IF(COUNTIF(Ferrandière,D144)=1,listes!$N$1,IF(COUNTIF(Gratteciel,D144)=1,listes!$O$1,IF(COUNTIF(Saintjean,D144)=1,listes!$Q$1,IF(COUNTIF(horsvilleurbanne,D144)=1,listes!$R$1,"")))))))))</f>
        <v/>
      </c>
      <c r="M144" s="21" t="str">
        <f t="shared" si="2"/>
        <v/>
      </c>
      <c r="N144" s="186" t="str">
        <f>T_sept_dec[[#This Row],[Etablissement accueillant]]&amp;"-"&amp;T_sept_dec[[#This Row],[Enseignant référent (Nom Prénom)]]</f>
        <v>-</v>
      </c>
      <c r="O144" s="21">
        <f>1/COUNTIF(T_sept_dec[CléEtablissement],T_sept_dec[[#This Row],[CléEtablissement]])</f>
        <v>4.1841004184100415E-3</v>
      </c>
      <c r="P14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4" s="186">
        <f>1/COUNTIF(T_sept_dec[CléRéseau-Rize horsmed],T_sept_dec[[#This Row],[CléRéseau-Rize horsmed]])</f>
        <v>4.1841004184100415E-3</v>
      </c>
      <c r="R144" s="186" t="str">
        <f>IF(COUNTIF(RIZE,T_sept_dec[[#This Row],[Secteur organisateur]]),"Rize_"&amp;T_sept_dec[[#This Row],[Enseignant référent (Nom Prénom)]],"")</f>
        <v/>
      </c>
      <c r="S144" s="186">
        <f>1/COUNTIF(T_sept_dec[CléRize],T_sept_dec[[#This Row],[CléRize]])</f>
        <v>4.048582995951417E-3</v>
      </c>
      <c r="T144" s="186" t="str">
        <f>IF(COUNTIF(Total,T_sept_dec[[#This Row],[Secteur organisateur]]),"Total_"&amp;T_sept_dec[[#This Row],[Enseignant référent (Nom Prénom)]],"")</f>
        <v/>
      </c>
      <c r="U144" s="186">
        <f>1/COUNTIF(T_sept_dec[cléTotal],T_sept_dec[[#This Row],[cléTotal]])</f>
        <v>4.1841004184100415E-3</v>
      </c>
    </row>
    <row r="145" spans="11:21">
      <c r="K145" s="21" t="str">
        <f>IF(COUNTIF(Maternelle,E145)=1,listes!$T$1,IF(COUNTIF(Elémentaire,E145)=1,listes!$U$1,IF(COUNTIF(Collège,E145)=1,listes!$V$1,IF(COUNTIF(Lycée,E145)=1,listes!$W$1,""))))</f>
        <v/>
      </c>
      <c r="L145" s="21" t="str">
        <f>IF(COUNTIF(Perralière,D145)=1,listes!$P$1,IF(COUNTIF(Buers,D145)=1,listes!$J$1,IF(COUNTIF(Charpennes,D145)=1,listes!$K$1,IF(COUNTIF(Cusset,D145)=1,listes!$L$1,IF(COUNTIF(Cyprien,D145)=1,listes!$M$1,IF(COUNTIF(Ferrandière,D145)=1,listes!$N$1,IF(COUNTIF(Gratteciel,D145)=1,listes!$O$1,IF(COUNTIF(Saintjean,D145)=1,listes!$Q$1,IF(COUNTIF(horsvilleurbanne,D145)=1,listes!$R$1,"")))))))))</f>
        <v/>
      </c>
      <c r="M145" s="21" t="str">
        <f t="shared" si="2"/>
        <v/>
      </c>
      <c r="N145" s="186" t="str">
        <f>T_sept_dec[[#This Row],[Etablissement accueillant]]&amp;"-"&amp;T_sept_dec[[#This Row],[Enseignant référent (Nom Prénom)]]</f>
        <v>-</v>
      </c>
      <c r="O145" s="21">
        <f>1/COUNTIF(T_sept_dec[CléEtablissement],T_sept_dec[[#This Row],[CléEtablissement]])</f>
        <v>4.1841004184100415E-3</v>
      </c>
      <c r="P14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5" s="186">
        <f>1/COUNTIF(T_sept_dec[CléRéseau-Rize horsmed],T_sept_dec[[#This Row],[CléRéseau-Rize horsmed]])</f>
        <v>4.1841004184100415E-3</v>
      </c>
      <c r="R145" s="186" t="str">
        <f>IF(COUNTIF(RIZE,T_sept_dec[[#This Row],[Secteur organisateur]]),"Rize_"&amp;T_sept_dec[[#This Row],[Enseignant référent (Nom Prénom)]],"")</f>
        <v/>
      </c>
      <c r="S145" s="186">
        <f>1/COUNTIF(T_sept_dec[CléRize],T_sept_dec[[#This Row],[CléRize]])</f>
        <v>4.048582995951417E-3</v>
      </c>
      <c r="T145" s="186" t="str">
        <f>IF(COUNTIF(Total,T_sept_dec[[#This Row],[Secteur organisateur]]),"Total_"&amp;T_sept_dec[[#This Row],[Enseignant référent (Nom Prénom)]],"")</f>
        <v/>
      </c>
      <c r="U145" s="186">
        <f>1/COUNTIF(T_sept_dec[cléTotal],T_sept_dec[[#This Row],[cléTotal]])</f>
        <v>4.1841004184100415E-3</v>
      </c>
    </row>
    <row r="146" spans="11:21">
      <c r="K146" s="21" t="str">
        <f>IF(COUNTIF(Maternelle,E146)=1,listes!$T$1,IF(COUNTIF(Elémentaire,E146)=1,listes!$U$1,IF(COUNTIF(Collège,E146)=1,listes!$V$1,IF(COUNTIF(Lycée,E146)=1,listes!$W$1,""))))</f>
        <v/>
      </c>
      <c r="L146" s="21" t="str">
        <f>IF(COUNTIF(Perralière,D146)=1,listes!$P$1,IF(COUNTIF(Buers,D146)=1,listes!$J$1,IF(COUNTIF(Charpennes,D146)=1,listes!$K$1,IF(COUNTIF(Cusset,D146)=1,listes!$L$1,IF(COUNTIF(Cyprien,D146)=1,listes!$M$1,IF(COUNTIF(Ferrandière,D146)=1,listes!$N$1,IF(COUNTIF(Gratteciel,D146)=1,listes!$O$1,IF(COUNTIF(Saintjean,D146)=1,listes!$Q$1,IF(COUNTIF(horsvilleurbanne,D146)=1,listes!$R$1,"")))))))))</f>
        <v/>
      </c>
      <c r="M146" s="21" t="str">
        <f t="shared" si="2"/>
        <v/>
      </c>
      <c r="N146" s="186" t="str">
        <f>T_sept_dec[[#This Row],[Etablissement accueillant]]&amp;"-"&amp;T_sept_dec[[#This Row],[Enseignant référent (Nom Prénom)]]</f>
        <v>-</v>
      </c>
      <c r="O146" s="21">
        <f>1/COUNTIF(T_sept_dec[CléEtablissement],T_sept_dec[[#This Row],[CléEtablissement]])</f>
        <v>4.1841004184100415E-3</v>
      </c>
      <c r="P14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6" s="186">
        <f>1/COUNTIF(T_sept_dec[CléRéseau-Rize horsmed],T_sept_dec[[#This Row],[CléRéseau-Rize horsmed]])</f>
        <v>4.1841004184100415E-3</v>
      </c>
      <c r="R146" s="186" t="str">
        <f>IF(COUNTIF(RIZE,T_sept_dec[[#This Row],[Secteur organisateur]]),"Rize_"&amp;T_sept_dec[[#This Row],[Enseignant référent (Nom Prénom)]],"")</f>
        <v/>
      </c>
      <c r="S146" s="186">
        <f>1/COUNTIF(T_sept_dec[CléRize],T_sept_dec[[#This Row],[CléRize]])</f>
        <v>4.048582995951417E-3</v>
      </c>
      <c r="T146" s="186" t="str">
        <f>IF(COUNTIF(Total,T_sept_dec[[#This Row],[Secteur organisateur]]),"Total_"&amp;T_sept_dec[[#This Row],[Enseignant référent (Nom Prénom)]],"")</f>
        <v/>
      </c>
      <c r="U146" s="186">
        <f>1/COUNTIF(T_sept_dec[cléTotal],T_sept_dec[[#This Row],[cléTotal]])</f>
        <v>4.1841004184100415E-3</v>
      </c>
    </row>
    <row r="147" spans="11:21">
      <c r="K147" s="21" t="str">
        <f>IF(COUNTIF(Maternelle,E147)=1,listes!$T$1,IF(COUNTIF(Elémentaire,E147)=1,listes!$U$1,IF(COUNTIF(Collège,E147)=1,listes!$V$1,IF(COUNTIF(Lycée,E147)=1,listes!$W$1,""))))</f>
        <v/>
      </c>
      <c r="L147" s="21" t="str">
        <f>IF(COUNTIF(Perralière,D147)=1,listes!$P$1,IF(COUNTIF(Buers,D147)=1,listes!$J$1,IF(COUNTIF(Charpennes,D147)=1,listes!$K$1,IF(COUNTIF(Cusset,D147)=1,listes!$L$1,IF(COUNTIF(Cyprien,D147)=1,listes!$M$1,IF(COUNTIF(Ferrandière,D147)=1,listes!$N$1,IF(COUNTIF(Gratteciel,D147)=1,listes!$O$1,IF(COUNTIF(Saintjean,D147)=1,listes!$Q$1,IF(COUNTIF(horsvilleurbanne,D147)=1,listes!$R$1,"")))))))))</f>
        <v/>
      </c>
      <c r="M147" s="21" t="str">
        <f t="shared" si="2"/>
        <v/>
      </c>
      <c r="N147" s="186" t="str">
        <f>T_sept_dec[[#This Row],[Etablissement accueillant]]&amp;"-"&amp;T_sept_dec[[#This Row],[Enseignant référent (Nom Prénom)]]</f>
        <v>-</v>
      </c>
      <c r="O147" s="21">
        <f>1/COUNTIF(T_sept_dec[CléEtablissement],T_sept_dec[[#This Row],[CléEtablissement]])</f>
        <v>4.1841004184100415E-3</v>
      </c>
      <c r="P14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7" s="186">
        <f>1/COUNTIF(T_sept_dec[CléRéseau-Rize horsmed],T_sept_dec[[#This Row],[CléRéseau-Rize horsmed]])</f>
        <v>4.1841004184100415E-3</v>
      </c>
      <c r="R147" s="186" t="str">
        <f>IF(COUNTIF(RIZE,T_sept_dec[[#This Row],[Secteur organisateur]]),"Rize_"&amp;T_sept_dec[[#This Row],[Enseignant référent (Nom Prénom)]],"")</f>
        <v/>
      </c>
      <c r="S147" s="186">
        <f>1/COUNTIF(T_sept_dec[CléRize],T_sept_dec[[#This Row],[CléRize]])</f>
        <v>4.048582995951417E-3</v>
      </c>
      <c r="T147" s="186" t="str">
        <f>IF(COUNTIF(Total,T_sept_dec[[#This Row],[Secteur organisateur]]),"Total_"&amp;T_sept_dec[[#This Row],[Enseignant référent (Nom Prénom)]],"")</f>
        <v/>
      </c>
      <c r="U147" s="186">
        <f>1/COUNTIF(T_sept_dec[cléTotal],T_sept_dec[[#This Row],[cléTotal]])</f>
        <v>4.1841004184100415E-3</v>
      </c>
    </row>
    <row r="148" spans="11:21">
      <c r="K148" s="21" t="str">
        <f>IF(COUNTIF(Maternelle,E148)=1,listes!$T$1,IF(COUNTIF(Elémentaire,E148)=1,listes!$U$1,IF(COUNTIF(Collège,E148)=1,listes!$V$1,IF(COUNTIF(Lycée,E148)=1,listes!$W$1,""))))</f>
        <v/>
      </c>
      <c r="L148" s="21" t="str">
        <f>IF(COUNTIF(Perralière,D148)=1,listes!$P$1,IF(COUNTIF(Buers,D148)=1,listes!$J$1,IF(COUNTIF(Charpennes,D148)=1,listes!$K$1,IF(COUNTIF(Cusset,D148)=1,listes!$L$1,IF(COUNTIF(Cyprien,D148)=1,listes!$M$1,IF(COUNTIF(Ferrandière,D148)=1,listes!$N$1,IF(COUNTIF(Gratteciel,D148)=1,listes!$O$1,IF(COUNTIF(Saintjean,D148)=1,listes!$Q$1,IF(COUNTIF(horsvilleurbanne,D148)=1,listes!$R$1,"")))))))))</f>
        <v/>
      </c>
      <c r="M148" s="21" t="str">
        <f t="shared" si="2"/>
        <v/>
      </c>
      <c r="N148" s="186" t="str">
        <f>T_sept_dec[[#This Row],[Etablissement accueillant]]&amp;"-"&amp;T_sept_dec[[#This Row],[Enseignant référent (Nom Prénom)]]</f>
        <v>-</v>
      </c>
      <c r="O148" s="21">
        <f>1/COUNTIF(T_sept_dec[CléEtablissement],T_sept_dec[[#This Row],[CléEtablissement]])</f>
        <v>4.1841004184100415E-3</v>
      </c>
      <c r="P14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8" s="186">
        <f>1/COUNTIF(T_sept_dec[CléRéseau-Rize horsmed],T_sept_dec[[#This Row],[CléRéseau-Rize horsmed]])</f>
        <v>4.1841004184100415E-3</v>
      </c>
      <c r="R148" s="186" t="str">
        <f>IF(COUNTIF(RIZE,T_sept_dec[[#This Row],[Secteur organisateur]]),"Rize_"&amp;T_sept_dec[[#This Row],[Enseignant référent (Nom Prénom)]],"")</f>
        <v/>
      </c>
      <c r="S148" s="186">
        <f>1/COUNTIF(T_sept_dec[CléRize],T_sept_dec[[#This Row],[CléRize]])</f>
        <v>4.048582995951417E-3</v>
      </c>
      <c r="T148" s="186" t="str">
        <f>IF(COUNTIF(Total,T_sept_dec[[#This Row],[Secteur organisateur]]),"Total_"&amp;T_sept_dec[[#This Row],[Enseignant référent (Nom Prénom)]],"")</f>
        <v/>
      </c>
      <c r="U148" s="186">
        <f>1/COUNTIF(T_sept_dec[cléTotal],T_sept_dec[[#This Row],[cléTotal]])</f>
        <v>4.1841004184100415E-3</v>
      </c>
    </row>
    <row r="149" spans="11:21">
      <c r="K149" s="21" t="str">
        <f>IF(COUNTIF(Maternelle,E149)=1,listes!$T$1,IF(COUNTIF(Elémentaire,E149)=1,listes!$U$1,IF(COUNTIF(Collège,E149)=1,listes!$V$1,IF(COUNTIF(Lycée,E149)=1,listes!$W$1,""))))</f>
        <v/>
      </c>
      <c r="L149" s="21" t="str">
        <f>IF(COUNTIF(Perralière,D149)=1,listes!$P$1,IF(COUNTIF(Buers,D149)=1,listes!$J$1,IF(COUNTIF(Charpennes,D149)=1,listes!$K$1,IF(COUNTIF(Cusset,D149)=1,listes!$L$1,IF(COUNTIF(Cyprien,D149)=1,listes!$M$1,IF(COUNTIF(Ferrandière,D149)=1,listes!$N$1,IF(COUNTIF(Gratteciel,D149)=1,listes!$O$1,IF(COUNTIF(Saintjean,D149)=1,listes!$Q$1,IF(COUNTIF(horsvilleurbanne,D149)=1,listes!$R$1,"")))))))))</f>
        <v/>
      </c>
      <c r="M149" s="21" t="str">
        <f t="shared" si="2"/>
        <v/>
      </c>
      <c r="N149" s="186" t="str">
        <f>T_sept_dec[[#This Row],[Etablissement accueillant]]&amp;"-"&amp;T_sept_dec[[#This Row],[Enseignant référent (Nom Prénom)]]</f>
        <v>-</v>
      </c>
      <c r="O149" s="21">
        <f>1/COUNTIF(T_sept_dec[CléEtablissement],T_sept_dec[[#This Row],[CléEtablissement]])</f>
        <v>4.1841004184100415E-3</v>
      </c>
      <c r="P14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49" s="186">
        <f>1/COUNTIF(T_sept_dec[CléRéseau-Rize horsmed],T_sept_dec[[#This Row],[CléRéseau-Rize horsmed]])</f>
        <v>4.1841004184100415E-3</v>
      </c>
      <c r="R149" s="186" t="str">
        <f>IF(COUNTIF(RIZE,T_sept_dec[[#This Row],[Secteur organisateur]]),"Rize_"&amp;T_sept_dec[[#This Row],[Enseignant référent (Nom Prénom)]],"")</f>
        <v/>
      </c>
      <c r="S149" s="186">
        <f>1/COUNTIF(T_sept_dec[CléRize],T_sept_dec[[#This Row],[CléRize]])</f>
        <v>4.048582995951417E-3</v>
      </c>
      <c r="T149" s="186" t="str">
        <f>IF(COUNTIF(Total,T_sept_dec[[#This Row],[Secteur organisateur]]),"Total_"&amp;T_sept_dec[[#This Row],[Enseignant référent (Nom Prénom)]],"")</f>
        <v/>
      </c>
      <c r="U149" s="186">
        <f>1/COUNTIF(T_sept_dec[cléTotal],T_sept_dec[[#This Row],[cléTotal]])</f>
        <v>4.1841004184100415E-3</v>
      </c>
    </row>
    <row r="150" spans="11:21">
      <c r="K150" s="21" t="str">
        <f>IF(COUNTIF(Maternelle,E150)=1,listes!$T$1,IF(COUNTIF(Elémentaire,E150)=1,listes!$U$1,IF(COUNTIF(Collège,E150)=1,listes!$V$1,IF(COUNTIF(Lycée,E150)=1,listes!$W$1,""))))</f>
        <v/>
      </c>
      <c r="L150" s="21" t="str">
        <f>IF(COUNTIF(Perralière,D150)=1,listes!$P$1,IF(COUNTIF(Buers,D150)=1,listes!$J$1,IF(COUNTIF(Charpennes,D150)=1,listes!$K$1,IF(COUNTIF(Cusset,D150)=1,listes!$L$1,IF(COUNTIF(Cyprien,D150)=1,listes!$M$1,IF(COUNTIF(Ferrandière,D150)=1,listes!$N$1,IF(COUNTIF(Gratteciel,D150)=1,listes!$O$1,IF(COUNTIF(Saintjean,D150)=1,listes!$Q$1,IF(COUNTIF(horsvilleurbanne,D150)=1,listes!$R$1,"")))))))))</f>
        <v/>
      </c>
      <c r="M150" s="21" t="str">
        <f t="shared" si="2"/>
        <v/>
      </c>
      <c r="N150" s="186" t="str">
        <f>T_sept_dec[[#This Row],[Etablissement accueillant]]&amp;"-"&amp;T_sept_dec[[#This Row],[Enseignant référent (Nom Prénom)]]</f>
        <v>-</v>
      </c>
      <c r="O150" s="21">
        <f>1/COUNTIF(T_sept_dec[CléEtablissement],T_sept_dec[[#This Row],[CléEtablissement]])</f>
        <v>4.1841004184100415E-3</v>
      </c>
      <c r="P15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0" s="186">
        <f>1/COUNTIF(T_sept_dec[CléRéseau-Rize horsmed],T_sept_dec[[#This Row],[CléRéseau-Rize horsmed]])</f>
        <v>4.1841004184100415E-3</v>
      </c>
      <c r="R150" s="186" t="str">
        <f>IF(COUNTIF(RIZE,T_sept_dec[[#This Row],[Secteur organisateur]]),"Rize_"&amp;T_sept_dec[[#This Row],[Enseignant référent (Nom Prénom)]],"")</f>
        <v/>
      </c>
      <c r="S150" s="186">
        <f>1/COUNTIF(T_sept_dec[CléRize],T_sept_dec[[#This Row],[CléRize]])</f>
        <v>4.048582995951417E-3</v>
      </c>
      <c r="T150" s="186" t="str">
        <f>IF(COUNTIF(Total,T_sept_dec[[#This Row],[Secteur organisateur]]),"Total_"&amp;T_sept_dec[[#This Row],[Enseignant référent (Nom Prénom)]],"")</f>
        <v/>
      </c>
      <c r="U150" s="186">
        <f>1/COUNTIF(T_sept_dec[cléTotal],T_sept_dec[[#This Row],[cléTotal]])</f>
        <v>4.1841004184100415E-3</v>
      </c>
    </row>
    <row r="151" spans="11:21">
      <c r="K151" s="21" t="str">
        <f>IF(COUNTIF(Maternelle,E151)=1,listes!$T$1,IF(COUNTIF(Elémentaire,E151)=1,listes!$U$1,IF(COUNTIF(Collège,E151)=1,listes!$V$1,IF(COUNTIF(Lycée,E151)=1,listes!$W$1,""))))</f>
        <v/>
      </c>
      <c r="L151" s="21" t="str">
        <f>IF(COUNTIF(Perralière,D151)=1,listes!$P$1,IF(COUNTIF(Buers,D151)=1,listes!$J$1,IF(COUNTIF(Charpennes,D151)=1,listes!$K$1,IF(COUNTIF(Cusset,D151)=1,listes!$L$1,IF(COUNTIF(Cyprien,D151)=1,listes!$M$1,IF(COUNTIF(Ferrandière,D151)=1,listes!$N$1,IF(COUNTIF(Gratteciel,D151)=1,listes!$O$1,IF(COUNTIF(Saintjean,D151)=1,listes!$Q$1,IF(COUNTIF(horsvilleurbanne,D151)=1,listes!$R$1,"")))))))))</f>
        <v/>
      </c>
      <c r="M151" s="21" t="str">
        <f t="shared" si="2"/>
        <v/>
      </c>
      <c r="N151" s="186" t="str">
        <f>T_sept_dec[[#This Row],[Etablissement accueillant]]&amp;"-"&amp;T_sept_dec[[#This Row],[Enseignant référent (Nom Prénom)]]</f>
        <v>-</v>
      </c>
      <c r="O151" s="21">
        <f>1/COUNTIF(T_sept_dec[CléEtablissement],T_sept_dec[[#This Row],[CléEtablissement]])</f>
        <v>4.1841004184100415E-3</v>
      </c>
      <c r="P15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1" s="186">
        <f>1/COUNTIF(T_sept_dec[CléRéseau-Rize horsmed],T_sept_dec[[#This Row],[CléRéseau-Rize horsmed]])</f>
        <v>4.1841004184100415E-3</v>
      </c>
      <c r="R151" s="186" t="str">
        <f>IF(COUNTIF(RIZE,T_sept_dec[[#This Row],[Secteur organisateur]]),"Rize_"&amp;T_sept_dec[[#This Row],[Enseignant référent (Nom Prénom)]],"")</f>
        <v/>
      </c>
      <c r="S151" s="186">
        <f>1/COUNTIF(T_sept_dec[CléRize],T_sept_dec[[#This Row],[CléRize]])</f>
        <v>4.048582995951417E-3</v>
      </c>
      <c r="T151" s="186" t="str">
        <f>IF(COUNTIF(Total,T_sept_dec[[#This Row],[Secteur organisateur]]),"Total_"&amp;T_sept_dec[[#This Row],[Enseignant référent (Nom Prénom)]],"")</f>
        <v/>
      </c>
      <c r="U151" s="186">
        <f>1/COUNTIF(T_sept_dec[cléTotal],T_sept_dec[[#This Row],[cléTotal]])</f>
        <v>4.1841004184100415E-3</v>
      </c>
    </row>
    <row r="152" spans="11:21">
      <c r="K152" s="21" t="str">
        <f>IF(COUNTIF(Maternelle,E152)=1,listes!$T$1,IF(COUNTIF(Elémentaire,E152)=1,listes!$U$1,IF(COUNTIF(Collège,E152)=1,listes!$V$1,IF(COUNTIF(Lycée,E152)=1,listes!$W$1,""))))</f>
        <v/>
      </c>
      <c r="L152" s="21" t="str">
        <f>IF(COUNTIF(Perralière,D152)=1,listes!$P$1,IF(COUNTIF(Buers,D152)=1,listes!$J$1,IF(COUNTIF(Charpennes,D152)=1,listes!$K$1,IF(COUNTIF(Cusset,D152)=1,listes!$L$1,IF(COUNTIF(Cyprien,D152)=1,listes!$M$1,IF(COUNTIF(Ferrandière,D152)=1,listes!$N$1,IF(COUNTIF(Gratteciel,D152)=1,listes!$O$1,IF(COUNTIF(Saintjean,D152)=1,listes!$Q$1,IF(COUNTIF(horsvilleurbanne,D152)=1,listes!$R$1,"")))))))))</f>
        <v/>
      </c>
      <c r="M152" s="21" t="str">
        <f t="shared" si="2"/>
        <v/>
      </c>
      <c r="N152" s="186" t="str">
        <f>T_sept_dec[[#This Row],[Etablissement accueillant]]&amp;"-"&amp;T_sept_dec[[#This Row],[Enseignant référent (Nom Prénom)]]</f>
        <v>-</v>
      </c>
      <c r="O152" s="21">
        <f>1/COUNTIF(T_sept_dec[CléEtablissement],T_sept_dec[[#This Row],[CléEtablissement]])</f>
        <v>4.1841004184100415E-3</v>
      </c>
      <c r="P15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2" s="186">
        <f>1/COUNTIF(T_sept_dec[CléRéseau-Rize horsmed],T_sept_dec[[#This Row],[CléRéseau-Rize horsmed]])</f>
        <v>4.1841004184100415E-3</v>
      </c>
      <c r="R152" s="186" t="str">
        <f>IF(COUNTIF(RIZE,T_sept_dec[[#This Row],[Secteur organisateur]]),"Rize_"&amp;T_sept_dec[[#This Row],[Enseignant référent (Nom Prénom)]],"")</f>
        <v/>
      </c>
      <c r="S152" s="186">
        <f>1/COUNTIF(T_sept_dec[CléRize],T_sept_dec[[#This Row],[CléRize]])</f>
        <v>4.048582995951417E-3</v>
      </c>
      <c r="T152" s="186" t="str">
        <f>IF(COUNTIF(Total,T_sept_dec[[#This Row],[Secteur organisateur]]),"Total_"&amp;T_sept_dec[[#This Row],[Enseignant référent (Nom Prénom)]],"")</f>
        <v/>
      </c>
      <c r="U152" s="186">
        <f>1/COUNTIF(T_sept_dec[cléTotal],T_sept_dec[[#This Row],[cléTotal]])</f>
        <v>4.1841004184100415E-3</v>
      </c>
    </row>
    <row r="153" spans="11:21">
      <c r="K153" s="21" t="str">
        <f>IF(COUNTIF(Maternelle,E153)=1,listes!$T$1,IF(COUNTIF(Elémentaire,E153)=1,listes!$U$1,IF(COUNTIF(Collège,E153)=1,listes!$V$1,IF(COUNTIF(Lycée,E153)=1,listes!$W$1,""))))</f>
        <v/>
      </c>
      <c r="L153" s="21" t="str">
        <f>IF(COUNTIF(Perralière,D153)=1,listes!$P$1,IF(COUNTIF(Buers,D153)=1,listes!$J$1,IF(COUNTIF(Charpennes,D153)=1,listes!$K$1,IF(COUNTIF(Cusset,D153)=1,listes!$L$1,IF(COUNTIF(Cyprien,D153)=1,listes!$M$1,IF(COUNTIF(Ferrandière,D153)=1,listes!$N$1,IF(COUNTIF(Gratteciel,D153)=1,listes!$O$1,IF(COUNTIF(Saintjean,D153)=1,listes!$Q$1,IF(COUNTIF(horsvilleurbanne,D153)=1,listes!$R$1,"")))))))))</f>
        <v/>
      </c>
      <c r="M153" s="21" t="str">
        <f t="shared" si="2"/>
        <v/>
      </c>
      <c r="N153" s="186" t="str">
        <f>T_sept_dec[[#This Row],[Etablissement accueillant]]&amp;"-"&amp;T_sept_dec[[#This Row],[Enseignant référent (Nom Prénom)]]</f>
        <v>-</v>
      </c>
      <c r="O153" s="21">
        <f>1/COUNTIF(T_sept_dec[CléEtablissement],T_sept_dec[[#This Row],[CléEtablissement]])</f>
        <v>4.1841004184100415E-3</v>
      </c>
      <c r="P15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3" s="186">
        <f>1/COUNTIF(T_sept_dec[CléRéseau-Rize horsmed],T_sept_dec[[#This Row],[CléRéseau-Rize horsmed]])</f>
        <v>4.1841004184100415E-3</v>
      </c>
      <c r="R153" s="186" t="str">
        <f>IF(COUNTIF(RIZE,T_sept_dec[[#This Row],[Secteur organisateur]]),"Rize_"&amp;T_sept_dec[[#This Row],[Enseignant référent (Nom Prénom)]],"")</f>
        <v/>
      </c>
      <c r="S153" s="186">
        <f>1/COUNTIF(T_sept_dec[CléRize],T_sept_dec[[#This Row],[CléRize]])</f>
        <v>4.048582995951417E-3</v>
      </c>
      <c r="T153" s="186" t="str">
        <f>IF(COUNTIF(Total,T_sept_dec[[#This Row],[Secteur organisateur]]),"Total_"&amp;T_sept_dec[[#This Row],[Enseignant référent (Nom Prénom)]],"")</f>
        <v/>
      </c>
      <c r="U153" s="186">
        <f>1/COUNTIF(T_sept_dec[cléTotal],T_sept_dec[[#This Row],[cléTotal]])</f>
        <v>4.1841004184100415E-3</v>
      </c>
    </row>
    <row r="154" spans="11:21">
      <c r="K154" s="21" t="str">
        <f>IF(COUNTIF(Maternelle,E154)=1,listes!$T$1,IF(COUNTIF(Elémentaire,E154)=1,listes!$U$1,IF(COUNTIF(Collège,E154)=1,listes!$V$1,IF(COUNTIF(Lycée,E154)=1,listes!$W$1,""))))</f>
        <v/>
      </c>
      <c r="L154" s="21" t="str">
        <f>IF(COUNTIF(Perralière,D154)=1,listes!$P$1,IF(COUNTIF(Buers,D154)=1,listes!$J$1,IF(COUNTIF(Charpennes,D154)=1,listes!$K$1,IF(COUNTIF(Cusset,D154)=1,listes!$L$1,IF(COUNTIF(Cyprien,D154)=1,listes!$M$1,IF(COUNTIF(Ferrandière,D154)=1,listes!$N$1,IF(COUNTIF(Gratteciel,D154)=1,listes!$O$1,IF(COUNTIF(Saintjean,D154)=1,listes!$Q$1,IF(COUNTIF(horsvilleurbanne,D154)=1,listes!$R$1,"")))))))))</f>
        <v/>
      </c>
      <c r="M154" s="21" t="str">
        <f t="shared" si="2"/>
        <v/>
      </c>
      <c r="N154" s="186" t="str">
        <f>T_sept_dec[[#This Row],[Etablissement accueillant]]&amp;"-"&amp;T_sept_dec[[#This Row],[Enseignant référent (Nom Prénom)]]</f>
        <v>-</v>
      </c>
      <c r="O154" s="21">
        <f>1/COUNTIF(T_sept_dec[CléEtablissement],T_sept_dec[[#This Row],[CléEtablissement]])</f>
        <v>4.1841004184100415E-3</v>
      </c>
      <c r="P15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4" s="186">
        <f>1/COUNTIF(T_sept_dec[CléRéseau-Rize horsmed],T_sept_dec[[#This Row],[CléRéseau-Rize horsmed]])</f>
        <v>4.1841004184100415E-3</v>
      </c>
      <c r="R154" s="186" t="str">
        <f>IF(COUNTIF(RIZE,T_sept_dec[[#This Row],[Secteur organisateur]]),"Rize_"&amp;T_sept_dec[[#This Row],[Enseignant référent (Nom Prénom)]],"")</f>
        <v/>
      </c>
      <c r="S154" s="186">
        <f>1/COUNTIF(T_sept_dec[CléRize],T_sept_dec[[#This Row],[CléRize]])</f>
        <v>4.048582995951417E-3</v>
      </c>
      <c r="T154" s="186" t="str">
        <f>IF(COUNTIF(Total,T_sept_dec[[#This Row],[Secteur organisateur]]),"Total_"&amp;T_sept_dec[[#This Row],[Enseignant référent (Nom Prénom)]],"")</f>
        <v/>
      </c>
      <c r="U154" s="186">
        <f>1/COUNTIF(T_sept_dec[cléTotal],T_sept_dec[[#This Row],[cléTotal]])</f>
        <v>4.1841004184100415E-3</v>
      </c>
    </row>
    <row r="155" spans="11:21">
      <c r="K155" s="21" t="str">
        <f>IF(COUNTIF(Maternelle,E155)=1,listes!$T$1,IF(COUNTIF(Elémentaire,E155)=1,listes!$U$1,IF(COUNTIF(Collège,E155)=1,listes!$V$1,IF(COUNTIF(Lycée,E155)=1,listes!$W$1,""))))</f>
        <v/>
      </c>
      <c r="L155" s="21" t="str">
        <f>IF(COUNTIF(Perralière,D155)=1,listes!$P$1,IF(COUNTIF(Buers,D155)=1,listes!$J$1,IF(COUNTIF(Charpennes,D155)=1,listes!$K$1,IF(COUNTIF(Cusset,D155)=1,listes!$L$1,IF(COUNTIF(Cyprien,D155)=1,listes!$M$1,IF(COUNTIF(Ferrandière,D155)=1,listes!$N$1,IF(COUNTIF(Gratteciel,D155)=1,listes!$O$1,IF(COUNTIF(Saintjean,D155)=1,listes!$Q$1,IF(COUNTIF(horsvilleurbanne,D155)=1,listes!$R$1,"")))))))))</f>
        <v/>
      </c>
      <c r="M155" s="21" t="str">
        <f t="shared" si="2"/>
        <v/>
      </c>
      <c r="N155" s="186" t="str">
        <f>T_sept_dec[[#This Row],[Etablissement accueillant]]&amp;"-"&amp;T_sept_dec[[#This Row],[Enseignant référent (Nom Prénom)]]</f>
        <v>-</v>
      </c>
      <c r="O155" s="21">
        <f>1/COUNTIF(T_sept_dec[CléEtablissement],T_sept_dec[[#This Row],[CléEtablissement]])</f>
        <v>4.1841004184100415E-3</v>
      </c>
      <c r="P15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5" s="186">
        <f>1/COUNTIF(T_sept_dec[CléRéseau-Rize horsmed],T_sept_dec[[#This Row],[CléRéseau-Rize horsmed]])</f>
        <v>4.1841004184100415E-3</v>
      </c>
      <c r="R155" s="186" t="str">
        <f>IF(COUNTIF(RIZE,T_sept_dec[[#This Row],[Secteur organisateur]]),"Rize_"&amp;T_sept_dec[[#This Row],[Enseignant référent (Nom Prénom)]],"")</f>
        <v/>
      </c>
      <c r="S155" s="186">
        <f>1/COUNTIF(T_sept_dec[CléRize],T_sept_dec[[#This Row],[CléRize]])</f>
        <v>4.048582995951417E-3</v>
      </c>
      <c r="T155" s="186" t="str">
        <f>IF(COUNTIF(Total,T_sept_dec[[#This Row],[Secteur organisateur]]),"Total_"&amp;T_sept_dec[[#This Row],[Enseignant référent (Nom Prénom)]],"")</f>
        <v/>
      </c>
      <c r="U155" s="186">
        <f>1/COUNTIF(T_sept_dec[cléTotal],T_sept_dec[[#This Row],[cléTotal]])</f>
        <v>4.1841004184100415E-3</v>
      </c>
    </row>
    <row r="156" spans="11:21">
      <c r="K156" s="21" t="str">
        <f>IF(COUNTIF(Maternelle,E156)=1,listes!$T$1,IF(COUNTIF(Elémentaire,E156)=1,listes!$U$1,IF(COUNTIF(Collège,E156)=1,listes!$V$1,IF(COUNTIF(Lycée,E156)=1,listes!$W$1,""))))</f>
        <v/>
      </c>
      <c r="L156" s="21" t="str">
        <f>IF(COUNTIF(Perralière,D156)=1,listes!$P$1,IF(COUNTIF(Buers,D156)=1,listes!$J$1,IF(COUNTIF(Charpennes,D156)=1,listes!$K$1,IF(COUNTIF(Cusset,D156)=1,listes!$L$1,IF(COUNTIF(Cyprien,D156)=1,listes!$M$1,IF(COUNTIF(Ferrandière,D156)=1,listes!$N$1,IF(COUNTIF(Gratteciel,D156)=1,listes!$O$1,IF(COUNTIF(Saintjean,D156)=1,listes!$Q$1,IF(COUNTIF(horsvilleurbanne,D156)=1,listes!$R$1,"")))))))))</f>
        <v/>
      </c>
      <c r="M156" s="21" t="str">
        <f t="shared" si="2"/>
        <v/>
      </c>
      <c r="N156" s="186" t="str">
        <f>T_sept_dec[[#This Row],[Etablissement accueillant]]&amp;"-"&amp;T_sept_dec[[#This Row],[Enseignant référent (Nom Prénom)]]</f>
        <v>-</v>
      </c>
      <c r="O156" s="21">
        <f>1/COUNTIF(T_sept_dec[CléEtablissement],T_sept_dec[[#This Row],[CléEtablissement]])</f>
        <v>4.1841004184100415E-3</v>
      </c>
      <c r="P15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6" s="186">
        <f>1/COUNTIF(T_sept_dec[CléRéseau-Rize horsmed],T_sept_dec[[#This Row],[CléRéseau-Rize horsmed]])</f>
        <v>4.1841004184100415E-3</v>
      </c>
      <c r="R156" s="186" t="str">
        <f>IF(COUNTIF(RIZE,T_sept_dec[[#This Row],[Secteur organisateur]]),"Rize_"&amp;T_sept_dec[[#This Row],[Enseignant référent (Nom Prénom)]],"")</f>
        <v/>
      </c>
      <c r="S156" s="186">
        <f>1/COUNTIF(T_sept_dec[CléRize],T_sept_dec[[#This Row],[CléRize]])</f>
        <v>4.048582995951417E-3</v>
      </c>
      <c r="T156" s="186" t="str">
        <f>IF(COUNTIF(Total,T_sept_dec[[#This Row],[Secteur organisateur]]),"Total_"&amp;T_sept_dec[[#This Row],[Enseignant référent (Nom Prénom)]],"")</f>
        <v/>
      </c>
      <c r="U156" s="186">
        <f>1/COUNTIF(T_sept_dec[cléTotal],T_sept_dec[[#This Row],[cléTotal]])</f>
        <v>4.1841004184100415E-3</v>
      </c>
    </row>
    <row r="157" spans="11:21">
      <c r="K157" s="21" t="str">
        <f>IF(COUNTIF(Maternelle,E157)=1,listes!$T$1,IF(COUNTIF(Elémentaire,E157)=1,listes!$U$1,IF(COUNTIF(Collège,E157)=1,listes!$V$1,IF(COUNTIF(Lycée,E157)=1,listes!$W$1,""))))</f>
        <v/>
      </c>
      <c r="L157" s="21" t="str">
        <f>IF(COUNTIF(Perralière,D157)=1,listes!$P$1,IF(COUNTIF(Buers,D157)=1,listes!$J$1,IF(COUNTIF(Charpennes,D157)=1,listes!$K$1,IF(COUNTIF(Cusset,D157)=1,listes!$L$1,IF(COUNTIF(Cyprien,D157)=1,listes!$M$1,IF(COUNTIF(Ferrandière,D157)=1,listes!$N$1,IF(COUNTIF(Gratteciel,D157)=1,listes!$O$1,IF(COUNTIF(Saintjean,D157)=1,listes!$Q$1,IF(COUNTIF(horsvilleurbanne,D157)=1,listes!$R$1,"")))))))))</f>
        <v/>
      </c>
      <c r="M157" s="21" t="str">
        <f t="shared" si="2"/>
        <v/>
      </c>
      <c r="N157" s="186" t="str">
        <f>T_sept_dec[[#This Row],[Etablissement accueillant]]&amp;"-"&amp;T_sept_dec[[#This Row],[Enseignant référent (Nom Prénom)]]</f>
        <v>-</v>
      </c>
      <c r="O157" s="21">
        <f>1/COUNTIF(T_sept_dec[CléEtablissement],T_sept_dec[[#This Row],[CléEtablissement]])</f>
        <v>4.1841004184100415E-3</v>
      </c>
      <c r="P15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7" s="186">
        <f>1/COUNTIF(T_sept_dec[CléRéseau-Rize horsmed],T_sept_dec[[#This Row],[CléRéseau-Rize horsmed]])</f>
        <v>4.1841004184100415E-3</v>
      </c>
      <c r="R157" s="186" t="str">
        <f>IF(COUNTIF(RIZE,T_sept_dec[[#This Row],[Secteur organisateur]]),"Rize_"&amp;T_sept_dec[[#This Row],[Enseignant référent (Nom Prénom)]],"")</f>
        <v/>
      </c>
      <c r="S157" s="186">
        <f>1/COUNTIF(T_sept_dec[CléRize],T_sept_dec[[#This Row],[CléRize]])</f>
        <v>4.048582995951417E-3</v>
      </c>
      <c r="T157" s="186" t="str">
        <f>IF(COUNTIF(Total,T_sept_dec[[#This Row],[Secteur organisateur]]),"Total_"&amp;T_sept_dec[[#This Row],[Enseignant référent (Nom Prénom)]],"")</f>
        <v/>
      </c>
      <c r="U157" s="186">
        <f>1/COUNTIF(T_sept_dec[cléTotal],T_sept_dec[[#This Row],[cléTotal]])</f>
        <v>4.1841004184100415E-3</v>
      </c>
    </row>
    <row r="158" spans="11:21">
      <c r="K158" s="21" t="str">
        <f>IF(COUNTIF(Maternelle,E158)=1,listes!$T$1,IF(COUNTIF(Elémentaire,E158)=1,listes!$U$1,IF(COUNTIF(Collège,E158)=1,listes!$V$1,IF(COUNTIF(Lycée,E158)=1,listes!$W$1,""))))</f>
        <v/>
      </c>
      <c r="L158" s="21" t="str">
        <f>IF(COUNTIF(Perralière,D158)=1,listes!$P$1,IF(COUNTIF(Buers,D158)=1,listes!$J$1,IF(COUNTIF(Charpennes,D158)=1,listes!$K$1,IF(COUNTIF(Cusset,D158)=1,listes!$L$1,IF(COUNTIF(Cyprien,D158)=1,listes!$M$1,IF(COUNTIF(Ferrandière,D158)=1,listes!$N$1,IF(COUNTIF(Gratteciel,D158)=1,listes!$O$1,IF(COUNTIF(Saintjean,D158)=1,listes!$Q$1,IF(COUNTIF(horsvilleurbanne,D158)=1,listes!$R$1,"")))))))))</f>
        <v/>
      </c>
      <c r="M158" s="21" t="str">
        <f t="shared" si="2"/>
        <v/>
      </c>
      <c r="N158" s="186" t="str">
        <f>T_sept_dec[[#This Row],[Etablissement accueillant]]&amp;"-"&amp;T_sept_dec[[#This Row],[Enseignant référent (Nom Prénom)]]</f>
        <v>-</v>
      </c>
      <c r="O158" s="21">
        <f>1/COUNTIF(T_sept_dec[CléEtablissement],T_sept_dec[[#This Row],[CléEtablissement]])</f>
        <v>4.1841004184100415E-3</v>
      </c>
      <c r="P15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8" s="186">
        <f>1/COUNTIF(T_sept_dec[CléRéseau-Rize horsmed],T_sept_dec[[#This Row],[CléRéseau-Rize horsmed]])</f>
        <v>4.1841004184100415E-3</v>
      </c>
      <c r="R158" s="186" t="str">
        <f>IF(COUNTIF(RIZE,T_sept_dec[[#This Row],[Secteur organisateur]]),"Rize_"&amp;T_sept_dec[[#This Row],[Enseignant référent (Nom Prénom)]],"")</f>
        <v/>
      </c>
      <c r="S158" s="186">
        <f>1/COUNTIF(T_sept_dec[CléRize],T_sept_dec[[#This Row],[CléRize]])</f>
        <v>4.048582995951417E-3</v>
      </c>
      <c r="T158" s="186" t="str">
        <f>IF(COUNTIF(Total,T_sept_dec[[#This Row],[Secteur organisateur]]),"Total_"&amp;T_sept_dec[[#This Row],[Enseignant référent (Nom Prénom)]],"")</f>
        <v/>
      </c>
      <c r="U158" s="186">
        <f>1/COUNTIF(T_sept_dec[cléTotal],T_sept_dec[[#This Row],[cléTotal]])</f>
        <v>4.1841004184100415E-3</v>
      </c>
    </row>
    <row r="159" spans="11:21">
      <c r="K159" s="21" t="str">
        <f>IF(COUNTIF(Maternelle,E159)=1,listes!$T$1,IF(COUNTIF(Elémentaire,E159)=1,listes!$U$1,IF(COUNTIF(Collège,E159)=1,listes!$V$1,IF(COUNTIF(Lycée,E159)=1,listes!$W$1,""))))</f>
        <v/>
      </c>
      <c r="L159" s="21" t="str">
        <f>IF(COUNTIF(Perralière,D159)=1,listes!$P$1,IF(COUNTIF(Buers,D159)=1,listes!$J$1,IF(COUNTIF(Charpennes,D159)=1,listes!$K$1,IF(COUNTIF(Cusset,D159)=1,listes!$L$1,IF(COUNTIF(Cyprien,D159)=1,listes!$M$1,IF(COUNTIF(Ferrandière,D159)=1,listes!$N$1,IF(COUNTIF(Gratteciel,D159)=1,listes!$O$1,IF(COUNTIF(Saintjean,D159)=1,listes!$Q$1,IF(COUNTIF(horsvilleurbanne,D159)=1,listes!$R$1,"")))))))))</f>
        <v/>
      </c>
      <c r="M159" s="21" t="str">
        <f t="shared" si="2"/>
        <v/>
      </c>
      <c r="N159" s="186" t="str">
        <f>T_sept_dec[[#This Row],[Etablissement accueillant]]&amp;"-"&amp;T_sept_dec[[#This Row],[Enseignant référent (Nom Prénom)]]</f>
        <v>-</v>
      </c>
      <c r="O159" s="21">
        <f>1/COUNTIF(T_sept_dec[CléEtablissement],T_sept_dec[[#This Row],[CléEtablissement]])</f>
        <v>4.1841004184100415E-3</v>
      </c>
      <c r="P15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59" s="186">
        <f>1/COUNTIF(T_sept_dec[CléRéseau-Rize horsmed],T_sept_dec[[#This Row],[CléRéseau-Rize horsmed]])</f>
        <v>4.1841004184100415E-3</v>
      </c>
      <c r="R159" s="186" t="str">
        <f>IF(COUNTIF(RIZE,T_sept_dec[[#This Row],[Secteur organisateur]]),"Rize_"&amp;T_sept_dec[[#This Row],[Enseignant référent (Nom Prénom)]],"")</f>
        <v/>
      </c>
      <c r="S159" s="186">
        <f>1/COUNTIF(T_sept_dec[CléRize],T_sept_dec[[#This Row],[CléRize]])</f>
        <v>4.048582995951417E-3</v>
      </c>
      <c r="T159" s="186" t="str">
        <f>IF(COUNTIF(Total,T_sept_dec[[#This Row],[Secteur organisateur]]),"Total_"&amp;T_sept_dec[[#This Row],[Enseignant référent (Nom Prénom)]],"")</f>
        <v/>
      </c>
      <c r="U159" s="186">
        <f>1/COUNTIF(T_sept_dec[cléTotal],T_sept_dec[[#This Row],[cléTotal]])</f>
        <v>4.1841004184100415E-3</v>
      </c>
    </row>
    <row r="160" spans="11:21">
      <c r="K160" s="21" t="str">
        <f>IF(COUNTIF(Maternelle,E160)=1,listes!$T$1,IF(COUNTIF(Elémentaire,E160)=1,listes!$U$1,IF(COUNTIF(Collège,E160)=1,listes!$V$1,IF(COUNTIF(Lycée,E160)=1,listes!$W$1,""))))</f>
        <v/>
      </c>
      <c r="L160" s="21" t="str">
        <f>IF(COUNTIF(Perralière,D160)=1,listes!$P$1,IF(COUNTIF(Buers,D160)=1,listes!$J$1,IF(COUNTIF(Charpennes,D160)=1,listes!$K$1,IF(COUNTIF(Cusset,D160)=1,listes!$L$1,IF(COUNTIF(Cyprien,D160)=1,listes!$M$1,IF(COUNTIF(Ferrandière,D160)=1,listes!$N$1,IF(COUNTIF(Gratteciel,D160)=1,listes!$O$1,IF(COUNTIF(Saintjean,D160)=1,listes!$Q$1,IF(COUNTIF(horsvilleurbanne,D160)=1,listes!$R$1,"")))))))))</f>
        <v/>
      </c>
      <c r="M160" s="21" t="str">
        <f t="shared" si="2"/>
        <v/>
      </c>
      <c r="N160" s="186" t="str">
        <f>T_sept_dec[[#This Row],[Etablissement accueillant]]&amp;"-"&amp;T_sept_dec[[#This Row],[Enseignant référent (Nom Prénom)]]</f>
        <v>-</v>
      </c>
      <c r="O160" s="21">
        <f>1/COUNTIF(T_sept_dec[CléEtablissement],T_sept_dec[[#This Row],[CléEtablissement]])</f>
        <v>4.1841004184100415E-3</v>
      </c>
      <c r="P16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0" s="186">
        <f>1/COUNTIF(T_sept_dec[CléRéseau-Rize horsmed],T_sept_dec[[#This Row],[CléRéseau-Rize horsmed]])</f>
        <v>4.1841004184100415E-3</v>
      </c>
      <c r="R160" s="186" t="str">
        <f>IF(COUNTIF(RIZE,T_sept_dec[[#This Row],[Secteur organisateur]]),"Rize_"&amp;T_sept_dec[[#This Row],[Enseignant référent (Nom Prénom)]],"")</f>
        <v/>
      </c>
      <c r="S160" s="186">
        <f>1/COUNTIF(T_sept_dec[CléRize],T_sept_dec[[#This Row],[CléRize]])</f>
        <v>4.048582995951417E-3</v>
      </c>
      <c r="T160" s="186" t="str">
        <f>IF(COUNTIF(Total,T_sept_dec[[#This Row],[Secteur organisateur]]),"Total_"&amp;T_sept_dec[[#This Row],[Enseignant référent (Nom Prénom)]],"")</f>
        <v/>
      </c>
      <c r="U160" s="186">
        <f>1/COUNTIF(T_sept_dec[cléTotal],T_sept_dec[[#This Row],[cléTotal]])</f>
        <v>4.1841004184100415E-3</v>
      </c>
    </row>
    <row r="161" spans="11:21">
      <c r="K161" s="21" t="str">
        <f>IF(COUNTIF(Maternelle,E161)=1,listes!$T$1,IF(COUNTIF(Elémentaire,E161)=1,listes!$U$1,IF(COUNTIF(Collège,E161)=1,listes!$V$1,IF(COUNTIF(Lycée,E161)=1,listes!$W$1,""))))</f>
        <v/>
      </c>
      <c r="L161" s="21" t="str">
        <f>IF(COUNTIF(Perralière,D161)=1,listes!$P$1,IF(COUNTIF(Buers,D161)=1,listes!$J$1,IF(COUNTIF(Charpennes,D161)=1,listes!$K$1,IF(COUNTIF(Cusset,D161)=1,listes!$L$1,IF(COUNTIF(Cyprien,D161)=1,listes!$M$1,IF(COUNTIF(Ferrandière,D161)=1,listes!$N$1,IF(COUNTIF(Gratteciel,D161)=1,listes!$O$1,IF(COUNTIF(Saintjean,D161)=1,listes!$Q$1,IF(COUNTIF(horsvilleurbanne,D161)=1,listes!$R$1,"")))))))))</f>
        <v/>
      </c>
      <c r="M161" s="21" t="str">
        <f t="shared" si="2"/>
        <v/>
      </c>
      <c r="N161" s="186" t="str">
        <f>T_sept_dec[[#This Row],[Etablissement accueillant]]&amp;"-"&amp;T_sept_dec[[#This Row],[Enseignant référent (Nom Prénom)]]</f>
        <v>-</v>
      </c>
      <c r="O161" s="21">
        <f>1/COUNTIF(T_sept_dec[CléEtablissement],T_sept_dec[[#This Row],[CléEtablissement]])</f>
        <v>4.1841004184100415E-3</v>
      </c>
      <c r="P16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1" s="186">
        <f>1/COUNTIF(T_sept_dec[CléRéseau-Rize horsmed],T_sept_dec[[#This Row],[CléRéseau-Rize horsmed]])</f>
        <v>4.1841004184100415E-3</v>
      </c>
      <c r="R161" s="186" t="str">
        <f>IF(COUNTIF(RIZE,T_sept_dec[[#This Row],[Secteur organisateur]]),"Rize_"&amp;T_sept_dec[[#This Row],[Enseignant référent (Nom Prénom)]],"")</f>
        <v/>
      </c>
      <c r="S161" s="186">
        <f>1/COUNTIF(T_sept_dec[CléRize],T_sept_dec[[#This Row],[CléRize]])</f>
        <v>4.048582995951417E-3</v>
      </c>
      <c r="T161" s="186" t="str">
        <f>IF(COUNTIF(Total,T_sept_dec[[#This Row],[Secteur organisateur]]),"Total_"&amp;T_sept_dec[[#This Row],[Enseignant référent (Nom Prénom)]],"")</f>
        <v/>
      </c>
      <c r="U161" s="186">
        <f>1/COUNTIF(T_sept_dec[cléTotal],T_sept_dec[[#This Row],[cléTotal]])</f>
        <v>4.1841004184100415E-3</v>
      </c>
    </row>
    <row r="162" spans="11:21">
      <c r="K162" s="21" t="str">
        <f>IF(COUNTIF(Maternelle,E162)=1,listes!$T$1,IF(COUNTIF(Elémentaire,E162)=1,listes!$U$1,IF(COUNTIF(Collège,E162)=1,listes!$V$1,IF(COUNTIF(Lycée,E162)=1,listes!$W$1,""))))</f>
        <v/>
      </c>
      <c r="L162" s="21" t="str">
        <f>IF(COUNTIF(Perralière,D162)=1,listes!$P$1,IF(COUNTIF(Buers,D162)=1,listes!$J$1,IF(COUNTIF(Charpennes,D162)=1,listes!$K$1,IF(COUNTIF(Cusset,D162)=1,listes!$L$1,IF(COUNTIF(Cyprien,D162)=1,listes!$M$1,IF(COUNTIF(Ferrandière,D162)=1,listes!$N$1,IF(COUNTIF(Gratteciel,D162)=1,listes!$O$1,IF(COUNTIF(Saintjean,D162)=1,listes!$Q$1,IF(COUNTIF(horsvilleurbanne,D162)=1,listes!$R$1,"")))))))))</f>
        <v/>
      </c>
      <c r="M162" s="21" t="str">
        <f t="shared" si="2"/>
        <v/>
      </c>
      <c r="N162" s="186" t="str">
        <f>T_sept_dec[[#This Row],[Etablissement accueillant]]&amp;"-"&amp;T_sept_dec[[#This Row],[Enseignant référent (Nom Prénom)]]</f>
        <v>-</v>
      </c>
      <c r="O162" s="21">
        <f>1/COUNTIF(T_sept_dec[CléEtablissement],T_sept_dec[[#This Row],[CléEtablissement]])</f>
        <v>4.1841004184100415E-3</v>
      </c>
      <c r="P16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2" s="186">
        <f>1/COUNTIF(T_sept_dec[CléRéseau-Rize horsmed],T_sept_dec[[#This Row],[CléRéseau-Rize horsmed]])</f>
        <v>4.1841004184100415E-3</v>
      </c>
      <c r="R162" s="186" t="str">
        <f>IF(COUNTIF(RIZE,T_sept_dec[[#This Row],[Secteur organisateur]]),"Rize_"&amp;T_sept_dec[[#This Row],[Enseignant référent (Nom Prénom)]],"")</f>
        <v/>
      </c>
      <c r="S162" s="186">
        <f>1/COUNTIF(T_sept_dec[CléRize],T_sept_dec[[#This Row],[CléRize]])</f>
        <v>4.048582995951417E-3</v>
      </c>
      <c r="T162" s="186" t="str">
        <f>IF(COUNTIF(Total,T_sept_dec[[#This Row],[Secteur organisateur]]),"Total_"&amp;T_sept_dec[[#This Row],[Enseignant référent (Nom Prénom)]],"")</f>
        <v/>
      </c>
      <c r="U162" s="186">
        <f>1/COUNTIF(T_sept_dec[cléTotal],T_sept_dec[[#This Row],[cléTotal]])</f>
        <v>4.1841004184100415E-3</v>
      </c>
    </row>
    <row r="163" spans="11:21">
      <c r="K163" s="21" t="str">
        <f>IF(COUNTIF(Maternelle,E163)=1,listes!$T$1,IF(COUNTIF(Elémentaire,E163)=1,listes!$U$1,IF(COUNTIF(Collège,E163)=1,listes!$V$1,IF(COUNTIF(Lycée,E163)=1,listes!$W$1,""))))</f>
        <v/>
      </c>
      <c r="L163" s="21" t="str">
        <f>IF(COUNTIF(Perralière,D163)=1,listes!$P$1,IF(COUNTIF(Buers,D163)=1,listes!$J$1,IF(COUNTIF(Charpennes,D163)=1,listes!$K$1,IF(COUNTIF(Cusset,D163)=1,listes!$L$1,IF(COUNTIF(Cyprien,D163)=1,listes!$M$1,IF(COUNTIF(Ferrandière,D163)=1,listes!$N$1,IF(COUNTIF(Gratteciel,D163)=1,listes!$O$1,IF(COUNTIF(Saintjean,D163)=1,listes!$Q$1,IF(COUNTIF(horsvilleurbanne,D163)=1,listes!$R$1,"")))))))))</f>
        <v/>
      </c>
      <c r="M163" s="21" t="str">
        <f t="shared" si="2"/>
        <v/>
      </c>
      <c r="N163" s="186" t="str">
        <f>T_sept_dec[[#This Row],[Etablissement accueillant]]&amp;"-"&amp;T_sept_dec[[#This Row],[Enseignant référent (Nom Prénom)]]</f>
        <v>-</v>
      </c>
      <c r="O163" s="21">
        <f>1/COUNTIF(T_sept_dec[CléEtablissement],T_sept_dec[[#This Row],[CléEtablissement]])</f>
        <v>4.1841004184100415E-3</v>
      </c>
      <c r="P16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3" s="186">
        <f>1/COUNTIF(T_sept_dec[CléRéseau-Rize horsmed],T_sept_dec[[#This Row],[CléRéseau-Rize horsmed]])</f>
        <v>4.1841004184100415E-3</v>
      </c>
      <c r="R163" s="186" t="str">
        <f>IF(COUNTIF(RIZE,T_sept_dec[[#This Row],[Secteur organisateur]]),"Rize_"&amp;T_sept_dec[[#This Row],[Enseignant référent (Nom Prénom)]],"")</f>
        <v/>
      </c>
      <c r="S163" s="186">
        <f>1/COUNTIF(T_sept_dec[CléRize],T_sept_dec[[#This Row],[CléRize]])</f>
        <v>4.048582995951417E-3</v>
      </c>
      <c r="T163" s="186" t="str">
        <f>IF(COUNTIF(Total,T_sept_dec[[#This Row],[Secteur organisateur]]),"Total_"&amp;T_sept_dec[[#This Row],[Enseignant référent (Nom Prénom)]],"")</f>
        <v/>
      </c>
      <c r="U163" s="186">
        <f>1/COUNTIF(T_sept_dec[cléTotal],T_sept_dec[[#This Row],[cléTotal]])</f>
        <v>4.1841004184100415E-3</v>
      </c>
    </row>
    <row r="164" spans="11:21">
      <c r="K164" s="21" t="str">
        <f>IF(COUNTIF(Maternelle,E164)=1,listes!$T$1,IF(COUNTIF(Elémentaire,E164)=1,listes!$U$1,IF(COUNTIF(Collège,E164)=1,listes!$V$1,IF(COUNTIF(Lycée,E164)=1,listes!$W$1,""))))</f>
        <v/>
      </c>
      <c r="L164" s="21" t="str">
        <f>IF(COUNTIF(Perralière,D164)=1,listes!$P$1,IF(COUNTIF(Buers,D164)=1,listes!$J$1,IF(COUNTIF(Charpennes,D164)=1,listes!$K$1,IF(COUNTIF(Cusset,D164)=1,listes!$L$1,IF(COUNTIF(Cyprien,D164)=1,listes!$M$1,IF(COUNTIF(Ferrandière,D164)=1,listes!$N$1,IF(COUNTIF(Gratteciel,D164)=1,listes!$O$1,IF(COUNTIF(Saintjean,D164)=1,listes!$Q$1,IF(COUNTIF(horsvilleurbanne,D164)=1,listes!$R$1,"")))))))))</f>
        <v/>
      </c>
      <c r="M164" s="21" t="str">
        <f t="shared" si="2"/>
        <v/>
      </c>
      <c r="N164" s="186" t="str">
        <f>T_sept_dec[[#This Row],[Etablissement accueillant]]&amp;"-"&amp;T_sept_dec[[#This Row],[Enseignant référent (Nom Prénom)]]</f>
        <v>-</v>
      </c>
      <c r="O164" s="21">
        <f>1/COUNTIF(T_sept_dec[CléEtablissement],T_sept_dec[[#This Row],[CléEtablissement]])</f>
        <v>4.1841004184100415E-3</v>
      </c>
      <c r="P16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4" s="186">
        <f>1/COUNTIF(T_sept_dec[CléRéseau-Rize horsmed],T_sept_dec[[#This Row],[CléRéseau-Rize horsmed]])</f>
        <v>4.1841004184100415E-3</v>
      </c>
      <c r="R164" s="186" t="str">
        <f>IF(COUNTIF(RIZE,T_sept_dec[[#This Row],[Secteur organisateur]]),"Rize_"&amp;T_sept_dec[[#This Row],[Enseignant référent (Nom Prénom)]],"")</f>
        <v/>
      </c>
      <c r="S164" s="186">
        <f>1/COUNTIF(T_sept_dec[CléRize],T_sept_dec[[#This Row],[CléRize]])</f>
        <v>4.048582995951417E-3</v>
      </c>
      <c r="T164" s="186" t="str">
        <f>IF(COUNTIF(Total,T_sept_dec[[#This Row],[Secteur organisateur]]),"Total_"&amp;T_sept_dec[[#This Row],[Enseignant référent (Nom Prénom)]],"")</f>
        <v/>
      </c>
      <c r="U164" s="186">
        <f>1/COUNTIF(T_sept_dec[cléTotal],T_sept_dec[[#This Row],[cléTotal]])</f>
        <v>4.1841004184100415E-3</v>
      </c>
    </row>
    <row r="165" spans="11:21">
      <c r="K165" s="21" t="str">
        <f>IF(COUNTIF(Maternelle,E165)=1,listes!$T$1,IF(COUNTIF(Elémentaire,E165)=1,listes!$U$1,IF(COUNTIF(Collège,E165)=1,listes!$V$1,IF(COUNTIF(Lycée,E165)=1,listes!$W$1,""))))</f>
        <v/>
      </c>
      <c r="L165" s="21" t="str">
        <f>IF(COUNTIF(Perralière,D165)=1,listes!$P$1,IF(COUNTIF(Buers,D165)=1,listes!$J$1,IF(COUNTIF(Charpennes,D165)=1,listes!$K$1,IF(COUNTIF(Cusset,D165)=1,listes!$L$1,IF(COUNTIF(Cyprien,D165)=1,listes!$M$1,IF(COUNTIF(Ferrandière,D165)=1,listes!$N$1,IF(COUNTIF(Gratteciel,D165)=1,listes!$O$1,IF(COUNTIF(Saintjean,D165)=1,listes!$Q$1,IF(COUNTIF(horsvilleurbanne,D165)=1,listes!$R$1,"")))))))))</f>
        <v/>
      </c>
      <c r="M165" s="21" t="str">
        <f t="shared" si="2"/>
        <v/>
      </c>
      <c r="N165" s="186" t="str">
        <f>T_sept_dec[[#This Row],[Etablissement accueillant]]&amp;"-"&amp;T_sept_dec[[#This Row],[Enseignant référent (Nom Prénom)]]</f>
        <v>-</v>
      </c>
      <c r="O165" s="21">
        <f>1/COUNTIF(T_sept_dec[CléEtablissement],T_sept_dec[[#This Row],[CléEtablissement]])</f>
        <v>4.1841004184100415E-3</v>
      </c>
      <c r="P16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5" s="186">
        <f>1/COUNTIF(T_sept_dec[CléRéseau-Rize horsmed],T_sept_dec[[#This Row],[CléRéseau-Rize horsmed]])</f>
        <v>4.1841004184100415E-3</v>
      </c>
      <c r="R165" s="186" t="str">
        <f>IF(COUNTIF(RIZE,T_sept_dec[[#This Row],[Secteur organisateur]]),"Rize_"&amp;T_sept_dec[[#This Row],[Enseignant référent (Nom Prénom)]],"")</f>
        <v/>
      </c>
      <c r="S165" s="186">
        <f>1/COUNTIF(T_sept_dec[CléRize],T_sept_dec[[#This Row],[CléRize]])</f>
        <v>4.048582995951417E-3</v>
      </c>
      <c r="T165" s="186" t="str">
        <f>IF(COUNTIF(Total,T_sept_dec[[#This Row],[Secteur organisateur]]),"Total_"&amp;T_sept_dec[[#This Row],[Enseignant référent (Nom Prénom)]],"")</f>
        <v/>
      </c>
      <c r="U165" s="186">
        <f>1/COUNTIF(T_sept_dec[cléTotal],T_sept_dec[[#This Row],[cléTotal]])</f>
        <v>4.1841004184100415E-3</v>
      </c>
    </row>
    <row r="166" spans="11:21">
      <c r="K166" s="21" t="str">
        <f>IF(COUNTIF(Maternelle,E166)=1,listes!$T$1,IF(COUNTIF(Elémentaire,E166)=1,listes!$U$1,IF(COUNTIF(Collège,E166)=1,listes!$V$1,IF(COUNTIF(Lycée,E166)=1,listes!$W$1,""))))</f>
        <v/>
      </c>
      <c r="L166" s="21" t="str">
        <f>IF(COUNTIF(Perralière,D166)=1,listes!$P$1,IF(COUNTIF(Buers,D166)=1,listes!$J$1,IF(COUNTIF(Charpennes,D166)=1,listes!$K$1,IF(COUNTIF(Cusset,D166)=1,listes!$L$1,IF(COUNTIF(Cyprien,D166)=1,listes!$M$1,IF(COUNTIF(Ferrandière,D166)=1,listes!$N$1,IF(COUNTIF(Gratteciel,D166)=1,listes!$O$1,IF(COUNTIF(Saintjean,D166)=1,listes!$Q$1,IF(COUNTIF(horsvilleurbanne,D166)=1,listes!$R$1,"")))))))))</f>
        <v/>
      </c>
      <c r="M166" s="21" t="str">
        <f t="shared" si="2"/>
        <v/>
      </c>
      <c r="N166" s="186" t="str">
        <f>T_sept_dec[[#This Row],[Etablissement accueillant]]&amp;"-"&amp;T_sept_dec[[#This Row],[Enseignant référent (Nom Prénom)]]</f>
        <v>-</v>
      </c>
      <c r="O166" s="21">
        <f>1/COUNTIF(T_sept_dec[CléEtablissement],T_sept_dec[[#This Row],[CléEtablissement]])</f>
        <v>4.1841004184100415E-3</v>
      </c>
      <c r="P16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6" s="186">
        <f>1/COUNTIF(T_sept_dec[CléRéseau-Rize horsmed],T_sept_dec[[#This Row],[CléRéseau-Rize horsmed]])</f>
        <v>4.1841004184100415E-3</v>
      </c>
      <c r="R166" s="186" t="str">
        <f>IF(COUNTIF(RIZE,T_sept_dec[[#This Row],[Secteur organisateur]]),"Rize_"&amp;T_sept_dec[[#This Row],[Enseignant référent (Nom Prénom)]],"")</f>
        <v/>
      </c>
      <c r="S166" s="186">
        <f>1/COUNTIF(T_sept_dec[CléRize],T_sept_dec[[#This Row],[CléRize]])</f>
        <v>4.048582995951417E-3</v>
      </c>
      <c r="T166" s="186" t="str">
        <f>IF(COUNTIF(Total,T_sept_dec[[#This Row],[Secteur organisateur]]),"Total_"&amp;T_sept_dec[[#This Row],[Enseignant référent (Nom Prénom)]],"")</f>
        <v/>
      </c>
      <c r="U166" s="186">
        <f>1/COUNTIF(T_sept_dec[cléTotal],T_sept_dec[[#This Row],[cléTotal]])</f>
        <v>4.1841004184100415E-3</v>
      </c>
    </row>
    <row r="167" spans="11:21">
      <c r="K167" s="21" t="str">
        <f>IF(COUNTIF(Maternelle,E167)=1,listes!$T$1,IF(COUNTIF(Elémentaire,E167)=1,listes!$U$1,IF(COUNTIF(Collège,E167)=1,listes!$V$1,IF(COUNTIF(Lycée,E167)=1,listes!$W$1,""))))</f>
        <v/>
      </c>
      <c r="L167" s="21" t="str">
        <f>IF(COUNTIF(Perralière,D167)=1,listes!$P$1,IF(COUNTIF(Buers,D167)=1,listes!$J$1,IF(COUNTIF(Charpennes,D167)=1,listes!$K$1,IF(COUNTIF(Cusset,D167)=1,listes!$L$1,IF(COUNTIF(Cyprien,D167)=1,listes!$M$1,IF(COUNTIF(Ferrandière,D167)=1,listes!$N$1,IF(COUNTIF(Gratteciel,D167)=1,listes!$O$1,IF(COUNTIF(Saintjean,D167)=1,listes!$Q$1,IF(COUNTIF(horsvilleurbanne,D167)=1,listes!$R$1,"")))))))))</f>
        <v/>
      </c>
      <c r="M167" s="21" t="str">
        <f t="shared" si="2"/>
        <v/>
      </c>
      <c r="N167" s="186" t="str">
        <f>T_sept_dec[[#This Row],[Etablissement accueillant]]&amp;"-"&amp;T_sept_dec[[#This Row],[Enseignant référent (Nom Prénom)]]</f>
        <v>-</v>
      </c>
      <c r="O167" s="21">
        <f>1/COUNTIF(T_sept_dec[CléEtablissement],T_sept_dec[[#This Row],[CléEtablissement]])</f>
        <v>4.1841004184100415E-3</v>
      </c>
      <c r="P16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7" s="186">
        <f>1/COUNTIF(T_sept_dec[CléRéseau-Rize horsmed],T_sept_dec[[#This Row],[CléRéseau-Rize horsmed]])</f>
        <v>4.1841004184100415E-3</v>
      </c>
      <c r="R167" s="186" t="str">
        <f>IF(COUNTIF(RIZE,T_sept_dec[[#This Row],[Secteur organisateur]]),"Rize_"&amp;T_sept_dec[[#This Row],[Enseignant référent (Nom Prénom)]],"")</f>
        <v/>
      </c>
      <c r="S167" s="186">
        <f>1/COUNTIF(T_sept_dec[CléRize],T_sept_dec[[#This Row],[CléRize]])</f>
        <v>4.048582995951417E-3</v>
      </c>
      <c r="T167" s="186" t="str">
        <f>IF(COUNTIF(Total,T_sept_dec[[#This Row],[Secteur organisateur]]),"Total_"&amp;T_sept_dec[[#This Row],[Enseignant référent (Nom Prénom)]],"")</f>
        <v/>
      </c>
      <c r="U167" s="186">
        <f>1/COUNTIF(T_sept_dec[cléTotal],T_sept_dec[[#This Row],[cléTotal]])</f>
        <v>4.1841004184100415E-3</v>
      </c>
    </row>
    <row r="168" spans="11:21">
      <c r="K168" s="21" t="str">
        <f>IF(COUNTIF(Maternelle,E168)=1,listes!$T$1,IF(COUNTIF(Elémentaire,E168)=1,listes!$U$1,IF(COUNTIF(Collège,E168)=1,listes!$V$1,IF(COUNTIF(Lycée,E168)=1,listes!$W$1,""))))</f>
        <v/>
      </c>
      <c r="L168" s="21" t="str">
        <f>IF(COUNTIF(Perralière,D168)=1,listes!$P$1,IF(COUNTIF(Buers,D168)=1,listes!$J$1,IF(COUNTIF(Charpennes,D168)=1,listes!$K$1,IF(COUNTIF(Cusset,D168)=1,listes!$L$1,IF(COUNTIF(Cyprien,D168)=1,listes!$M$1,IF(COUNTIF(Ferrandière,D168)=1,listes!$N$1,IF(COUNTIF(Gratteciel,D168)=1,listes!$O$1,IF(COUNTIF(Saintjean,D168)=1,listes!$Q$1,IF(COUNTIF(horsvilleurbanne,D168)=1,listes!$R$1,"")))))))))</f>
        <v/>
      </c>
      <c r="M168" s="21" t="str">
        <f t="shared" si="2"/>
        <v/>
      </c>
      <c r="N168" s="186" t="str">
        <f>T_sept_dec[[#This Row],[Etablissement accueillant]]&amp;"-"&amp;T_sept_dec[[#This Row],[Enseignant référent (Nom Prénom)]]</f>
        <v>-</v>
      </c>
      <c r="O168" s="21">
        <f>1/COUNTIF(T_sept_dec[CléEtablissement],T_sept_dec[[#This Row],[CléEtablissement]])</f>
        <v>4.1841004184100415E-3</v>
      </c>
      <c r="P16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8" s="186">
        <f>1/COUNTIF(T_sept_dec[CléRéseau-Rize horsmed],T_sept_dec[[#This Row],[CléRéseau-Rize horsmed]])</f>
        <v>4.1841004184100415E-3</v>
      </c>
      <c r="R168" s="186" t="str">
        <f>IF(COUNTIF(RIZE,T_sept_dec[[#This Row],[Secteur organisateur]]),"Rize_"&amp;T_sept_dec[[#This Row],[Enseignant référent (Nom Prénom)]],"")</f>
        <v/>
      </c>
      <c r="S168" s="186">
        <f>1/COUNTIF(T_sept_dec[CléRize],T_sept_dec[[#This Row],[CléRize]])</f>
        <v>4.048582995951417E-3</v>
      </c>
      <c r="T168" s="186" t="str">
        <f>IF(COUNTIF(Total,T_sept_dec[[#This Row],[Secteur organisateur]]),"Total_"&amp;T_sept_dec[[#This Row],[Enseignant référent (Nom Prénom)]],"")</f>
        <v/>
      </c>
      <c r="U168" s="186">
        <f>1/COUNTIF(T_sept_dec[cléTotal],T_sept_dec[[#This Row],[cléTotal]])</f>
        <v>4.1841004184100415E-3</v>
      </c>
    </row>
    <row r="169" spans="11:21">
      <c r="K169" s="21" t="str">
        <f>IF(COUNTIF(Maternelle,E169)=1,listes!$T$1,IF(COUNTIF(Elémentaire,E169)=1,listes!$U$1,IF(COUNTIF(Collège,E169)=1,listes!$V$1,IF(COUNTIF(Lycée,E169)=1,listes!$W$1,""))))</f>
        <v/>
      </c>
      <c r="L169" s="21" t="str">
        <f>IF(COUNTIF(Perralière,D169)=1,listes!$P$1,IF(COUNTIF(Buers,D169)=1,listes!$J$1,IF(COUNTIF(Charpennes,D169)=1,listes!$K$1,IF(COUNTIF(Cusset,D169)=1,listes!$L$1,IF(COUNTIF(Cyprien,D169)=1,listes!$M$1,IF(COUNTIF(Ferrandière,D169)=1,listes!$N$1,IF(COUNTIF(Gratteciel,D169)=1,listes!$O$1,IF(COUNTIF(Saintjean,D169)=1,listes!$Q$1,IF(COUNTIF(horsvilleurbanne,D169)=1,listes!$R$1,"")))))))))</f>
        <v/>
      </c>
      <c r="M169" s="21" t="str">
        <f t="shared" si="2"/>
        <v/>
      </c>
      <c r="N169" s="186" t="str">
        <f>T_sept_dec[[#This Row],[Etablissement accueillant]]&amp;"-"&amp;T_sept_dec[[#This Row],[Enseignant référent (Nom Prénom)]]</f>
        <v>-</v>
      </c>
      <c r="O169" s="21">
        <f>1/COUNTIF(T_sept_dec[CléEtablissement],T_sept_dec[[#This Row],[CléEtablissement]])</f>
        <v>4.1841004184100415E-3</v>
      </c>
      <c r="P16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69" s="186">
        <f>1/COUNTIF(T_sept_dec[CléRéseau-Rize horsmed],T_sept_dec[[#This Row],[CléRéseau-Rize horsmed]])</f>
        <v>4.1841004184100415E-3</v>
      </c>
      <c r="R169" s="186" t="str">
        <f>IF(COUNTIF(RIZE,T_sept_dec[[#This Row],[Secteur organisateur]]),"Rize_"&amp;T_sept_dec[[#This Row],[Enseignant référent (Nom Prénom)]],"")</f>
        <v/>
      </c>
      <c r="S169" s="186">
        <f>1/COUNTIF(T_sept_dec[CléRize],T_sept_dec[[#This Row],[CléRize]])</f>
        <v>4.048582995951417E-3</v>
      </c>
      <c r="T169" s="186" t="str">
        <f>IF(COUNTIF(Total,T_sept_dec[[#This Row],[Secteur organisateur]]),"Total_"&amp;T_sept_dec[[#This Row],[Enseignant référent (Nom Prénom)]],"")</f>
        <v/>
      </c>
      <c r="U169" s="186">
        <f>1/COUNTIF(T_sept_dec[cléTotal],T_sept_dec[[#This Row],[cléTotal]])</f>
        <v>4.1841004184100415E-3</v>
      </c>
    </row>
    <row r="170" spans="11:21">
      <c r="K170" s="21" t="str">
        <f>IF(COUNTIF(Maternelle,E170)=1,listes!$T$1,IF(COUNTIF(Elémentaire,E170)=1,listes!$U$1,IF(COUNTIF(Collège,E170)=1,listes!$V$1,IF(COUNTIF(Lycée,E170)=1,listes!$W$1,""))))</f>
        <v/>
      </c>
      <c r="L170" s="21" t="str">
        <f>IF(COUNTIF(Perralière,D170)=1,listes!$P$1,IF(COUNTIF(Buers,D170)=1,listes!$J$1,IF(COUNTIF(Charpennes,D170)=1,listes!$K$1,IF(COUNTIF(Cusset,D170)=1,listes!$L$1,IF(COUNTIF(Cyprien,D170)=1,listes!$M$1,IF(COUNTIF(Ferrandière,D170)=1,listes!$N$1,IF(COUNTIF(Gratteciel,D170)=1,listes!$O$1,IF(COUNTIF(Saintjean,D170)=1,listes!$Q$1,IF(COUNTIF(horsvilleurbanne,D170)=1,listes!$R$1,"")))))))))</f>
        <v/>
      </c>
      <c r="M170" s="21" t="str">
        <f t="shared" si="2"/>
        <v/>
      </c>
      <c r="N170" s="186" t="str">
        <f>T_sept_dec[[#This Row],[Etablissement accueillant]]&amp;"-"&amp;T_sept_dec[[#This Row],[Enseignant référent (Nom Prénom)]]</f>
        <v>-</v>
      </c>
      <c r="O170" s="21">
        <f>1/COUNTIF(T_sept_dec[CléEtablissement],T_sept_dec[[#This Row],[CléEtablissement]])</f>
        <v>4.1841004184100415E-3</v>
      </c>
      <c r="P17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0" s="186">
        <f>1/COUNTIF(T_sept_dec[CléRéseau-Rize horsmed],T_sept_dec[[#This Row],[CléRéseau-Rize horsmed]])</f>
        <v>4.1841004184100415E-3</v>
      </c>
      <c r="R170" s="186" t="str">
        <f>IF(COUNTIF(RIZE,T_sept_dec[[#This Row],[Secteur organisateur]]),"Rize_"&amp;T_sept_dec[[#This Row],[Enseignant référent (Nom Prénom)]],"")</f>
        <v/>
      </c>
      <c r="S170" s="186">
        <f>1/COUNTIF(T_sept_dec[CléRize],T_sept_dec[[#This Row],[CléRize]])</f>
        <v>4.048582995951417E-3</v>
      </c>
      <c r="T170" s="186" t="str">
        <f>IF(COUNTIF(Total,T_sept_dec[[#This Row],[Secteur organisateur]]),"Total_"&amp;T_sept_dec[[#This Row],[Enseignant référent (Nom Prénom)]],"")</f>
        <v/>
      </c>
      <c r="U170" s="186">
        <f>1/COUNTIF(T_sept_dec[cléTotal],T_sept_dec[[#This Row],[cléTotal]])</f>
        <v>4.1841004184100415E-3</v>
      </c>
    </row>
    <row r="171" spans="11:21">
      <c r="K171" s="21" t="str">
        <f>IF(COUNTIF(Maternelle,E171)=1,listes!$T$1,IF(COUNTIF(Elémentaire,E171)=1,listes!$U$1,IF(COUNTIF(Collège,E171)=1,listes!$V$1,IF(COUNTIF(Lycée,E171)=1,listes!$W$1,""))))</f>
        <v/>
      </c>
      <c r="L171" s="21" t="str">
        <f>IF(COUNTIF(Perralière,D171)=1,listes!$P$1,IF(COUNTIF(Buers,D171)=1,listes!$J$1,IF(COUNTIF(Charpennes,D171)=1,listes!$K$1,IF(COUNTIF(Cusset,D171)=1,listes!$L$1,IF(COUNTIF(Cyprien,D171)=1,listes!$M$1,IF(COUNTIF(Ferrandière,D171)=1,listes!$N$1,IF(COUNTIF(Gratteciel,D171)=1,listes!$O$1,IF(COUNTIF(Saintjean,D171)=1,listes!$Q$1,IF(COUNTIF(horsvilleurbanne,D171)=1,listes!$R$1,"")))))))))</f>
        <v/>
      </c>
      <c r="M171" s="21" t="str">
        <f t="shared" si="2"/>
        <v/>
      </c>
      <c r="N171" s="186" t="str">
        <f>T_sept_dec[[#This Row],[Etablissement accueillant]]&amp;"-"&amp;T_sept_dec[[#This Row],[Enseignant référent (Nom Prénom)]]</f>
        <v>-</v>
      </c>
      <c r="O171" s="21">
        <f>1/COUNTIF(T_sept_dec[CléEtablissement],T_sept_dec[[#This Row],[CléEtablissement]])</f>
        <v>4.1841004184100415E-3</v>
      </c>
      <c r="P17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1" s="186">
        <f>1/COUNTIF(T_sept_dec[CléRéseau-Rize horsmed],T_sept_dec[[#This Row],[CléRéseau-Rize horsmed]])</f>
        <v>4.1841004184100415E-3</v>
      </c>
      <c r="R171" s="186" t="str">
        <f>IF(COUNTIF(RIZE,T_sept_dec[[#This Row],[Secteur organisateur]]),"Rize_"&amp;T_sept_dec[[#This Row],[Enseignant référent (Nom Prénom)]],"")</f>
        <v/>
      </c>
      <c r="S171" s="186">
        <f>1/COUNTIF(T_sept_dec[CléRize],T_sept_dec[[#This Row],[CléRize]])</f>
        <v>4.048582995951417E-3</v>
      </c>
      <c r="T171" s="186" t="str">
        <f>IF(COUNTIF(Total,T_sept_dec[[#This Row],[Secteur organisateur]]),"Total_"&amp;T_sept_dec[[#This Row],[Enseignant référent (Nom Prénom)]],"")</f>
        <v/>
      </c>
      <c r="U171" s="186">
        <f>1/COUNTIF(T_sept_dec[cléTotal],T_sept_dec[[#This Row],[cléTotal]])</f>
        <v>4.1841004184100415E-3</v>
      </c>
    </row>
    <row r="172" spans="11:21">
      <c r="K172" s="21" t="str">
        <f>IF(COUNTIF(Maternelle,E172)=1,listes!$T$1,IF(COUNTIF(Elémentaire,E172)=1,listes!$U$1,IF(COUNTIF(Collège,E172)=1,listes!$V$1,IF(COUNTIF(Lycée,E172)=1,listes!$W$1,""))))</f>
        <v/>
      </c>
      <c r="L172" s="21" t="str">
        <f>IF(COUNTIF(Perralière,D172)=1,listes!$P$1,IF(COUNTIF(Buers,D172)=1,listes!$J$1,IF(COUNTIF(Charpennes,D172)=1,listes!$K$1,IF(COUNTIF(Cusset,D172)=1,listes!$L$1,IF(COUNTIF(Cyprien,D172)=1,listes!$M$1,IF(COUNTIF(Ferrandière,D172)=1,listes!$N$1,IF(COUNTIF(Gratteciel,D172)=1,listes!$O$1,IF(COUNTIF(Saintjean,D172)=1,listes!$Q$1,IF(COUNTIF(horsvilleurbanne,D172)=1,listes!$R$1,"")))))))))</f>
        <v/>
      </c>
      <c r="M172" s="21" t="str">
        <f t="shared" si="2"/>
        <v/>
      </c>
      <c r="N172" s="186" t="str">
        <f>T_sept_dec[[#This Row],[Etablissement accueillant]]&amp;"-"&amp;T_sept_dec[[#This Row],[Enseignant référent (Nom Prénom)]]</f>
        <v>-</v>
      </c>
      <c r="O172" s="21">
        <f>1/COUNTIF(T_sept_dec[CléEtablissement],T_sept_dec[[#This Row],[CléEtablissement]])</f>
        <v>4.1841004184100415E-3</v>
      </c>
      <c r="P17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2" s="186">
        <f>1/COUNTIF(T_sept_dec[CléRéseau-Rize horsmed],T_sept_dec[[#This Row],[CléRéseau-Rize horsmed]])</f>
        <v>4.1841004184100415E-3</v>
      </c>
      <c r="R172" s="186" t="str">
        <f>IF(COUNTIF(RIZE,T_sept_dec[[#This Row],[Secteur organisateur]]),"Rize_"&amp;T_sept_dec[[#This Row],[Enseignant référent (Nom Prénom)]],"")</f>
        <v/>
      </c>
      <c r="S172" s="186">
        <f>1/COUNTIF(T_sept_dec[CléRize],T_sept_dec[[#This Row],[CléRize]])</f>
        <v>4.048582995951417E-3</v>
      </c>
      <c r="T172" s="186" t="str">
        <f>IF(COUNTIF(Total,T_sept_dec[[#This Row],[Secteur organisateur]]),"Total_"&amp;T_sept_dec[[#This Row],[Enseignant référent (Nom Prénom)]],"")</f>
        <v/>
      </c>
      <c r="U172" s="186">
        <f>1/COUNTIF(T_sept_dec[cléTotal],T_sept_dec[[#This Row],[cléTotal]])</f>
        <v>4.1841004184100415E-3</v>
      </c>
    </row>
    <row r="173" spans="11:21">
      <c r="K173" s="21" t="str">
        <f>IF(COUNTIF(Maternelle,E173)=1,listes!$T$1,IF(COUNTIF(Elémentaire,E173)=1,listes!$U$1,IF(COUNTIF(Collège,E173)=1,listes!$V$1,IF(COUNTIF(Lycée,E173)=1,listes!$W$1,""))))</f>
        <v/>
      </c>
      <c r="L173" s="21" t="str">
        <f>IF(COUNTIF(Perralière,D173)=1,listes!$P$1,IF(COUNTIF(Buers,D173)=1,listes!$J$1,IF(COUNTIF(Charpennes,D173)=1,listes!$K$1,IF(COUNTIF(Cusset,D173)=1,listes!$L$1,IF(COUNTIF(Cyprien,D173)=1,listes!$M$1,IF(COUNTIF(Ferrandière,D173)=1,listes!$N$1,IF(COUNTIF(Gratteciel,D173)=1,listes!$O$1,IF(COUNTIF(Saintjean,D173)=1,listes!$Q$1,IF(COUNTIF(horsvilleurbanne,D173)=1,listes!$R$1,"")))))))))</f>
        <v/>
      </c>
      <c r="M173" s="21" t="str">
        <f t="shared" si="2"/>
        <v/>
      </c>
      <c r="N173" s="186" t="str">
        <f>T_sept_dec[[#This Row],[Etablissement accueillant]]&amp;"-"&amp;T_sept_dec[[#This Row],[Enseignant référent (Nom Prénom)]]</f>
        <v>-</v>
      </c>
      <c r="O173" s="21">
        <f>1/COUNTIF(T_sept_dec[CléEtablissement],T_sept_dec[[#This Row],[CléEtablissement]])</f>
        <v>4.1841004184100415E-3</v>
      </c>
      <c r="P17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3" s="186">
        <f>1/COUNTIF(T_sept_dec[CléRéseau-Rize horsmed],T_sept_dec[[#This Row],[CléRéseau-Rize horsmed]])</f>
        <v>4.1841004184100415E-3</v>
      </c>
      <c r="R173" s="186" t="str">
        <f>IF(COUNTIF(RIZE,T_sept_dec[[#This Row],[Secteur organisateur]]),"Rize_"&amp;T_sept_dec[[#This Row],[Enseignant référent (Nom Prénom)]],"")</f>
        <v/>
      </c>
      <c r="S173" s="186">
        <f>1/COUNTIF(T_sept_dec[CléRize],T_sept_dec[[#This Row],[CléRize]])</f>
        <v>4.048582995951417E-3</v>
      </c>
      <c r="T173" s="186" t="str">
        <f>IF(COUNTIF(Total,T_sept_dec[[#This Row],[Secteur organisateur]]),"Total_"&amp;T_sept_dec[[#This Row],[Enseignant référent (Nom Prénom)]],"")</f>
        <v/>
      </c>
      <c r="U173" s="186">
        <f>1/COUNTIF(T_sept_dec[cléTotal],T_sept_dec[[#This Row],[cléTotal]])</f>
        <v>4.1841004184100415E-3</v>
      </c>
    </row>
    <row r="174" spans="11:21">
      <c r="K174" s="21" t="str">
        <f>IF(COUNTIF(Maternelle,E174)=1,listes!$T$1,IF(COUNTIF(Elémentaire,E174)=1,listes!$U$1,IF(COUNTIF(Collège,E174)=1,listes!$V$1,IF(COUNTIF(Lycée,E174)=1,listes!$W$1,""))))</f>
        <v/>
      </c>
      <c r="L174" s="21" t="str">
        <f>IF(COUNTIF(Perralière,D174)=1,listes!$P$1,IF(COUNTIF(Buers,D174)=1,listes!$J$1,IF(COUNTIF(Charpennes,D174)=1,listes!$K$1,IF(COUNTIF(Cusset,D174)=1,listes!$L$1,IF(COUNTIF(Cyprien,D174)=1,listes!$M$1,IF(COUNTIF(Ferrandière,D174)=1,listes!$N$1,IF(COUNTIF(Gratteciel,D174)=1,listes!$O$1,IF(COUNTIF(Saintjean,D174)=1,listes!$Q$1,IF(COUNTIF(horsvilleurbanne,D174)=1,listes!$R$1,"")))))))))</f>
        <v/>
      </c>
      <c r="M174" s="21" t="str">
        <f t="shared" si="2"/>
        <v/>
      </c>
      <c r="N174" s="186" t="str">
        <f>T_sept_dec[[#This Row],[Etablissement accueillant]]&amp;"-"&amp;T_sept_dec[[#This Row],[Enseignant référent (Nom Prénom)]]</f>
        <v>-</v>
      </c>
      <c r="O174" s="21">
        <f>1/COUNTIF(T_sept_dec[CléEtablissement],T_sept_dec[[#This Row],[CléEtablissement]])</f>
        <v>4.1841004184100415E-3</v>
      </c>
      <c r="P17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4" s="186">
        <f>1/COUNTIF(T_sept_dec[CléRéseau-Rize horsmed],T_sept_dec[[#This Row],[CléRéseau-Rize horsmed]])</f>
        <v>4.1841004184100415E-3</v>
      </c>
      <c r="R174" s="186" t="str">
        <f>IF(COUNTIF(RIZE,T_sept_dec[[#This Row],[Secteur organisateur]]),"Rize_"&amp;T_sept_dec[[#This Row],[Enseignant référent (Nom Prénom)]],"")</f>
        <v/>
      </c>
      <c r="S174" s="186">
        <f>1/COUNTIF(T_sept_dec[CléRize],T_sept_dec[[#This Row],[CléRize]])</f>
        <v>4.048582995951417E-3</v>
      </c>
      <c r="T174" s="186" t="str">
        <f>IF(COUNTIF(Total,T_sept_dec[[#This Row],[Secteur organisateur]]),"Total_"&amp;T_sept_dec[[#This Row],[Enseignant référent (Nom Prénom)]],"")</f>
        <v/>
      </c>
      <c r="U174" s="186">
        <f>1/COUNTIF(T_sept_dec[cléTotal],T_sept_dec[[#This Row],[cléTotal]])</f>
        <v>4.1841004184100415E-3</v>
      </c>
    </row>
    <row r="175" spans="11:21">
      <c r="K175" s="21" t="str">
        <f>IF(COUNTIF(Maternelle,E175)=1,listes!$T$1,IF(COUNTIF(Elémentaire,E175)=1,listes!$U$1,IF(COUNTIF(Collège,E175)=1,listes!$V$1,IF(COUNTIF(Lycée,E175)=1,listes!$W$1,""))))</f>
        <v/>
      </c>
      <c r="L175" s="21" t="str">
        <f>IF(COUNTIF(Perralière,D175)=1,listes!$P$1,IF(COUNTIF(Buers,D175)=1,listes!$J$1,IF(COUNTIF(Charpennes,D175)=1,listes!$K$1,IF(COUNTIF(Cusset,D175)=1,listes!$L$1,IF(COUNTIF(Cyprien,D175)=1,listes!$M$1,IF(COUNTIF(Ferrandière,D175)=1,listes!$N$1,IF(COUNTIF(Gratteciel,D175)=1,listes!$O$1,IF(COUNTIF(Saintjean,D175)=1,listes!$Q$1,IF(COUNTIF(horsvilleurbanne,D175)=1,listes!$R$1,"")))))))))</f>
        <v/>
      </c>
      <c r="M175" s="21" t="str">
        <f t="shared" si="2"/>
        <v/>
      </c>
      <c r="N175" s="186" t="str">
        <f>T_sept_dec[[#This Row],[Etablissement accueillant]]&amp;"-"&amp;T_sept_dec[[#This Row],[Enseignant référent (Nom Prénom)]]</f>
        <v>-</v>
      </c>
      <c r="O175" s="21">
        <f>1/COUNTIF(T_sept_dec[CléEtablissement],T_sept_dec[[#This Row],[CléEtablissement]])</f>
        <v>4.1841004184100415E-3</v>
      </c>
      <c r="P17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5" s="186">
        <f>1/COUNTIF(T_sept_dec[CléRéseau-Rize horsmed],T_sept_dec[[#This Row],[CléRéseau-Rize horsmed]])</f>
        <v>4.1841004184100415E-3</v>
      </c>
      <c r="R175" s="186" t="str">
        <f>IF(COUNTIF(RIZE,T_sept_dec[[#This Row],[Secteur organisateur]]),"Rize_"&amp;T_sept_dec[[#This Row],[Enseignant référent (Nom Prénom)]],"")</f>
        <v/>
      </c>
      <c r="S175" s="186">
        <f>1/COUNTIF(T_sept_dec[CléRize],T_sept_dec[[#This Row],[CléRize]])</f>
        <v>4.048582995951417E-3</v>
      </c>
      <c r="T175" s="186" t="str">
        <f>IF(COUNTIF(Total,T_sept_dec[[#This Row],[Secteur organisateur]]),"Total_"&amp;T_sept_dec[[#This Row],[Enseignant référent (Nom Prénom)]],"")</f>
        <v/>
      </c>
      <c r="U175" s="186">
        <f>1/COUNTIF(T_sept_dec[cléTotal],T_sept_dec[[#This Row],[cléTotal]])</f>
        <v>4.1841004184100415E-3</v>
      </c>
    </row>
    <row r="176" spans="11:21">
      <c r="K176" s="21" t="str">
        <f>IF(COUNTIF(Maternelle,E176)=1,listes!$T$1,IF(COUNTIF(Elémentaire,E176)=1,listes!$U$1,IF(COUNTIF(Collège,E176)=1,listes!$V$1,IF(COUNTIF(Lycée,E176)=1,listes!$W$1,""))))</f>
        <v/>
      </c>
      <c r="L176" s="21" t="str">
        <f>IF(COUNTIF(Perralière,D176)=1,listes!$P$1,IF(COUNTIF(Buers,D176)=1,listes!$J$1,IF(COUNTIF(Charpennes,D176)=1,listes!$K$1,IF(COUNTIF(Cusset,D176)=1,listes!$L$1,IF(COUNTIF(Cyprien,D176)=1,listes!$M$1,IF(COUNTIF(Ferrandière,D176)=1,listes!$N$1,IF(COUNTIF(Gratteciel,D176)=1,listes!$O$1,IF(COUNTIF(Saintjean,D176)=1,listes!$Q$1,IF(COUNTIF(horsvilleurbanne,D176)=1,listes!$R$1,"")))))))))</f>
        <v/>
      </c>
      <c r="M176" s="21" t="str">
        <f t="shared" si="2"/>
        <v/>
      </c>
      <c r="N176" s="186" t="str">
        <f>T_sept_dec[[#This Row],[Etablissement accueillant]]&amp;"-"&amp;T_sept_dec[[#This Row],[Enseignant référent (Nom Prénom)]]</f>
        <v>-</v>
      </c>
      <c r="O176" s="21">
        <f>1/COUNTIF(T_sept_dec[CléEtablissement],T_sept_dec[[#This Row],[CléEtablissement]])</f>
        <v>4.1841004184100415E-3</v>
      </c>
      <c r="P17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6" s="186">
        <f>1/COUNTIF(T_sept_dec[CléRéseau-Rize horsmed],T_sept_dec[[#This Row],[CléRéseau-Rize horsmed]])</f>
        <v>4.1841004184100415E-3</v>
      </c>
      <c r="R176" s="186" t="str">
        <f>IF(COUNTIF(RIZE,T_sept_dec[[#This Row],[Secteur organisateur]]),"Rize_"&amp;T_sept_dec[[#This Row],[Enseignant référent (Nom Prénom)]],"")</f>
        <v/>
      </c>
      <c r="S176" s="186">
        <f>1/COUNTIF(T_sept_dec[CléRize],T_sept_dec[[#This Row],[CléRize]])</f>
        <v>4.048582995951417E-3</v>
      </c>
      <c r="T176" s="186" t="str">
        <f>IF(COUNTIF(Total,T_sept_dec[[#This Row],[Secteur organisateur]]),"Total_"&amp;T_sept_dec[[#This Row],[Enseignant référent (Nom Prénom)]],"")</f>
        <v/>
      </c>
      <c r="U176" s="186">
        <f>1/COUNTIF(T_sept_dec[cléTotal],T_sept_dec[[#This Row],[cléTotal]])</f>
        <v>4.1841004184100415E-3</v>
      </c>
    </row>
    <row r="177" spans="11:21">
      <c r="K177" s="21" t="str">
        <f>IF(COUNTIF(Maternelle,E177)=1,listes!$T$1,IF(COUNTIF(Elémentaire,E177)=1,listes!$U$1,IF(COUNTIF(Collège,E177)=1,listes!$V$1,IF(COUNTIF(Lycée,E177)=1,listes!$W$1,""))))</f>
        <v/>
      </c>
      <c r="L177" s="21" t="str">
        <f>IF(COUNTIF(Perralière,D177)=1,listes!$P$1,IF(COUNTIF(Buers,D177)=1,listes!$J$1,IF(COUNTIF(Charpennes,D177)=1,listes!$K$1,IF(COUNTIF(Cusset,D177)=1,listes!$L$1,IF(COUNTIF(Cyprien,D177)=1,listes!$M$1,IF(COUNTIF(Ferrandière,D177)=1,listes!$N$1,IF(COUNTIF(Gratteciel,D177)=1,listes!$O$1,IF(COUNTIF(Saintjean,D177)=1,listes!$Q$1,IF(COUNTIF(horsvilleurbanne,D177)=1,listes!$R$1,"")))))))))</f>
        <v/>
      </c>
      <c r="M177" s="21" t="str">
        <f t="shared" si="2"/>
        <v/>
      </c>
      <c r="N177" s="186" t="str">
        <f>T_sept_dec[[#This Row],[Etablissement accueillant]]&amp;"-"&amp;T_sept_dec[[#This Row],[Enseignant référent (Nom Prénom)]]</f>
        <v>-</v>
      </c>
      <c r="O177" s="21">
        <f>1/COUNTIF(T_sept_dec[CléEtablissement],T_sept_dec[[#This Row],[CléEtablissement]])</f>
        <v>4.1841004184100415E-3</v>
      </c>
      <c r="P17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7" s="186">
        <f>1/COUNTIF(T_sept_dec[CléRéseau-Rize horsmed],T_sept_dec[[#This Row],[CléRéseau-Rize horsmed]])</f>
        <v>4.1841004184100415E-3</v>
      </c>
      <c r="R177" s="186" t="str">
        <f>IF(COUNTIF(RIZE,T_sept_dec[[#This Row],[Secteur organisateur]]),"Rize_"&amp;T_sept_dec[[#This Row],[Enseignant référent (Nom Prénom)]],"")</f>
        <v/>
      </c>
      <c r="S177" s="186">
        <f>1/COUNTIF(T_sept_dec[CléRize],T_sept_dec[[#This Row],[CléRize]])</f>
        <v>4.048582995951417E-3</v>
      </c>
      <c r="T177" s="186" t="str">
        <f>IF(COUNTIF(Total,T_sept_dec[[#This Row],[Secteur organisateur]]),"Total_"&amp;T_sept_dec[[#This Row],[Enseignant référent (Nom Prénom)]],"")</f>
        <v/>
      </c>
      <c r="U177" s="186">
        <f>1/COUNTIF(T_sept_dec[cléTotal],T_sept_dec[[#This Row],[cléTotal]])</f>
        <v>4.1841004184100415E-3</v>
      </c>
    </row>
    <row r="178" spans="11:21">
      <c r="K178" s="21" t="str">
        <f>IF(COUNTIF(Maternelle,E178)=1,listes!$T$1,IF(COUNTIF(Elémentaire,E178)=1,listes!$U$1,IF(COUNTIF(Collège,E178)=1,listes!$V$1,IF(COUNTIF(Lycée,E178)=1,listes!$W$1,""))))</f>
        <v/>
      </c>
      <c r="L178" s="21" t="str">
        <f>IF(COUNTIF(Perralière,D178)=1,listes!$P$1,IF(COUNTIF(Buers,D178)=1,listes!$J$1,IF(COUNTIF(Charpennes,D178)=1,listes!$K$1,IF(COUNTIF(Cusset,D178)=1,listes!$L$1,IF(COUNTIF(Cyprien,D178)=1,listes!$M$1,IF(COUNTIF(Ferrandière,D178)=1,listes!$N$1,IF(COUNTIF(Gratteciel,D178)=1,listes!$O$1,IF(COUNTIF(Saintjean,D178)=1,listes!$Q$1,IF(COUNTIF(horsvilleurbanne,D178)=1,listes!$R$1,"")))))))))</f>
        <v/>
      </c>
      <c r="M178" s="21" t="str">
        <f t="shared" si="2"/>
        <v/>
      </c>
      <c r="N178" s="186" t="str">
        <f>T_sept_dec[[#This Row],[Etablissement accueillant]]&amp;"-"&amp;T_sept_dec[[#This Row],[Enseignant référent (Nom Prénom)]]</f>
        <v>-</v>
      </c>
      <c r="O178" s="21">
        <f>1/COUNTIF(T_sept_dec[CléEtablissement],T_sept_dec[[#This Row],[CléEtablissement]])</f>
        <v>4.1841004184100415E-3</v>
      </c>
      <c r="P17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8" s="186">
        <f>1/COUNTIF(T_sept_dec[CléRéseau-Rize horsmed],T_sept_dec[[#This Row],[CléRéseau-Rize horsmed]])</f>
        <v>4.1841004184100415E-3</v>
      </c>
      <c r="R178" s="186" t="str">
        <f>IF(COUNTIF(RIZE,T_sept_dec[[#This Row],[Secteur organisateur]]),"Rize_"&amp;T_sept_dec[[#This Row],[Enseignant référent (Nom Prénom)]],"")</f>
        <v/>
      </c>
      <c r="S178" s="186">
        <f>1/COUNTIF(T_sept_dec[CléRize],T_sept_dec[[#This Row],[CléRize]])</f>
        <v>4.048582995951417E-3</v>
      </c>
      <c r="T178" s="186" t="str">
        <f>IF(COUNTIF(Total,T_sept_dec[[#This Row],[Secteur organisateur]]),"Total_"&amp;T_sept_dec[[#This Row],[Enseignant référent (Nom Prénom)]],"")</f>
        <v/>
      </c>
      <c r="U178" s="186">
        <f>1/COUNTIF(T_sept_dec[cléTotal],T_sept_dec[[#This Row],[cléTotal]])</f>
        <v>4.1841004184100415E-3</v>
      </c>
    </row>
    <row r="179" spans="11:21">
      <c r="K179" s="21" t="str">
        <f>IF(COUNTIF(Maternelle,E179)=1,listes!$T$1,IF(COUNTIF(Elémentaire,E179)=1,listes!$U$1,IF(COUNTIF(Collège,E179)=1,listes!$V$1,IF(COUNTIF(Lycée,E179)=1,listes!$W$1,""))))</f>
        <v/>
      </c>
      <c r="L179" s="21" t="str">
        <f>IF(COUNTIF(Perralière,D179)=1,listes!$P$1,IF(COUNTIF(Buers,D179)=1,listes!$J$1,IF(COUNTIF(Charpennes,D179)=1,listes!$K$1,IF(COUNTIF(Cusset,D179)=1,listes!$L$1,IF(COUNTIF(Cyprien,D179)=1,listes!$M$1,IF(COUNTIF(Ferrandière,D179)=1,listes!$N$1,IF(COUNTIF(Gratteciel,D179)=1,listes!$O$1,IF(COUNTIF(Saintjean,D179)=1,listes!$Q$1,IF(COUNTIF(horsvilleurbanne,D179)=1,listes!$R$1,"")))))))))</f>
        <v/>
      </c>
      <c r="M179" s="21" t="str">
        <f t="shared" si="2"/>
        <v/>
      </c>
      <c r="N179" s="186" t="str">
        <f>T_sept_dec[[#This Row],[Etablissement accueillant]]&amp;"-"&amp;T_sept_dec[[#This Row],[Enseignant référent (Nom Prénom)]]</f>
        <v>-</v>
      </c>
      <c r="O179" s="21">
        <f>1/COUNTIF(T_sept_dec[CléEtablissement],T_sept_dec[[#This Row],[CléEtablissement]])</f>
        <v>4.1841004184100415E-3</v>
      </c>
      <c r="P17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79" s="186">
        <f>1/COUNTIF(T_sept_dec[CléRéseau-Rize horsmed],T_sept_dec[[#This Row],[CléRéseau-Rize horsmed]])</f>
        <v>4.1841004184100415E-3</v>
      </c>
      <c r="R179" s="186" t="str">
        <f>IF(COUNTIF(RIZE,T_sept_dec[[#This Row],[Secteur organisateur]]),"Rize_"&amp;T_sept_dec[[#This Row],[Enseignant référent (Nom Prénom)]],"")</f>
        <v/>
      </c>
      <c r="S179" s="186">
        <f>1/COUNTIF(T_sept_dec[CléRize],T_sept_dec[[#This Row],[CléRize]])</f>
        <v>4.048582995951417E-3</v>
      </c>
      <c r="T179" s="186" t="str">
        <f>IF(COUNTIF(Total,T_sept_dec[[#This Row],[Secteur organisateur]]),"Total_"&amp;T_sept_dec[[#This Row],[Enseignant référent (Nom Prénom)]],"")</f>
        <v/>
      </c>
      <c r="U179" s="186">
        <f>1/COUNTIF(T_sept_dec[cléTotal],T_sept_dec[[#This Row],[cléTotal]])</f>
        <v>4.1841004184100415E-3</v>
      </c>
    </row>
    <row r="180" spans="11:21">
      <c r="K180" s="21" t="str">
        <f>IF(COUNTIF(Maternelle,E180)=1,listes!$T$1,IF(COUNTIF(Elémentaire,E180)=1,listes!$U$1,IF(COUNTIF(Collège,E180)=1,listes!$V$1,IF(COUNTIF(Lycée,E180)=1,listes!$W$1,""))))</f>
        <v/>
      </c>
      <c r="L180" s="21" t="str">
        <f>IF(COUNTIF(Perralière,D180)=1,listes!$P$1,IF(COUNTIF(Buers,D180)=1,listes!$J$1,IF(COUNTIF(Charpennes,D180)=1,listes!$K$1,IF(COUNTIF(Cusset,D180)=1,listes!$L$1,IF(COUNTIF(Cyprien,D180)=1,listes!$M$1,IF(COUNTIF(Ferrandière,D180)=1,listes!$N$1,IF(COUNTIF(Gratteciel,D180)=1,listes!$O$1,IF(COUNTIF(Saintjean,D180)=1,listes!$Q$1,IF(COUNTIF(horsvilleurbanne,D180)=1,listes!$R$1,"")))))))))</f>
        <v/>
      </c>
      <c r="M180" s="21" t="str">
        <f t="shared" si="2"/>
        <v/>
      </c>
      <c r="N180" s="186" t="str">
        <f>T_sept_dec[[#This Row],[Etablissement accueillant]]&amp;"-"&amp;T_sept_dec[[#This Row],[Enseignant référent (Nom Prénom)]]</f>
        <v>-</v>
      </c>
      <c r="O180" s="21">
        <f>1/COUNTIF(T_sept_dec[CléEtablissement],T_sept_dec[[#This Row],[CléEtablissement]])</f>
        <v>4.1841004184100415E-3</v>
      </c>
      <c r="P18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0" s="186">
        <f>1/COUNTIF(T_sept_dec[CléRéseau-Rize horsmed],T_sept_dec[[#This Row],[CléRéseau-Rize horsmed]])</f>
        <v>4.1841004184100415E-3</v>
      </c>
      <c r="R180" s="186" t="str">
        <f>IF(COUNTIF(RIZE,T_sept_dec[[#This Row],[Secteur organisateur]]),"Rize_"&amp;T_sept_dec[[#This Row],[Enseignant référent (Nom Prénom)]],"")</f>
        <v/>
      </c>
      <c r="S180" s="186">
        <f>1/COUNTIF(T_sept_dec[CléRize],T_sept_dec[[#This Row],[CléRize]])</f>
        <v>4.048582995951417E-3</v>
      </c>
      <c r="T180" s="186" t="str">
        <f>IF(COUNTIF(Total,T_sept_dec[[#This Row],[Secteur organisateur]]),"Total_"&amp;T_sept_dec[[#This Row],[Enseignant référent (Nom Prénom)]],"")</f>
        <v/>
      </c>
      <c r="U180" s="186">
        <f>1/COUNTIF(T_sept_dec[cléTotal],T_sept_dec[[#This Row],[cléTotal]])</f>
        <v>4.1841004184100415E-3</v>
      </c>
    </row>
    <row r="181" spans="11:21">
      <c r="K181" s="21" t="str">
        <f>IF(COUNTIF(Maternelle,E181)=1,listes!$T$1,IF(COUNTIF(Elémentaire,E181)=1,listes!$U$1,IF(COUNTIF(Collège,E181)=1,listes!$V$1,IF(COUNTIF(Lycée,E181)=1,listes!$W$1,""))))</f>
        <v/>
      </c>
      <c r="L181" s="21" t="str">
        <f>IF(COUNTIF(Perralière,D181)=1,listes!$P$1,IF(COUNTIF(Buers,D181)=1,listes!$J$1,IF(COUNTIF(Charpennes,D181)=1,listes!$K$1,IF(COUNTIF(Cusset,D181)=1,listes!$L$1,IF(COUNTIF(Cyprien,D181)=1,listes!$M$1,IF(COUNTIF(Ferrandière,D181)=1,listes!$N$1,IF(COUNTIF(Gratteciel,D181)=1,listes!$O$1,IF(COUNTIF(Saintjean,D181)=1,listes!$Q$1,IF(COUNTIF(horsvilleurbanne,D181)=1,listes!$R$1,"")))))))))</f>
        <v/>
      </c>
      <c r="M181" s="21" t="str">
        <f t="shared" si="2"/>
        <v/>
      </c>
      <c r="N181" s="186" t="str">
        <f>T_sept_dec[[#This Row],[Etablissement accueillant]]&amp;"-"&amp;T_sept_dec[[#This Row],[Enseignant référent (Nom Prénom)]]</f>
        <v>-</v>
      </c>
      <c r="O181" s="21">
        <f>1/COUNTIF(T_sept_dec[CléEtablissement],T_sept_dec[[#This Row],[CléEtablissement]])</f>
        <v>4.1841004184100415E-3</v>
      </c>
      <c r="P18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1" s="186">
        <f>1/COUNTIF(T_sept_dec[CléRéseau-Rize horsmed],T_sept_dec[[#This Row],[CléRéseau-Rize horsmed]])</f>
        <v>4.1841004184100415E-3</v>
      </c>
      <c r="R181" s="186" t="str">
        <f>IF(COUNTIF(RIZE,T_sept_dec[[#This Row],[Secteur organisateur]]),"Rize_"&amp;T_sept_dec[[#This Row],[Enseignant référent (Nom Prénom)]],"")</f>
        <v/>
      </c>
      <c r="S181" s="186">
        <f>1/COUNTIF(T_sept_dec[CléRize],T_sept_dec[[#This Row],[CléRize]])</f>
        <v>4.048582995951417E-3</v>
      </c>
      <c r="T181" s="186" t="str">
        <f>IF(COUNTIF(Total,T_sept_dec[[#This Row],[Secteur organisateur]]),"Total_"&amp;T_sept_dec[[#This Row],[Enseignant référent (Nom Prénom)]],"")</f>
        <v/>
      </c>
      <c r="U181" s="186">
        <f>1/COUNTIF(T_sept_dec[cléTotal],T_sept_dec[[#This Row],[cléTotal]])</f>
        <v>4.1841004184100415E-3</v>
      </c>
    </row>
    <row r="182" spans="11:21">
      <c r="K182" s="21" t="str">
        <f>IF(COUNTIF(Maternelle,E182)=1,listes!$T$1,IF(COUNTIF(Elémentaire,E182)=1,listes!$U$1,IF(COUNTIF(Collège,E182)=1,listes!$V$1,IF(COUNTIF(Lycée,E182)=1,listes!$W$1,""))))</f>
        <v/>
      </c>
      <c r="L182" s="21" t="str">
        <f>IF(COUNTIF(Perralière,D182)=1,listes!$P$1,IF(COUNTIF(Buers,D182)=1,listes!$J$1,IF(COUNTIF(Charpennes,D182)=1,listes!$K$1,IF(COUNTIF(Cusset,D182)=1,listes!$L$1,IF(COUNTIF(Cyprien,D182)=1,listes!$M$1,IF(COUNTIF(Ferrandière,D182)=1,listes!$N$1,IF(COUNTIF(Gratteciel,D182)=1,listes!$O$1,IF(COUNTIF(Saintjean,D182)=1,listes!$Q$1,IF(COUNTIF(horsvilleurbanne,D182)=1,listes!$R$1,"")))))))))</f>
        <v/>
      </c>
      <c r="M182" s="21" t="str">
        <f t="shared" si="2"/>
        <v/>
      </c>
      <c r="N182" s="186" t="str">
        <f>T_sept_dec[[#This Row],[Etablissement accueillant]]&amp;"-"&amp;T_sept_dec[[#This Row],[Enseignant référent (Nom Prénom)]]</f>
        <v>-</v>
      </c>
      <c r="O182" s="21">
        <f>1/COUNTIF(T_sept_dec[CléEtablissement],T_sept_dec[[#This Row],[CléEtablissement]])</f>
        <v>4.1841004184100415E-3</v>
      </c>
      <c r="P18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2" s="186">
        <f>1/COUNTIF(T_sept_dec[CléRéseau-Rize horsmed],T_sept_dec[[#This Row],[CléRéseau-Rize horsmed]])</f>
        <v>4.1841004184100415E-3</v>
      </c>
      <c r="R182" s="186" t="str">
        <f>IF(COUNTIF(RIZE,T_sept_dec[[#This Row],[Secteur organisateur]]),"Rize_"&amp;T_sept_dec[[#This Row],[Enseignant référent (Nom Prénom)]],"")</f>
        <v/>
      </c>
      <c r="S182" s="186">
        <f>1/COUNTIF(T_sept_dec[CléRize],T_sept_dec[[#This Row],[CléRize]])</f>
        <v>4.048582995951417E-3</v>
      </c>
      <c r="T182" s="186" t="str">
        <f>IF(COUNTIF(Total,T_sept_dec[[#This Row],[Secteur organisateur]]),"Total_"&amp;T_sept_dec[[#This Row],[Enseignant référent (Nom Prénom)]],"")</f>
        <v/>
      </c>
      <c r="U182" s="186">
        <f>1/COUNTIF(T_sept_dec[cléTotal],T_sept_dec[[#This Row],[cléTotal]])</f>
        <v>4.1841004184100415E-3</v>
      </c>
    </row>
    <row r="183" spans="11:21">
      <c r="K183" s="21" t="str">
        <f>IF(COUNTIF(Maternelle,E183)=1,listes!$T$1,IF(COUNTIF(Elémentaire,E183)=1,listes!$U$1,IF(COUNTIF(Collège,E183)=1,listes!$V$1,IF(COUNTIF(Lycée,E183)=1,listes!$W$1,""))))</f>
        <v/>
      </c>
      <c r="L183" s="21" t="str">
        <f>IF(COUNTIF(Perralière,D183)=1,listes!$P$1,IF(COUNTIF(Buers,D183)=1,listes!$J$1,IF(COUNTIF(Charpennes,D183)=1,listes!$K$1,IF(COUNTIF(Cusset,D183)=1,listes!$L$1,IF(COUNTIF(Cyprien,D183)=1,listes!$M$1,IF(COUNTIF(Ferrandière,D183)=1,listes!$N$1,IF(COUNTIF(Gratteciel,D183)=1,listes!$O$1,IF(COUNTIF(Saintjean,D183)=1,listes!$Q$1,IF(COUNTIF(horsvilleurbanne,D183)=1,listes!$R$1,"")))))))))</f>
        <v/>
      </c>
      <c r="M183" s="21" t="str">
        <f t="shared" si="2"/>
        <v/>
      </c>
      <c r="N183" s="186" t="str">
        <f>T_sept_dec[[#This Row],[Etablissement accueillant]]&amp;"-"&amp;T_sept_dec[[#This Row],[Enseignant référent (Nom Prénom)]]</f>
        <v>-</v>
      </c>
      <c r="O183" s="21">
        <f>1/COUNTIF(T_sept_dec[CléEtablissement],T_sept_dec[[#This Row],[CléEtablissement]])</f>
        <v>4.1841004184100415E-3</v>
      </c>
      <c r="P18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3" s="186">
        <f>1/COUNTIF(T_sept_dec[CléRéseau-Rize horsmed],T_sept_dec[[#This Row],[CléRéseau-Rize horsmed]])</f>
        <v>4.1841004184100415E-3</v>
      </c>
      <c r="R183" s="186" t="str">
        <f>IF(COUNTIF(RIZE,T_sept_dec[[#This Row],[Secteur organisateur]]),"Rize_"&amp;T_sept_dec[[#This Row],[Enseignant référent (Nom Prénom)]],"")</f>
        <v/>
      </c>
      <c r="S183" s="186">
        <f>1/COUNTIF(T_sept_dec[CléRize],T_sept_dec[[#This Row],[CléRize]])</f>
        <v>4.048582995951417E-3</v>
      </c>
      <c r="T183" s="186" t="str">
        <f>IF(COUNTIF(Total,T_sept_dec[[#This Row],[Secteur organisateur]]),"Total_"&amp;T_sept_dec[[#This Row],[Enseignant référent (Nom Prénom)]],"")</f>
        <v/>
      </c>
      <c r="U183" s="186">
        <f>1/COUNTIF(T_sept_dec[cléTotal],T_sept_dec[[#This Row],[cléTotal]])</f>
        <v>4.1841004184100415E-3</v>
      </c>
    </row>
    <row r="184" spans="11:21">
      <c r="K184" s="21" t="str">
        <f>IF(COUNTIF(Maternelle,E184)=1,listes!$T$1,IF(COUNTIF(Elémentaire,E184)=1,listes!$U$1,IF(COUNTIF(Collège,E184)=1,listes!$V$1,IF(COUNTIF(Lycée,E184)=1,listes!$W$1,""))))</f>
        <v/>
      </c>
      <c r="L184" s="21" t="str">
        <f>IF(COUNTIF(Perralière,D184)=1,listes!$P$1,IF(COUNTIF(Buers,D184)=1,listes!$J$1,IF(COUNTIF(Charpennes,D184)=1,listes!$K$1,IF(COUNTIF(Cusset,D184)=1,listes!$L$1,IF(COUNTIF(Cyprien,D184)=1,listes!$M$1,IF(COUNTIF(Ferrandière,D184)=1,listes!$N$1,IF(COUNTIF(Gratteciel,D184)=1,listes!$O$1,IF(COUNTIF(Saintjean,D184)=1,listes!$Q$1,IF(COUNTIF(horsvilleurbanne,D184)=1,listes!$R$1,"")))))))))</f>
        <v/>
      </c>
      <c r="M184" s="21" t="str">
        <f t="shared" si="2"/>
        <v/>
      </c>
      <c r="N184" s="186" t="str">
        <f>T_sept_dec[[#This Row],[Etablissement accueillant]]&amp;"-"&amp;T_sept_dec[[#This Row],[Enseignant référent (Nom Prénom)]]</f>
        <v>-</v>
      </c>
      <c r="O184" s="21">
        <f>1/COUNTIF(T_sept_dec[CléEtablissement],T_sept_dec[[#This Row],[CléEtablissement]])</f>
        <v>4.1841004184100415E-3</v>
      </c>
      <c r="P18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4" s="186">
        <f>1/COUNTIF(T_sept_dec[CléRéseau-Rize horsmed],T_sept_dec[[#This Row],[CléRéseau-Rize horsmed]])</f>
        <v>4.1841004184100415E-3</v>
      </c>
      <c r="R184" s="186" t="str">
        <f>IF(COUNTIF(RIZE,T_sept_dec[[#This Row],[Secteur organisateur]]),"Rize_"&amp;T_sept_dec[[#This Row],[Enseignant référent (Nom Prénom)]],"")</f>
        <v/>
      </c>
      <c r="S184" s="186">
        <f>1/COUNTIF(T_sept_dec[CléRize],T_sept_dec[[#This Row],[CléRize]])</f>
        <v>4.048582995951417E-3</v>
      </c>
      <c r="T184" s="186" t="str">
        <f>IF(COUNTIF(Total,T_sept_dec[[#This Row],[Secteur organisateur]]),"Total_"&amp;T_sept_dec[[#This Row],[Enseignant référent (Nom Prénom)]],"")</f>
        <v/>
      </c>
      <c r="U184" s="186">
        <f>1/COUNTIF(T_sept_dec[cléTotal],T_sept_dec[[#This Row],[cléTotal]])</f>
        <v>4.1841004184100415E-3</v>
      </c>
    </row>
    <row r="185" spans="11:21">
      <c r="K185" s="21" t="str">
        <f>IF(COUNTIF(Maternelle,E185)=1,listes!$T$1,IF(COUNTIF(Elémentaire,E185)=1,listes!$U$1,IF(COUNTIF(Collège,E185)=1,listes!$V$1,IF(COUNTIF(Lycée,E185)=1,listes!$W$1,""))))</f>
        <v/>
      </c>
      <c r="L185" s="21" t="str">
        <f>IF(COUNTIF(Perralière,D185)=1,listes!$P$1,IF(COUNTIF(Buers,D185)=1,listes!$J$1,IF(COUNTIF(Charpennes,D185)=1,listes!$K$1,IF(COUNTIF(Cusset,D185)=1,listes!$L$1,IF(COUNTIF(Cyprien,D185)=1,listes!$M$1,IF(COUNTIF(Ferrandière,D185)=1,listes!$N$1,IF(COUNTIF(Gratteciel,D185)=1,listes!$O$1,IF(COUNTIF(Saintjean,D185)=1,listes!$Q$1,IF(COUNTIF(horsvilleurbanne,D185)=1,listes!$R$1,"")))))))))</f>
        <v/>
      </c>
      <c r="M185" s="21" t="str">
        <f t="shared" si="2"/>
        <v/>
      </c>
      <c r="N185" s="186" t="str">
        <f>T_sept_dec[[#This Row],[Etablissement accueillant]]&amp;"-"&amp;T_sept_dec[[#This Row],[Enseignant référent (Nom Prénom)]]</f>
        <v>-</v>
      </c>
      <c r="O185" s="21">
        <f>1/COUNTIF(T_sept_dec[CléEtablissement],T_sept_dec[[#This Row],[CléEtablissement]])</f>
        <v>4.1841004184100415E-3</v>
      </c>
      <c r="P18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5" s="186">
        <f>1/COUNTIF(T_sept_dec[CléRéseau-Rize horsmed],T_sept_dec[[#This Row],[CléRéseau-Rize horsmed]])</f>
        <v>4.1841004184100415E-3</v>
      </c>
      <c r="R185" s="186" t="str">
        <f>IF(COUNTIF(RIZE,T_sept_dec[[#This Row],[Secteur organisateur]]),"Rize_"&amp;T_sept_dec[[#This Row],[Enseignant référent (Nom Prénom)]],"")</f>
        <v/>
      </c>
      <c r="S185" s="186">
        <f>1/COUNTIF(T_sept_dec[CléRize],T_sept_dec[[#This Row],[CléRize]])</f>
        <v>4.048582995951417E-3</v>
      </c>
      <c r="T185" s="186" t="str">
        <f>IF(COUNTIF(Total,T_sept_dec[[#This Row],[Secteur organisateur]]),"Total_"&amp;T_sept_dec[[#This Row],[Enseignant référent (Nom Prénom)]],"")</f>
        <v/>
      </c>
      <c r="U185" s="186">
        <f>1/COUNTIF(T_sept_dec[cléTotal],T_sept_dec[[#This Row],[cléTotal]])</f>
        <v>4.1841004184100415E-3</v>
      </c>
    </row>
    <row r="186" spans="11:21">
      <c r="K186" s="21" t="str">
        <f>IF(COUNTIF(Maternelle,E186)=1,listes!$T$1,IF(COUNTIF(Elémentaire,E186)=1,listes!$U$1,IF(COUNTIF(Collège,E186)=1,listes!$V$1,IF(COUNTIF(Lycée,E186)=1,listes!$W$1,""))))</f>
        <v/>
      </c>
      <c r="L186" s="21" t="str">
        <f>IF(COUNTIF(Perralière,D186)=1,listes!$P$1,IF(COUNTIF(Buers,D186)=1,listes!$J$1,IF(COUNTIF(Charpennes,D186)=1,listes!$K$1,IF(COUNTIF(Cusset,D186)=1,listes!$L$1,IF(COUNTIF(Cyprien,D186)=1,listes!$M$1,IF(COUNTIF(Ferrandière,D186)=1,listes!$N$1,IF(COUNTIF(Gratteciel,D186)=1,listes!$O$1,IF(COUNTIF(Saintjean,D186)=1,listes!$Q$1,IF(COUNTIF(horsvilleurbanne,D186)=1,listes!$R$1,"")))))))))</f>
        <v/>
      </c>
      <c r="M186" s="21" t="str">
        <f t="shared" si="2"/>
        <v/>
      </c>
      <c r="N186" s="186" t="str">
        <f>T_sept_dec[[#This Row],[Etablissement accueillant]]&amp;"-"&amp;T_sept_dec[[#This Row],[Enseignant référent (Nom Prénom)]]</f>
        <v>-</v>
      </c>
      <c r="O186" s="21">
        <f>1/COUNTIF(T_sept_dec[CléEtablissement],T_sept_dec[[#This Row],[CléEtablissement]])</f>
        <v>4.1841004184100415E-3</v>
      </c>
      <c r="P18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6" s="186">
        <f>1/COUNTIF(T_sept_dec[CléRéseau-Rize horsmed],T_sept_dec[[#This Row],[CléRéseau-Rize horsmed]])</f>
        <v>4.1841004184100415E-3</v>
      </c>
      <c r="R186" s="186" t="str">
        <f>IF(COUNTIF(RIZE,T_sept_dec[[#This Row],[Secteur organisateur]]),"Rize_"&amp;T_sept_dec[[#This Row],[Enseignant référent (Nom Prénom)]],"")</f>
        <v/>
      </c>
      <c r="S186" s="186">
        <f>1/COUNTIF(T_sept_dec[CléRize],T_sept_dec[[#This Row],[CléRize]])</f>
        <v>4.048582995951417E-3</v>
      </c>
      <c r="T186" s="186" t="str">
        <f>IF(COUNTIF(Total,T_sept_dec[[#This Row],[Secteur organisateur]]),"Total_"&amp;T_sept_dec[[#This Row],[Enseignant référent (Nom Prénom)]],"")</f>
        <v/>
      </c>
      <c r="U186" s="186">
        <f>1/COUNTIF(T_sept_dec[cléTotal],T_sept_dec[[#This Row],[cléTotal]])</f>
        <v>4.1841004184100415E-3</v>
      </c>
    </row>
    <row r="187" spans="11:21">
      <c r="K187" s="21" t="str">
        <f>IF(COUNTIF(Maternelle,E187)=1,listes!$T$1,IF(COUNTIF(Elémentaire,E187)=1,listes!$U$1,IF(COUNTIF(Collège,E187)=1,listes!$V$1,IF(COUNTIF(Lycée,E187)=1,listes!$W$1,""))))</f>
        <v/>
      </c>
      <c r="L187" s="21" t="str">
        <f>IF(COUNTIF(Perralière,D187)=1,listes!$P$1,IF(COUNTIF(Buers,D187)=1,listes!$J$1,IF(COUNTIF(Charpennes,D187)=1,listes!$K$1,IF(COUNTIF(Cusset,D187)=1,listes!$L$1,IF(COUNTIF(Cyprien,D187)=1,listes!$M$1,IF(COUNTIF(Ferrandière,D187)=1,listes!$N$1,IF(COUNTIF(Gratteciel,D187)=1,listes!$O$1,IF(COUNTIF(Saintjean,D187)=1,listes!$Q$1,IF(COUNTIF(horsvilleurbanne,D187)=1,listes!$R$1,"")))))))))</f>
        <v/>
      </c>
      <c r="M187" s="21" t="str">
        <f t="shared" si="2"/>
        <v/>
      </c>
      <c r="N187" s="186" t="str">
        <f>T_sept_dec[[#This Row],[Etablissement accueillant]]&amp;"-"&amp;T_sept_dec[[#This Row],[Enseignant référent (Nom Prénom)]]</f>
        <v>-</v>
      </c>
      <c r="O187" s="21">
        <f>1/COUNTIF(T_sept_dec[CléEtablissement],T_sept_dec[[#This Row],[CléEtablissement]])</f>
        <v>4.1841004184100415E-3</v>
      </c>
      <c r="P18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7" s="186">
        <f>1/COUNTIF(T_sept_dec[CléRéseau-Rize horsmed],T_sept_dec[[#This Row],[CléRéseau-Rize horsmed]])</f>
        <v>4.1841004184100415E-3</v>
      </c>
      <c r="R187" s="186" t="str">
        <f>IF(COUNTIF(RIZE,T_sept_dec[[#This Row],[Secteur organisateur]]),"Rize_"&amp;T_sept_dec[[#This Row],[Enseignant référent (Nom Prénom)]],"")</f>
        <v/>
      </c>
      <c r="S187" s="186">
        <f>1/COUNTIF(T_sept_dec[CléRize],T_sept_dec[[#This Row],[CléRize]])</f>
        <v>4.048582995951417E-3</v>
      </c>
      <c r="T187" s="186" t="str">
        <f>IF(COUNTIF(Total,T_sept_dec[[#This Row],[Secteur organisateur]]),"Total_"&amp;T_sept_dec[[#This Row],[Enseignant référent (Nom Prénom)]],"")</f>
        <v/>
      </c>
      <c r="U187" s="186">
        <f>1/COUNTIF(T_sept_dec[cléTotal],T_sept_dec[[#This Row],[cléTotal]])</f>
        <v>4.1841004184100415E-3</v>
      </c>
    </row>
    <row r="188" spans="11:21">
      <c r="K188" s="21" t="str">
        <f>IF(COUNTIF(Maternelle,E188)=1,listes!$T$1,IF(COUNTIF(Elémentaire,E188)=1,listes!$U$1,IF(COUNTIF(Collège,E188)=1,listes!$V$1,IF(COUNTIF(Lycée,E188)=1,listes!$W$1,""))))</f>
        <v/>
      </c>
      <c r="L188" s="21" t="str">
        <f>IF(COUNTIF(Perralière,D188)=1,listes!$P$1,IF(COUNTIF(Buers,D188)=1,listes!$J$1,IF(COUNTIF(Charpennes,D188)=1,listes!$K$1,IF(COUNTIF(Cusset,D188)=1,listes!$L$1,IF(COUNTIF(Cyprien,D188)=1,listes!$M$1,IF(COUNTIF(Ferrandière,D188)=1,listes!$N$1,IF(COUNTIF(Gratteciel,D188)=1,listes!$O$1,IF(COUNTIF(Saintjean,D188)=1,listes!$Q$1,IF(COUNTIF(horsvilleurbanne,D188)=1,listes!$R$1,"")))))))))</f>
        <v/>
      </c>
      <c r="M188" s="21" t="str">
        <f t="shared" si="2"/>
        <v/>
      </c>
      <c r="N188" s="186" t="str">
        <f>T_sept_dec[[#This Row],[Etablissement accueillant]]&amp;"-"&amp;T_sept_dec[[#This Row],[Enseignant référent (Nom Prénom)]]</f>
        <v>-</v>
      </c>
      <c r="O188" s="21">
        <f>1/COUNTIF(T_sept_dec[CléEtablissement],T_sept_dec[[#This Row],[CléEtablissement]])</f>
        <v>4.1841004184100415E-3</v>
      </c>
      <c r="P18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8" s="186">
        <f>1/COUNTIF(T_sept_dec[CléRéseau-Rize horsmed],T_sept_dec[[#This Row],[CléRéseau-Rize horsmed]])</f>
        <v>4.1841004184100415E-3</v>
      </c>
      <c r="R188" s="186" t="str">
        <f>IF(COUNTIF(RIZE,T_sept_dec[[#This Row],[Secteur organisateur]]),"Rize_"&amp;T_sept_dec[[#This Row],[Enseignant référent (Nom Prénom)]],"")</f>
        <v/>
      </c>
      <c r="S188" s="186">
        <f>1/COUNTIF(T_sept_dec[CléRize],T_sept_dec[[#This Row],[CléRize]])</f>
        <v>4.048582995951417E-3</v>
      </c>
      <c r="T188" s="186" t="str">
        <f>IF(COUNTIF(Total,T_sept_dec[[#This Row],[Secteur organisateur]]),"Total_"&amp;T_sept_dec[[#This Row],[Enseignant référent (Nom Prénom)]],"")</f>
        <v/>
      </c>
      <c r="U188" s="186">
        <f>1/COUNTIF(T_sept_dec[cléTotal],T_sept_dec[[#This Row],[cléTotal]])</f>
        <v>4.1841004184100415E-3</v>
      </c>
    </row>
    <row r="189" spans="11:21">
      <c r="K189" s="21" t="str">
        <f>IF(COUNTIF(Maternelle,E189)=1,listes!$T$1,IF(COUNTIF(Elémentaire,E189)=1,listes!$U$1,IF(COUNTIF(Collège,E189)=1,listes!$V$1,IF(COUNTIF(Lycée,E189)=1,listes!$W$1,""))))</f>
        <v/>
      </c>
      <c r="L189" s="21" t="str">
        <f>IF(COUNTIF(Perralière,D189)=1,listes!$P$1,IF(COUNTIF(Buers,D189)=1,listes!$J$1,IF(COUNTIF(Charpennes,D189)=1,listes!$K$1,IF(COUNTIF(Cusset,D189)=1,listes!$L$1,IF(COUNTIF(Cyprien,D189)=1,listes!$M$1,IF(COUNTIF(Ferrandière,D189)=1,listes!$N$1,IF(COUNTIF(Gratteciel,D189)=1,listes!$O$1,IF(COUNTIF(Saintjean,D189)=1,listes!$Q$1,IF(COUNTIF(horsvilleurbanne,D189)=1,listes!$R$1,"")))))))))</f>
        <v/>
      </c>
      <c r="M189" s="21" t="str">
        <f t="shared" si="2"/>
        <v/>
      </c>
      <c r="N189" s="186" t="str">
        <f>T_sept_dec[[#This Row],[Etablissement accueillant]]&amp;"-"&amp;T_sept_dec[[#This Row],[Enseignant référent (Nom Prénom)]]</f>
        <v>-</v>
      </c>
      <c r="O189" s="21">
        <f>1/COUNTIF(T_sept_dec[CléEtablissement],T_sept_dec[[#This Row],[CléEtablissement]])</f>
        <v>4.1841004184100415E-3</v>
      </c>
      <c r="P18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89" s="186">
        <f>1/COUNTIF(T_sept_dec[CléRéseau-Rize horsmed],T_sept_dec[[#This Row],[CléRéseau-Rize horsmed]])</f>
        <v>4.1841004184100415E-3</v>
      </c>
      <c r="R189" s="186" t="str">
        <f>IF(COUNTIF(RIZE,T_sept_dec[[#This Row],[Secteur organisateur]]),"Rize_"&amp;T_sept_dec[[#This Row],[Enseignant référent (Nom Prénom)]],"")</f>
        <v/>
      </c>
      <c r="S189" s="186">
        <f>1/COUNTIF(T_sept_dec[CléRize],T_sept_dec[[#This Row],[CléRize]])</f>
        <v>4.048582995951417E-3</v>
      </c>
      <c r="T189" s="186" t="str">
        <f>IF(COUNTIF(Total,T_sept_dec[[#This Row],[Secteur organisateur]]),"Total_"&amp;T_sept_dec[[#This Row],[Enseignant référent (Nom Prénom)]],"")</f>
        <v/>
      </c>
      <c r="U189" s="186">
        <f>1/COUNTIF(T_sept_dec[cléTotal],T_sept_dec[[#This Row],[cléTotal]])</f>
        <v>4.1841004184100415E-3</v>
      </c>
    </row>
    <row r="190" spans="11:21">
      <c r="K190" s="21" t="str">
        <f>IF(COUNTIF(Maternelle,E190)=1,listes!$T$1,IF(COUNTIF(Elémentaire,E190)=1,listes!$U$1,IF(COUNTIF(Collège,E190)=1,listes!$V$1,IF(COUNTIF(Lycée,E190)=1,listes!$W$1,""))))</f>
        <v/>
      </c>
      <c r="L190" s="21" t="str">
        <f>IF(COUNTIF(Perralière,D190)=1,listes!$P$1,IF(COUNTIF(Buers,D190)=1,listes!$J$1,IF(COUNTIF(Charpennes,D190)=1,listes!$K$1,IF(COUNTIF(Cusset,D190)=1,listes!$L$1,IF(COUNTIF(Cyprien,D190)=1,listes!$M$1,IF(COUNTIF(Ferrandière,D190)=1,listes!$N$1,IF(COUNTIF(Gratteciel,D190)=1,listes!$O$1,IF(COUNTIF(Saintjean,D190)=1,listes!$Q$1,IF(COUNTIF(horsvilleurbanne,D190)=1,listes!$R$1,"")))))))))</f>
        <v/>
      </c>
      <c r="M190" s="21" t="str">
        <f t="shared" si="2"/>
        <v/>
      </c>
      <c r="N190" s="186" t="str">
        <f>T_sept_dec[[#This Row],[Etablissement accueillant]]&amp;"-"&amp;T_sept_dec[[#This Row],[Enseignant référent (Nom Prénom)]]</f>
        <v>-</v>
      </c>
      <c r="O190" s="21">
        <f>1/COUNTIF(T_sept_dec[CléEtablissement],T_sept_dec[[#This Row],[CléEtablissement]])</f>
        <v>4.1841004184100415E-3</v>
      </c>
      <c r="P19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0" s="186">
        <f>1/COUNTIF(T_sept_dec[CléRéseau-Rize horsmed],T_sept_dec[[#This Row],[CléRéseau-Rize horsmed]])</f>
        <v>4.1841004184100415E-3</v>
      </c>
      <c r="R190" s="186" t="str">
        <f>IF(COUNTIF(RIZE,T_sept_dec[[#This Row],[Secteur organisateur]]),"Rize_"&amp;T_sept_dec[[#This Row],[Enseignant référent (Nom Prénom)]],"")</f>
        <v/>
      </c>
      <c r="S190" s="186">
        <f>1/COUNTIF(T_sept_dec[CléRize],T_sept_dec[[#This Row],[CléRize]])</f>
        <v>4.048582995951417E-3</v>
      </c>
      <c r="T190" s="186" t="str">
        <f>IF(COUNTIF(Total,T_sept_dec[[#This Row],[Secteur organisateur]]),"Total_"&amp;T_sept_dec[[#This Row],[Enseignant référent (Nom Prénom)]],"")</f>
        <v/>
      </c>
      <c r="U190" s="186">
        <f>1/COUNTIF(T_sept_dec[cléTotal],T_sept_dec[[#This Row],[cléTotal]])</f>
        <v>4.1841004184100415E-3</v>
      </c>
    </row>
    <row r="191" spans="11:21">
      <c r="K191" s="21" t="str">
        <f>IF(COUNTIF(Maternelle,E191)=1,listes!$T$1,IF(COUNTIF(Elémentaire,E191)=1,listes!$U$1,IF(COUNTIF(Collège,E191)=1,listes!$V$1,IF(COUNTIF(Lycée,E191)=1,listes!$W$1,""))))</f>
        <v/>
      </c>
      <c r="L191" s="21" t="str">
        <f>IF(COUNTIF(Perralière,D191)=1,listes!$P$1,IF(COUNTIF(Buers,D191)=1,listes!$J$1,IF(COUNTIF(Charpennes,D191)=1,listes!$K$1,IF(COUNTIF(Cusset,D191)=1,listes!$L$1,IF(COUNTIF(Cyprien,D191)=1,listes!$M$1,IF(COUNTIF(Ferrandière,D191)=1,listes!$N$1,IF(COUNTIF(Gratteciel,D191)=1,listes!$O$1,IF(COUNTIF(Saintjean,D191)=1,listes!$Q$1,IF(COUNTIF(horsvilleurbanne,D191)=1,listes!$R$1,"")))))))))</f>
        <v/>
      </c>
      <c r="M191" s="21" t="str">
        <f t="shared" si="2"/>
        <v/>
      </c>
      <c r="N191" s="186" t="str">
        <f>T_sept_dec[[#This Row],[Etablissement accueillant]]&amp;"-"&amp;T_sept_dec[[#This Row],[Enseignant référent (Nom Prénom)]]</f>
        <v>-</v>
      </c>
      <c r="O191" s="21">
        <f>1/COUNTIF(T_sept_dec[CléEtablissement],T_sept_dec[[#This Row],[CléEtablissement]])</f>
        <v>4.1841004184100415E-3</v>
      </c>
      <c r="P19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1" s="186">
        <f>1/COUNTIF(T_sept_dec[CléRéseau-Rize horsmed],T_sept_dec[[#This Row],[CléRéseau-Rize horsmed]])</f>
        <v>4.1841004184100415E-3</v>
      </c>
      <c r="R191" s="186" t="str">
        <f>IF(COUNTIF(RIZE,T_sept_dec[[#This Row],[Secteur organisateur]]),"Rize_"&amp;T_sept_dec[[#This Row],[Enseignant référent (Nom Prénom)]],"")</f>
        <v/>
      </c>
      <c r="S191" s="186">
        <f>1/COUNTIF(T_sept_dec[CléRize],T_sept_dec[[#This Row],[CléRize]])</f>
        <v>4.048582995951417E-3</v>
      </c>
      <c r="T191" s="186" t="str">
        <f>IF(COUNTIF(Total,T_sept_dec[[#This Row],[Secteur organisateur]]),"Total_"&amp;T_sept_dec[[#This Row],[Enseignant référent (Nom Prénom)]],"")</f>
        <v/>
      </c>
      <c r="U191" s="186">
        <f>1/COUNTIF(T_sept_dec[cléTotal],T_sept_dec[[#This Row],[cléTotal]])</f>
        <v>4.1841004184100415E-3</v>
      </c>
    </row>
    <row r="192" spans="11:21">
      <c r="K192" s="21" t="str">
        <f>IF(COUNTIF(Maternelle,E192)=1,listes!$T$1,IF(COUNTIF(Elémentaire,E192)=1,listes!$U$1,IF(COUNTIF(Collège,E192)=1,listes!$V$1,IF(COUNTIF(Lycée,E192)=1,listes!$W$1,""))))</f>
        <v/>
      </c>
      <c r="L192" s="21" t="str">
        <f>IF(COUNTIF(Perralière,D192)=1,listes!$P$1,IF(COUNTIF(Buers,D192)=1,listes!$J$1,IF(COUNTIF(Charpennes,D192)=1,listes!$K$1,IF(COUNTIF(Cusset,D192)=1,listes!$L$1,IF(COUNTIF(Cyprien,D192)=1,listes!$M$1,IF(COUNTIF(Ferrandière,D192)=1,listes!$N$1,IF(COUNTIF(Gratteciel,D192)=1,listes!$O$1,IF(COUNTIF(Saintjean,D192)=1,listes!$Q$1,IF(COUNTIF(horsvilleurbanne,D192)=1,listes!$R$1,"")))))))))</f>
        <v/>
      </c>
      <c r="M192" s="21" t="str">
        <f t="shared" si="2"/>
        <v/>
      </c>
      <c r="N192" s="186" t="str">
        <f>T_sept_dec[[#This Row],[Etablissement accueillant]]&amp;"-"&amp;T_sept_dec[[#This Row],[Enseignant référent (Nom Prénom)]]</f>
        <v>-</v>
      </c>
      <c r="O192" s="21">
        <f>1/COUNTIF(T_sept_dec[CléEtablissement],T_sept_dec[[#This Row],[CléEtablissement]])</f>
        <v>4.1841004184100415E-3</v>
      </c>
      <c r="P19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2" s="186">
        <f>1/COUNTIF(T_sept_dec[CléRéseau-Rize horsmed],T_sept_dec[[#This Row],[CléRéseau-Rize horsmed]])</f>
        <v>4.1841004184100415E-3</v>
      </c>
      <c r="R192" s="186" t="str">
        <f>IF(COUNTIF(RIZE,T_sept_dec[[#This Row],[Secteur organisateur]]),"Rize_"&amp;T_sept_dec[[#This Row],[Enseignant référent (Nom Prénom)]],"")</f>
        <v/>
      </c>
      <c r="S192" s="186">
        <f>1/COUNTIF(T_sept_dec[CléRize],T_sept_dec[[#This Row],[CléRize]])</f>
        <v>4.048582995951417E-3</v>
      </c>
      <c r="T192" s="186" t="str">
        <f>IF(COUNTIF(Total,T_sept_dec[[#This Row],[Secteur organisateur]]),"Total_"&amp;T_sept_dec[[#This Row],[Enseignant référent (Nom Prénom)]],"")</f>
        <v/>
      </c>
      <c r="U192" s="186">
        <f>1/COUNTIF(T_sept_dec[cléTotal],T_sept_dec[[#This Row],[cléTotal]])</f>
        <v>4.1841004184100415E-3</v>
      </c>
    </row>
    <row r="193" spans="11:21">
      <c r="K193" s="21" t="str">
        <f>IF(COUNTIF(Maternelle,E193)=1,listes!$T$1,IF(COUNTIF(Elémentaire,E193)=1,listes!$U$1,IF(COUNTIF(Collège,E193)=1,listes!$V$1,IF(COUNTIF(Lycée,E193)=1,listes!$W$1,""))))</f>
        <v/>
      </c>
      <c r="L193" s="21" t="str">
        <f>IF(COUNTIF(Perralière,D193)=1,listes!$P$1,IF(COUNTIF(Buers,D193)=1,listes!$J$1,IF(COUNTIF(Charpennes,D193)=1,listes!$K$1,IF(COUNTIF(Cusset,D193)=1,listes!$L$1,IF(COUNTIF(Cyprien,D193)=1,listes!$M$1,IF(COUNTIF(Ferrandière,D193)=1,listes!$N$1,IF(COUNTIF(Gratteciel,D193)=1,listes!$O$1,IF(COUNTIF(Saintjean,D193)=1,listes!$Q$1,IF(COUNTIF(horsvilleurbanne,D193)=1,listes!$R$1,"")))))))))</f>
        <v/>
      </c>
      <c r="M193" s="21" t="str">
        <f t="shared" si="2"/>
        <v/>
      </c>
      <c r="N193" s="186" t="str">
        <f>T_sept_dec[[#This Row],[Etablissement accueillant]]&amp;"-"&amp;T_sept_dec[[#This Row],[Enseignant référent (Nom Prénom)]]</f>
        <v>-</v>
      </c>
      <c r="O193" s="21">
        <f>1/COUNTIF(T_sept_dec[CléEtablissement],T_sept_dec[[#This Row],[CléEtablissement]])</f>
        <v>4.1841004184100415E-3</v>
      </c>
      <c r="P19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3" s="186">
        <f>1/COUNTIF(T_sept_dec[CléRéseau-Rize horsmed],T_sept_dec[[#This Row],[CléRéseau-Rize horsmed]])</f>
        <v>4.1841004184100415E-3</v>
      </c>
      <c r="R193" s="186" t="str">
        <f>IF(COUNTIF(RIZE,T_sept_dec[[#This Row],[Secteur organisateur]]),"Rize_"&amp;T_sept_dec[[#This Row],[Enseignant référent (Nom Prénom)]],"")</f>
        <v/>
      </c>
      <c r="S193" s="186">
        <f>1/COUNTIF(T_sept_dec[CléRize],T_sept_dec[[#This Row],[CléRize]])</f>
        <v>4.048582995951417E-3</v>
      </c>
      <c r="T193" s="186" t="str">
        <f>IF(COUNTIF(Total,T_sept_dec[[#This Row],[Secteur organisateur]]),"Total_"&amp;T_sept_dec[[#This Row],[Enseignant référent (Nom Prénom)]],"")</f>
        <v/>
      </c>
      <c r="U193" s="186">
        <f>1/COUNTIF(T_sept_dec[cléTotal],T_sept_dec[[#This Row],[cléTotal]])</f>
        <v>4.1841004184100415E-3</v>
      </c>
    </row>
    <row r="194" spans="11:21">
      <c r="K194" s="21" t="str">
        <f>IF(COUNTIF(Maternelle,E194)=1,listes!$T$1,IF(COUNTIF(Elémentaire,E194)=1,listes!$U$1,IF(COUNTIF(Collège,E194)=1,listes!$V$1,IF(COUNTIF(Lycée,E194)=1,listes!$W$1,""))))</f>
        <v/>
      </c>
      <c r="L194" s="21" t="str">
        <f>IF(COUNTIF(Perralière,D194)=1,listes!$P$1,IF(COUNTIF(Buers,D194)=1,listes!$J$1,IF(COUNTIF(Charpennes,D194)=1,listes!$K$1,IF(COUNTIF(Cusset,D194)=1,listes!$L$1,IF(COUNTIF(Cyprien,D194)=1,listes!$M$1,IF(COUNTIF(Ferrandière,D194)=1,listes!$N$1,IF(COUNTIF(Gratteciel,D194)=1,listes!$O$1,IF(COUNTIF(Saintjean,D194)=1,listes!$Q$1,IF(COUNTIF(horsvilleurbanne,D194)=1,listes!$R$1,"")))))))))</f>
        <v/>
      </c>
      <c r="M194" s="21" t="str">
        <f t="shared" ref="M194:M250" si="3">IF(COUNTIF(FDL,B194)=1,"FDL",IF(COUNTIF(RIZE,B194)=1,"RIZE",IF(COUNTIF(MLIS,B194)=1,"MLIS",IF(COUNTIF(PACBUS,B194)=1,"PAC-BUS",IF(COUNTIF(Tonkin,B194)=1,"Tonkin","")))))</f>
        <v/>
      </c>
      <c r="N194" s="186" t="str">
        <f>T_sept_dec[[#This Row],[Etablissement accueillant]]&amp;"-"&amp;T_sept_dec[[#This Row],[Enseignant référent (Nom Prénom)]]</f>
        <v>-</v>
      </c>
      <c r="O194" s="21">
        <f>1/COUNTIF(T_sept_dec[CléEtablissement],T_sept_dec[[#This Row],[CléEtablissement]])</f>
        <v>4.1841004184100415E-3</v>
      </c>
      <c r="P19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4" s="186">
        <f>1/COUNTIF(T_sept_dec[CléRéseau-Rize horsmed],T_sept_dec[[#This Row],[CléRéseau-Rize horsmed]])</f>
        <v>4.1841004184100415E-3</v>
      </c>
      <c r="R194" s="186" t="str">
        <f>IF(COUNTIF(RIZE,T_sept_dec[[#This Row],[Secteur organisateur]]),"Rize_"&amp;T_sept_dec[[#This Row],[Enseignant référent (Nom Prénom)]],"")</f>
        <v/>
      </c>
      <c r="S194" s="186">
        <f>1/COUNTIF(T_sept_dec[CléRize],T_sept_dec[[#This Row],[CléRize]])</f>
        <v>4.048582995951417E-3</v>
      </c>
      <c r="T194" s="186" t="str">
        <f>IF(COUNTIF(Total,T_sept_dec[[#This Row],[Secteur organisateur]]),"Total_"&amp;T_sept_dec[[#This Row],[Enseignant référent (Nom Prénom)]],"")</f>
        <v/>
      </c>
      <c r="U194" s="186">
        <f>1/COUNTIF(T_sept_dec[cléTotal],T_sept_dec[[#This Row],[cléTotal]])</f>
        <v>4.1841004184100415E-3</v>
      </c>
    </row>
    <row r="195" spans="11:21">
      <c r="K195" s="21" t="str">
        <f>IF(COUNTIF(Maternelle,E195)=1,listes!$T$1,IF(COUNTIF(Elémentaire,E195)=1,listes!$U$1,IF(COUNTIF(Collège,E195)=1,listes!$V$1,IF(COUNTIF(Lycée,E195)=1,listes!$W$1,""))))</f>
        <v/>
      </c>
      <c r="L195" s="21" t="str">
        <f>IF(COUNTIF(Perralière,D195)=1,listes!$P$1,IF(COUNTIF(Buers,D195)=1,listes!$J$1,IF(COUNTIF(Charpennes,D195)=1,listes!$K$1,IF(COUNTIF(Cusset,D195)=1,listes!$L$1,IF(COUNTIF(Cyprien,D195)=1,listes!$M$1,IF(COUNTIF(Ferrandière,D195)=1,listes!$N$1,IF(COUNTIF(Gratteciel,D195)=1,listes!$O$1,IF(COUNTIF(Saintjean,D195)=1,listes!$Q$1,IF(COUNTIF(horsvilleurbanne,D195)=1,listes!$R$1,"")))))))))</f>
        <v/>
      </c>
      <c r="M195" s="21" t="str">
        <f t="shared" si="3"/>
        <v/>
      </c>
      <c r="N195" s="186" t="str">
        <f>T_sept_dec[[#This Row],[Etablissement accueillant]]&amp;"-"&amp;T_sept_dec[[#This Row],[Enseignant référent (Nom Prénom)]]</f>
        <v>-</v>
      </c>
      <c r="O195" s="21">
        <f>1/COUNTIF(T_sept_dec[CléEtablissement],T_sept_dec[[#This Row],[CléEtablissement]])</f>
        <v>4.1841004184100415E-3</v>
      </c>
      <c r="P19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5" s="186">
        <f>1/COUNTIF(T_sept_dec[CléRéseau-Rize horsmed],T_sept_dec[[#This Row],[CléRéseau-Rize horsmed]])</f>
        <v>4.1841004184100415E-3</v>
      </c>
      <c r="R195" s="186" t="str">
        <f>IF(COUNTIF(RIZE,T_sept_dec[[#This Row],[Secteur organisateur]]),"Rize_"&amp;T_sept_dec[[#This Row],[Enseignant référent (Nom Prénom)]],"")</f>
        <v/>
      </c>
      <c r="S195" s="186">
        <f>1/COUNTIF(T_sept_dec[CléRize],T_sept_dec[[#This Row],[CléRize]])</f>
        <v>4.048582995951417E-3</v>
      </c>
      <c r="T195" s="186" t="str">
        <f>IF(COUNTIF(Total,T_sept_dec[[#This Row],[Secteur organisateur]]),"Total_"&amp;T_sept_dec[[#This Row],[Enseignant référent (Nom Prénom)]],"")</f>
        <v/>
      </c>
      <c r="U195" s="186">
        <f>1/COUNTIF(T_sept_dec[cléTotal],T_sept_dec[[#This Row],[cléTotal]])</f>
        <v>4.1841004184100415E-3</v>
      </c>
    </row>
    <row r="196" spans="11:21">
      <c r="K196" s="21" t="str">
        <f>IF(COUNTIF(Maternelle,E196)=1,listes!$T$1,IF(COUNTIF(Elémentaire,E196)=1,listes!$U$1,IF(COUNTIF(Collège,E196)=1,listes!$V$1,IF(COUNTIF(Lycée,E196)=1,listes!$W$1,""))))</f>
        <v/>
      </c>
      <c r="L196" s="21" t="str">
        <f>IF(COUNTIF(Perralière,D196)=1,listes!$P$1,IF(COUNTIF(Buers,D196)=1,listes!$J$1,IF(COUNTIF(Charpennes,D196)=1,listes!$K$1,IF(COUNTIF(Cusset,D196)=1,listes!$L$1,IF(COUNTIF(Cyprien,D196)=1,listes!$M$1,IF(COUNTIF(Ferrandière,D196)=1,listes!$N$1,IF(COUNTIF(Gratteciel,D196)=1,listes!$O$1,IF(COUNTIF(Saintjean,D196)=1,listes!$Q$1,IF(COUNTIF(horsvilleurbanne,D196)=1,listes!$R$1,"")))))))))</f>
        <v/>
      </c>
      <c r="M196" s="21" t="str">
        <f t="shared" si="3"/>
        <v/>
      </c>
      <c r="N196" s="186" t="str">
        <f>T_sept_dec[[#This Row],[Etablissement accueillant]]&amp;"-"&amp;T_sept_dec[[#This Row],[Enseignant référent (Nom Prénom)]]</f>
        <v>-</v>
      </c>
      <c r="O196" s="21">
        <f>1/COUNTIF(T_sept_dec[CléEtablissement],T_sept_dec[[#This Row],[CléEtablissement]])</f>
        <v>4.1841004184100415E-3</v>
      </c>
      <c r="P19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6" s="186">
        <f>1/COUNTIF(T_sept_dec[CléRéseau-Rize horsmed],T_sept_dec[[#This Row],[CléRéseau-Rize horsmed]])</f>
        <v>4.1841004184100415E-3</v>
      </c>
      <c r="R196" s="186" t="str">
        <f>IF(COUNTIF(RIZE,T_sept_dec[[#This Row],[Secteur organisateur]]),"Rize_"&amp;T_sept_dec[[#This Row],[Enseignant référent (Nom Prénom)]],"")</f>
        <v/>
      </c>
      <c r="S196" s="186">
        <f>1/COUNTIF(T_sept_dec[CléRize],T_sept_dec[[#This Row],[CléRize]])</f>
        <v>4.048582995951417E-3</v>
      </c>
      <c r="T196" s="186" t="str">
        <f>IF(COUNTIF(Total,T_sept_dec[[#This Row],[Secteur organisateur]]),"Total_"&amp;T_sept_dec[[#This Row],[Enseignant référent (Nom Prénom)]],"")</f>
        <v/>
      </c>
      <c r="U196" s="186">
        <f>1/COUNTIF(T_sept_dec[cléTotal],T_sept_dec[[#This Row],[cléTotal]])</f>
        <v>4.1841004184100415E-3</v>
      </c>
    </row>
    <row r="197" spans="11:21">
      <c r="K197" s="21" t="str">
        <f>IF(COUNTIF(Maternelle,E197)=1,listes!$T$1,IF(COUNTIF(Elémentaire,E197)=1,listes!$U$1,IF(COUNTIF(Collège,E197)=1,listes!$V$1,IF(COUNTIF(Lycée,E197)=1,listes!$W$1,""))))</f>
        <v/>
      </c>
      <c r="L197" s="21" t="str">
        <f>IF(COUNTIF(Perralière,D197)=1,listes!$P$1,IF(COUNTIF(Buers,D197)=1,listes!$J$1,IF(COUNTIF(Charpennes,D197)=1,listes!$K$1,IF(COUNTIF(Cusset,D197)=1,listes!$L$1,IF(COUNTIF(Cyprien,D197)=1,listes!$M$1,IF(COUNTIF(Ferrandière,D197)=1,listes!$N$1,IF(COUNTIF(Gratteciel,D197)=1,listes!$O$1,IF(COUNTIF(Saintjean,D197)=1,listes!$Q$1,IF(COUNTIF(horsvilleurbanne,D197)=1,listes!$R$1,"")))))))))</f>
        <v/>
      </c>
      <c r="M197" s="21" t="str">
        <f t="shared" si="3"/>
        <v/>
      </c>
      <c r="N197" s="186" t="str">
        <f>T_sept_dec[[#This Row],[Etablissement accueillant]]&amp;"-"&amp;T_sept_dec[[#This Row],[Enseignant référent (Nom Prénom)]]</f>
        <v>-</v>
      </c>
      <c r="O197" s="21">
        <f>1/COUNTIF(T_sept_dec[CléEtablissement],T_sept_dec[[#This Row],[CléEtablissement]])</f>
        <v>4.1841004184100415E-3</v>
      </c>
      <c r="P19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7" s="186">
        <f>1/COUNTIF(T_sept_dec[CléRéseau-Rize horsmed],T_sept_dec[[#This Row],[CléRéseau-Rize horsmed]])</f>
        <v>4.1841004184100415E-3</v>
      </c>
      <c r="R197" s="186" t="str">
        <f>IF(COUNTIF(RIZE,T_sept_dec[[#This Row],[Secteur organisateur]]),"Rize_"&amp;T_sept_dec[[#This Row],[Enseignant référent (Nom Prénom)]],"")</f>
        <v/>
      </c>
      <c r="S197" s="186">
        <f>1/COUNTIF(T_sept_dec[CléRize],T_sept_dec[[#This Row],[CléRize]])</f>
        <v>4.048582995951417E-3</v>
      </c>
      <c r="T197" s="186" t="str">
        <f>IF(COUNTIF(Total,T_sept_dec[[#This Row],[Secteur organisateur]]),"Total_"&amp;T_sept_dec[[#This Row],[Enseignant référent (Nom Prénom)]],"")</f>
        <v/>
      </c>
      <c r="U197" s="186">
        <f>1/COUNTIF(T_sept_dec[cléTotal],T_sept_dec[[#This Row],[cléTotal]])</f>
        <v>4.1841004184100415E-3</v>
      </c>
    </row>
    <row r="198" spans="11:21">
      <c r="K198" s="21" t="str">
        <f>IF(COUNTIF(Maternelle,E198)=1,listes!$T$1,IF(COUNTIF(Elémentaire,E198)=1,listes!$U$1,IF(COUNTIF(Collège,E198)=1,listes!$V$1,IF(COUNTIF(Lycée,E198)=1,listes!$W$1,""))))</f>
        <v/>
      </c>
      <c r="L198" s="21" t="str">
        <f>IF(COUNTIF(Perralière,D198)=1,listes!$P$1,IF(COUNTIF(Buers,D198)=1,listes!$J$1,IF(COUNTIF(Charpennes,D198)=1,listes!$K$1,IF(COUNTIF(Cusset,D198)=1,listes!$L$1,IF(COUNTIF(Cyprien,D198)=1,listes!$M$1,IF(COUNTIF(Ferrandière,D198)=1,listes!$N$1,IF(COUNTIF(Gratteciel,D198)=1,listes!$O$1,IF(COUNTIF(Saintjean,D198)=1,listes!$Q$1,IF(COUNTIF(horsvilleurbanne,D198)=1,listes!$R$1,"")))))))))</f>
        <v/>
      </c>
      <c r="M198" s="21" t="str">
        <f t="shared" si="3"/>
        <v/>
      </c>
      <c r="N198" s="186" t="str">
        <f>T_sept_dec[[#This Row],[Etablissement accueillant]]&amp;"-"&amp;T_sept_dec[[#This Row],[Enseignant référent (Nom Prénom)]]</f>
        <v>-</v>
      </c>
      <c r="O198" s="21">
        <f>1/COUNTIF(T_sept_dec[CléEtablissement],T_sept_dec[[#This Row],[CléEtablissement]])</f>
        <v>4.1841004184100415E-3</v>
      </c>
      <c r="P19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8" s="186">
        <f>1/COUNTIF(T_sept_dec[CléRéseau-Rize horsmed],T_sept_dec[[#This Row],[CléRéseau-Rize horsmed]])</f>
        <v>4.1841004184100415E-3</v>
      </c>
      <c r="R198" s="186" t="str">
        <f>IF(COUNTIF(RIZE,T_sept_dec[[#This Row],[Secteur organisateur]]),"Rize_"&amp;T_sept_dec[[#This Row],[Enseignant référent (Nom Prénom)]],"")</f>
        <v/>
      </c>
      <c r="S198" s="186">
        <f>1/COUNTIF(T_sept_dec[CléRize],T_sept_dec[[#This Row],[CléRize]])</f>
        <v>4.048582995951417E-3</v>
      </c>
      <c r="T198" s="186" t="str">
        <f>IF(COUNTIF(Total,T_sept_dec[[#This Row],[Secteur organisateur]]),"Total_"&amp;T_sept_dec[[#This Row],[Enseignant référent (Nom Prénom)]],"")</f>
        <v/>
      </c>
      <c r="U198" s="186">
        <f>1/COUNTIF(T_sept_dec[cléTotal],T_sept_dec[[#This Row],[cléTotal]])</f>
        <v>4.1841004184100415E-3</v>
      </c>
    </row>
    <row r="199" spans="11:21">
      <c r="K199" s="21" t="str">
        <f>IF(COUNTIF(Maternelle,E199)=1,listes!$T$1,IF(COUNTIF(Elémentaire,E199)=1,listes!$U$1,IF(COUNTIF(Collège,E199)=1,listes!$V$1,IF(COUNTIF(Lycée,E199)=1,listes!$W$1,""))))</f>
        <v/>
      </c>
      <c r="L199" s="21" t="str">
        <f>IF(COUNTIF(Perralière,D199)=1,listes!$P$1,IF(COUNTIF(Buers,D199)=1,listes!$J$1,IF(COUNTIF(Charpennes,D199)=1,listes!$K$1,IF(COUNTIF(Cusset,D199)=1,listes!$L$1,IF(COUNTIF(Cyprien,D199)=1,listes!$M$1,IF(COUNTIF(Ferrandière,D199)=1,listes!$N$1,IF(COUNTIF(Gratteciel,D199)=1,listes!$O$1,IF(COUNTIF(Saintjean,D199)=1,listes!$Q$1,IF(COUNTIF(horsvilleurbanne,D199)=1,listes!$R$1,"")))))))))</f>
        <v/>
      </c>
      <c r="M199" s="21" t="str">
        <f t="shared" si="3"/>
        <v/>
      </c>
      <c r="N199" s="186" t="str">
        <f>T_sept_dec[[#This Row],[Etablissement accueillant]]&amp;"-"&amp;T_sept_dec[[#This Row],[Enseignant référent (Nom Prénom)]]</f>
        <v>-</v>
      </c>
      <c r="O199" s="21">
        <f>1/COUNTIF(T_sept_dec[CléEtablissement],T_sept_dec[[#This Row],[CléEtablissement]])</f>
        <v>4.1841004184100415E-3</v>
      </c>
      <c r="P19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199" s="186">
        <f>1/COUNTIF(T_sept_dec[CléRéseau-Rize horsmed],T_sept_dec[[#This Row],[CléRéseau-Rize horsmed]])</f>
        <v>4.1841004184100415E-3</v>
      </c>
      <c r="R199" s="186" t="str">
        <f>IF(COUNTIF(RIZE,T_sept_dec[[#This Row],[Secteur organisateur]]),"Rize_"&amp;T_sept_dec[[#This Row],[Enseignant référent (Nom Prénom)]],"")</f>
        <v/>
      </c>
      <c r="S199" s="186">
        <f>1/COUNTIF(T_sept_dec[CléRize],T_sept_dec[[#This Row],[CléRize]])</f>
        <v>4.048582995951417E-3</v>
      </c>
      <c r="T199" s="186" t="str">
        <f>IF(COUNTIF(Total,T_sept_dec[[#This Row],[Secteur organisateur]]),"Total_"&amp;T_sept_dec[[#This Row],[Enseignant référent (Nom Prénom)]],"")</f>
        <v/>
      </c>
      <c r="U199" s="186">
        <f>1/COUNTIF(T_sept_dec[cléTotal],T_sept_dec[[#This Row],[cléTotal]])</f>
        <v>4.1841004184100415E-3</v>
      </c>
    </row>
    <row r="200" spans="11:21">
      <c r="K200" s="21" t="str">
        <f>IF(COUNTIF(Maternelle,E200)=1,listes!$T$1,IF(COUNTIF(Elémentaire,E200)=1,listes!$U$1,IF(COUNTIF(Collège,E200)=1,listes!$V$1,IF(COUNTIF(Lycée,E200)=1,listes!$W$1,""))))</f>
        <v/>
      </c>
      <c r="L200" s="21" t="str">
        <f>IF(COUNTIF(Perralière,D200)=1,listes!$P$1,IF(COUNTIF(Buers,D200)=1,listes!$J$1,IF(COUNTIF(Charpennes,D200)=1,listes!$K$1,IF(COUNTIF(Cusset,D200)=1,listes!$L$1,IF(COUNTIF(Cyprien,D200)=1,listes!$M$1,IF(COUNTIF(Ferrandière,D200)=1,listes!$N$1,IF(COUNTIF(Gratteciel,D200)=1,listes!$O$1,IF(COUNTIF(Saintjean,D200)=1,listes!$Q$1,IF(COUNTIF(horsvilleurbanne,D200)=1,listes!$R$1,"")))))))))</f>
        <v/>
      </c>
      <c r="M200" s="21" t="str">
        <f t="shared" si="3"/>
        <v/>
      </c>
      <c r="N200" s="186" t="str">
        <f>T_sept_dec[[#This Row],[Etablissement accueillant]]&amp;"-"&amp;T_sept_dec[[#This Row],[Enseignant référent (Nom Prénom)]]</f>
        <v>-</v>
      </c>
      <c r="O200" s="21">
        <f>1/COUNTIF(T_sept_dec[CléEtablissement],T_sept_dec[[#This Row],[CléEtablissement]])</f>
        <v>4.1841004184100415E-3</v>
      </c>
      <c r="P20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0" s="186">
        <f>1/COUNTIF(T_sept_dec[CléRéseau-Rize horsmed],T_sept_dec[[#This Row],[CléRéseau-Rize horsmed]])</f>
        <v>4.1841004184100415E-3</v>
      </c>
      <c r="R200" s="186" t="str">
        <f>IF(COUNTIF(RIZE,T_sept_dec[[#This Row],[Secteur organisateur]]),"Rize_"&amp;T_sept_dec[[#This Row],[Enseignant référent (Nom Prénom)]],"")</f>
        <v/>
      </c>
      <c r="S200" s="186">
        <f>1/COUNTIF(T_sept_dec[CléRize],T_sept_dec[[#This Row],[CléRize]])</f>
        <v>4.048582995951417E-3</v>
      </c>
      <c r="T200" s="186" t="str">
        <f>IF(COUNTIF(Total,T_sept_dec[[#This Row],[Secteur organisateur]]),"Total_"&amp;T_sept_dec[[#This Row],[Enseignant référent (Nom Prénom)]],"")</f>
        <v/>
      </c>
      <c r="U200" s="186">
        <f>1/COUNTIF(T_sept_dec[cléTotal],T_sept_dec[[#This Row],[cléTotal]])</f>
        <v>4.1841004184100415E-3</v>
      </c>
    </row>
    <row r="201" spans="11:21">
      <c r="K201" s="21" t="str">
        <f>IF(COUNTIF(Maternelle,E201)=1,listes!$T$1,IF(COUNTIF(Elémentaire,E201)=1,listes!$U$1,IF(COUNTIF(Collège,E201)=1,listes!$V$1,IF(COUNTIF(Lycée,E201)=1,listes!$W$1,""))))</f>
        <v/>
      </c>
      <c r="L201" s="21" t="str">
        <f>IF(COUNTIF(Perralière,D201)=1,listes!$P$1,IF(COUNTIF(Buers,D201)=1,listes!$J$1,IF(COUNTIF(Charpennes,D201)=1,listes!$K$1,IF(COUNTIF(Cusset,D201)=1,listes!$L$1,IF(COUNTIF(Cyprien,D201)=1,listes!$M$1,IF(COUNTIF(Ferrandière,D201)=1,listes!$N$1,IF(COUNTIF(Gratteciel,D201)=1,listes!$O$1,IF(COUNTIF(Saintjean,D201)=1,listes!$Q$1,IF(COUNTIF(horsvilleurbanne,D201)=1,listes!$R$1,"")))))))))</f>
        <v/>
      </c>
      <c r="M201" s="21" t="str">
        <f t="shared" si="3"/>
        <v/>
      </c>
      <c r="N201" s="186" t="str">
        <f>T_sept_dec[[#This Row],[Etablissement accueillant]]&amp;"-"&amp;T_sept_dec[[#This Row],[Enseignant référent (Nom Prénom)]]</f>
        <v>-</v>
      </c>
      <c r="O201" s="21">
        <f>1/COUNTIF(T_sept_dec[CléEtablissement],T_sept_dec[[#This Row],[CléEtablissement]])</f>
        <v>4.1841004184100415E-3</v>
      </c>
      <c r="P20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1" s="186">
        <f>1/COUNTIF(T_sept_dec[CléRéseau-Rize horsmed],T_sept_dec[[#This Row],[CléRéseau-Rize horsmed]])</f>
        <v>4.1841004184100415E-3</v>
      </c>
      <c r="R201" s="186" t="str">
        <f>IF(COUNTIF(RIZE,T_sept_dec[[#This Row],[Secteur organisateur]]),"Rize_"&amp;T_sept_dec[[#This Row],[Enseignant référent (Nom Prénom)]],"")</f>
        <v/>
      </c>
      <c r="S201" s="186">
        <f>1/COUNTIF(T_sept_dec[CléRize],T_sept_dec[[#This Row],[CléRize]])</f>
        <v>4.048582995951417E-3</v>
      </c>
      <c r="T201" s="186" t="str">
        <f>IF(COUNTIF(Total,T_sept_dec[[#This Row],[Secteur organisateur]]),"Total_"&amp;T_sept_dec[[#This Row],[Enseignant référent (Nom Prénom)]],"")</f>
        <v/>
      </c>
      <c r="U201" s="186">
        <f>1/COUNTIF(T_sept_dec[cléTotal],T_sept_dec[[#This Row],[cléTotal]])</f>
        <v>4.1841004184100415E-3</v>
      </c>
    </row>
    <row r="202" spans="11:21">
      <c r="K202" s="21" t="str">
        <f>IF(COUNTIF(Maternelle,E202)=1,listes!$T$1,IF(COUNTIF(Elémentaire,E202)=1,listes!$U$1,IF(COUNTIF(Collège,E202)=1,listes!$V$1,IF(COUNTIF(Lycée,E202)=1,listes!$W$1,""))))</f>
        <v/>
      </c>
      <c r="L202" s="21" t="str">
        <f>IF(COUNTIF(Perralière,D202)=1,listes!$P$1,IF(COUNTIF(Buers,D202)=1,listes!$J$1,IF(COUNTIF(Charpennes,D202)=1,listes!$K$1,IF(COUNTIF(Cusset,D202)=1,listes!$L$1,IF(COUNTIF(Cyprien,D202)=1,listes!$M$1,IF(COUNTIF(Ferrandière,D202)=1,listes!$N$1,IF(COUNTIF(Gratteciel,D202)=1,listes!$O$1,IF(COUNTIF(Saintjean,D202)=1,listes!$Q$1,IF(COUNTIF(horsvilleurbanne,D202)=1,listes!$R$1,"")))))))))</f>
        <v/>
      </c>
      <c r="M202" s="21" t="str">
        <f t="shared" si="3"/>
        <v/>
      </c>
      <c r="N202" s="186" t="str">
        <f>T_sept_dec[[#This Row],[Etablissement accueillant]]&amp;"-"&amp;T_sept_dec[[#This Row],[Enseignant référent (Nom Prénom)]]</f>
        <v>-</v>
      </c>
      <c r="O202" s="21">
        <f>1/COUNTIF(T_sept_dec[CléEtablissement],T_sept_dec[[#This Row],[CléEtablissement]])</f>
        <v>4.1841004184100415E-3</v>
      </c>
      <c r="P20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2" s="186">
        <f>1/COUNTIF(T_sept_dec[CléRéseau-Rize horsmed],T_sept_dec[[#This Row],[CléRéseau-Rize horsmed]])</f>
        <v>4.1841004184100415E-3</v>
      </c>
      <c r="R202" s="186" t="str">
        <f>IF(COUNTIF(RIZE,T_sept_dec[[#This Row],[Secteur organisateur]]),"Rize_"&amp;T_sept_dec[[#This Row],[Enseignant référent (Nom Prénom)]],"")</f>
        <v/>
      </c>
      <c r="S202" s="186">
        <f>1/COUNTIF(T_sept_dec[CléRize],T_sept_dec[[#This Row],[CléRize]])</f>
        <v>4.048582995951417E-3</v>
      </c>
      <c r="T202" s="186" t="str">
        <f>IF(COUNTIF(Total,T_sept_dec[[#This Row],[Secteur organisateur]]),"Total_"&amp;T_sept_dec[[#This Row],[Enseignant référent (Nom Prénom)]],"")</f>
        <v/>
      </c>
      <c r="U202" s="186">
        <f>1/COUNTIF(T_sept_dec[cléTotal],T_sept_dec[[#This Row],[cléTotal]])</f>
        <v>4.1841004184100415E-3</v>
      </c>
    </row>
    <row r="203" spans="11:21">
      <c r="K203" s="21" t="str">
        <f>IF(COUNTIF(Maternelle,E203)=1,listes!$T$1,IF(COUNTIF(Elémentaire,E203)=1,listes!$U$1,IF(COUNTIF(Collège,E203)=1,listes!$V$1,IF(COUNTIF(Lycée,E203)=1,listes!$W$1,""))))</f>
        <v/>
      </c>
      <c r="L203" s="21" t="str">
        <f>IF(COUNTIF(Perralière,D203)=1,listes!$P$1,IF(COUNTIF(Buers,D203)=1,listes!$J$1,IF(COUNTIF(Charpennes,D203)=1,listes!$K$1,IF(COUNTIF(Cusset,D203)=1,listes!$L$1,IF(COUNTIF(Cyprien,D203)=1,listes!$M$1,IF(COUNTIF(Ferrandière,D203)=1,listes!$N$1,IF(COUNTIF(Gratteciel,D203)=1,listes!$O$1,IF(COUNTIF(Saintjean,D203)=1,listes!$Q$1,IF(COUNTIF(horsvilleurbanne,D203)=1,listes!$R$1,"")))))))))</f>
        <v/>
      </c>
      <c r="M203" s="21" t="str">
        <f t="shared" si="3"/>
        <v/>
      </c>
      <c r="N203" s="186" t="str">
        <f>T_sept_dec[[#This Row],[Etablissement accueillant]]&amp;"-"&amp;T_sept_dec[[#This Row],[Enseignant référent (Nom Prénom)]]</f>
        <v>-</v>
      </c>
      <c r="O203" s="21">
        <f>1/COUNTIF(T_sept_dec[CléEtablissement],T_sept_dec[[#This Row],[CléEtablissement]])</f>
        <v>4.1841004184100415E-3</v>
      </c>
      <c r="P20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3" s="186">
        <f>1/COUNTIF(T_sept_dec[CléRéseau-Rize horsmed],T_sept_dec[[#This Row],[CléRéseau-Rize horsmed]])</f>
        <v>4.1841004184100415E-3</v>
      </c>
      <c r="R203" s="186" t="str">
        <f>IF(COUNTIF(RIZE,T_sept_dec[[#This Row],[Secteur organisateur]]),"Rize_"&amp;T_sept_dec[[#This Row],[Enseignant référent (Nom Prénom)]],"")</f>
        <v/>
      </c>
      <c r="S203" s="186">
        <f>1/COUNTIF(T_sept_dec[CléRize],T_sept_dec[[#This Row],[CléRize]])</f>
        <v>4.048582995951417E-3</v>
      </c>
      <c r="T203" s="186" t="str">
        <f>IF(COUNTIF(Total,T_sept_dec[[#This Row],[Secteur organisateur]]),"Total_"&amp;T_sept_dec[[#This Row],[Enseignant référent (Nom Prénom)]],"")</f>
        <v/>
      </c>
      <c r="U203" s="186">
        <f>1/COUNTIF(T_sept_dec[cléTotal],T_sept_dec[[#This Row],[cléTotal]])</f>
        <v>4.1841004184100415E-3</v>
      </c>
    </row>
    <row r="204" spans="11:21">
      <c r="K204" s="21" t="str">
        <f>IF(COUNTIF(Maternelle,E204)=1,listes!$T$1,IF(COUNTIF(Elémentaire,E204)=1,listes!$U$1,IF(COUNTIF(Collège,E204)=1,listes!$V$1,IF(COUNTIF(Lycée,E204)=1,listes!$W$1,""))))</f>
        <v/>
      </c>
      <c r="L204" s="21" t="str">
        <f>IF(COUNTIF(Perralière,D204)=1,listes!$P$1,IF(COUNTIF(Buers,D204)=1,listes!$J$1,IF(COUNTIF(Charpennes,D204)=1,listes!$K$1,IF(COUNTIF(Cusset,D204)=1,listes!$L$1,IF(COUNTIF(Cyprien,D204)=1,listes!$M$1,IF(COUNTIF(Ferrandière,D204)=1,listes!$N$1,IF(COUNTIF(Gratteciel,D204)=1,listes!$O$1,IF(COUNTIF(Saintjean,D204)=1,listes!$Q$1,IF(COUNTIF(horsvilleurbanne,D204)=1,listes!$R$1,"")))))))))</f>
        <v/>
      </c>
      <c r="M204" s="21" t="str">
        <f t="shared" si="3"/>
        <v/>
      </c>
      <c r="N204" s="186" t="str">
        <f>T_sept_dec[[#This Row],[Etablissement accueillant]]&amp;"-"&amp;T_sept_dec[[#This Row],[Enseignant référent (Nom Prénom)]]</f>
        <v>-</v>
      </c>
      <c r="O204" s="21">
        <f>1/COUNTIF(T_sept_dec[CléEtablissement],T_sept_dec[[#This Row],[CléEtablissement]])</f>
        <v>4.1841004184100415E-3</v>
      </c>
      <c r="P20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4" s="186">
        <f>1/COUNTIF(T_sept_dec[CléRéseau-Rize horsmed],T_sept_dec[[#This Row],[CléRéseau-Rize horsmed]])</f>
        <v>4.1841004184100415E-3</v>
      </c>
      <c r="R204" s="186" t="str">
        <f>IF(COUNTIF(RIZE,T_sept_dec[[#This Row],[Secteur organisateur]]),"Rize_"&amp;T_sept_dec[[#This Row],[Enseignant référent (Nom Prénom)]],"")</f>
        <v/>
      </c>
      <c r="S204" s="186">
        <f>1/COUNTIF(T_sept_dec[CléRize],T_sept_dec[[#This Row],[CléRize]])</f>
        <v>4.048582995951417E-3</v>
      </c>
      <c r="T204" s="186" t="str">
        <f>IF(COUNTIF(Total,T_sept_dec[[#This Row],[Secteur organisateur]]),"Total_"&amp;T_sept_dec[[#This Row],[Enseignant référent (Nom Prénom)]],"")</f>
        <v/>
      </c>
      <c r="U204" s="186">
        <f>1/COUNTIF(T_sept_dec[cléTotal],T_sept_dec[[#This Row],[cléTotal]])</f>
        <v>4.1841004184100415E-3</v>
      </c>
    </row>
    <row r="205" spans="11:21">
      <c r="K205" s="21" t="str">
        <f>IF(COUNTIF(Maternelle,E205)=1,listes!$T$1,IF(COUNTIF(Elémentaire,E205)=1,listes!$U$1,IF(COUNTIF(Collège,E205)=1,listes!$V$1,IF(COUNTIF(Lycée,E205)=1,listes!$W$1,""))))</f>
        <v/>
      </c>
      <c r="L205" s="21" t="str">
        <f>IF(COUNTIF(Perralière,D205)=1,listes!$P$1,IF(COUNTIF(Buers,D205)=1,listes!$J$1,IF(COUNTIF(Charpennes,D205)=1,listes!$K$1,IF(COUNTIF(Cusset,D205)=1,listes!$L$1,IF(COUNTIF(Cyprien,D205)=1,listes!$M$1,IF(COUNTIF(Ferrandière,D205)=1,listes!$N$1,IF(COUNTIF(Gratteciel,D205)=1,listes!$O$1,IF(COUNTIF(Saintjean,D205)=1,listes!$Q$1,IF(COUNTIF(horsvilleurbanne,D205)=1,listes!$R$1,"")))))))))</f>
        <v/>
      </c>
      <c r="M205" s="21" t="str">
        <f t="shared" si="3"/>
        <v/>
      </c>
      <c r="N205" s="186" t="str">
        <f>T_sept_dec[[#This Row],[Etablissement accueillant]]&amp;"-"&amp;T_sept_dec[[#This Row],[Enseignant référent (Nom Prénom)]]</f>
        <v>-</v>
      </c>
      <c r="O205" s="21">
        <f>1/COUNTIF(T_sept_dec[CléEtablissement],T_sept_dec[[#This Row],[CléEtablissement]])</f>
        <v>4.1841004184100415E-3</v>
      </c>
      <c r="P20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5" s="186">
        <f>1/COUNTIF(T_sept_dec[CléRéseau-Rize horsmed],T_sept_dec[[#This Row],[CléRéseau-Rize horsmed]])</f>
        <v>4.1841004184100415E-3</v>
      </c>
      <c r="R205" s="186" t="str">
        <f>IF(COUNTIF(RIZE,T_sept_dec[[#This Row],[Secteur organisateur]]),"Rize_"&amp;T_sept_dec[[#This Row],[Enseignant référent (Nom Prénom)]],"")</f>
        <v/>
      </c>
      <c r="S205" s="186">
        <f>1/COUNTIF(T_sept_dec[CléRize],T_sept_dec[[#This Row],[CléRize]])</f>
        <v>4.048582995951417E-3</v>
      </c>
      <c r="T205" s="186" t="str">
        <f>IF(COUNTIF(Total,T_sept_dec[[#This Row],[Secteur organisateur]]),"Total_"&amp;T_sept_dec[[#This Row],[Enseignant référent (Nom Prénom)]],"")</f>
        <v/>
      </c>
      <c r="U205" s="186">
        <f>1/COUNTIF(T_sept_dec[cléTotal],T_sept_dec[[#This Row],[cléTotal]])</f>
        <v>4.1841004184100415E-3</v>
      </c>
    </row>
    <row r="206" spans="11:21">
      <c r="K206" s="21" t="str">
        <f>IF(COUNTIF(Maternelle,E206)=1,listes!$T$1,IF(COUNTIF(Elémentaire,E206)=1,listes!$U$1,IF(COUNTIF(Collège,E206)=1,listes!$V$1,IF(COUNTIF(Lycée,E206)=1,listes!$W$1,""))))</f>
        <v/>
      </c>
      <c r="L206" s="21" t="str">
        <f>IF(COUNTIF(Perralière,D206)=1,listes!$P$1,IF(COUNTIF(Buers,D206)=1,listes!$J$1,IF(COUNTIF(Charpennes,D206)=1,listes!$K$1,IF(COUNTIF(Cusset,D206)=1,listes!$L$1,IF(COUNTIF(Cyprien,D206)=1,listes!$M$1,IF(COUNTIF(Ferrandière,D206)=1,listes!$N$1,IF(COUNTIF(Gratteciel,D206)=1,listes!$O$1,IF(COUNTIF(Saintjean,D206)=1,listes!$Q$1,IF(COUNTIF(horsvilleurbanne,D206)=1,listes!$R$1,"")))))))))</f>
        <v/>
      </c>
      <c r="M206" s="21" t="str">
        <f t="shared" si="3"/>
        <v/>
      </c>
      <c r="N206" s="186" t="str">
        <f>T_sept_dec[[#This Row],[Etablissement accueillant]]&amp;"-"&amp;T_sept_dec[[#This Row],[Enseignant référent (Nom Prénom)]]</f>
        <v>-</v>
      </c>
      <c r="O206" s="21">
        <f>1/COUNTIF(T_sept_dec[CléEtablissement],T_sept_dec[[#This Row],[CléEtablissement]])</f>
        <v>4.1841004184100415E-3</v>
      </c>
      <c r="P20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6" s="186">
        <f>1/COUNTIF(T_sept_dec[CléRéseau-Rize horsmed],T_sept_dec[[#This Row],[CléRéseau-Rize horsmed]])</f>
        <v>4.1841004184100415E-3</v>
      </c>
      <c r="R206" s="186" t="str">
        <f>IF(COUNTIF(RIZE,T_sept_dec[[#This Row],[Secteur organisateur]]),"Rize_"&amp;T_sept_dec[[#This Row],[Enseignant référent (Nom Prénom)]],"")</f>
        <v/>
      </c>
      <c r="S206" s="186">
        <f>1/COUNTIF(T_sept_dec[CléRize],T_sept_dec[[#This Row],[CléRize]])</f>
        <v>4.048582995951417E-3</v>
      </c>
      <c r="T206" s="186" t="str">
        <f>IF(COUNTIF(Total,T_sept_dec[[#This Row],[Secteur organisateur]]),"Total_"&amp;T_sept_dec[[#This Row],[Enseignant référent (Nom Prénom)]],"")</f>
        <v/>
      </c>
      <c r="U206" s="186">
        <f>1/COUNTIF(T_sept_dec[cléTotal],T_sept_dec[[#This Row],[cléTotal]])</f>
        <v>4.1841004184100415E-3</v>
      </c>
    </row>
    <row r="207" spans="11:21">
      <c r="K207" s="21" t="str">
        <f>IF(COUNTIF(Maternelle,E207)=1,listes!$T$1,IF(COUNTIF(Elémentaire,E207)=1,listes!$U$1,IF(COUNTIF(Collège,E207)=1,listes!$V$1,IF(COUNTIF(Lycée,E207)=1,listes!$W$1,""))))</f>
        <v/>
      </c>
      <c r="L207" s="21" t="str">
        <f>IF(COUNTIF(Perralière,D207)=1,listes!$P$1,IF(COUNTIF(Buers,D207)=1,listes!$J$1,IF(COUNTIF(Charpennes,D207)=1,listes!$K$1,IF(COUNTIF(Cusset,D207)=1,listes!$L$1,IF(COUNTIF(Cyprien,D207)=1,listes!$M$1,IF(COUNTIF(Ferrandière,D207)=1,listes!$N$1,IF(COUNTIF(Gratteciel,D207)=1,listes!$O$1,IF(COUNTIF(Saintjean,D207)=1,listes!$Q$1,IF(COUNTIF(horsvilleurbanne,D207)=1,listes!$R$1,"")))))))))</f>
        <v/>
      </c>
      <c r="M207" s="21" t="str">
        <f t="shared" si="3"/>
        <v/>
      </c>
      <c r="N207" s="186" t="str">
        <f>T_sept_dec[[#This Row],[Etablissement accueillant]]&amp;"-"&amp;T_sept_dec[[#This Row],[Enseignant référent (Nom Prénom)]]</f>
        <v>-</v>
      </c>
      <c r="O207" s="21">
        <f>1/COUNTIF(T_sept_dec[CléEtablissement],T_sept_dec[[#This Row],[CléEtablissement]])</f>
        <v>4.1841004184100415E-3</v>
      </c>
      <c r="P20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7" s="186">
        <f>1/COUNTIF(T_sept_dec[CléRéseau-Rize horsmed],T_sept_dec[[#This Row],[CléRéseau-Rize horsmed]])</f>
        <v>4.1841004184100415E-3</v>
      </c>
      <c r="R207" s="186" t="str">
        <f>IF(COUNTIF(RIZE,T_sept_dec[[#This Row],[Secteur organisateur]]),"Rize_"&amp;T_sept_dec[[#This Row],[Enseignant référent (Nom Prénom)]],"")</f>
        <v/>
      </c>
      <c r="S207" s="186">
        <f>1/COUNTIF(T_sept_dec[CléRize],T_sept_dec[[#This Row],[CléRize]])</f>
        <v>4.048582995951417E-3</v>
      </c>
      <c r="T207" s="186" t="str">
        <f>IF(COUNTIF(Total,T_sept_dec[[#This Row],[Secteur organisateur]]),"Total_"&amp;T_sept_dec[[#This Row],[Enseignant référent (Nom Prénom)]],"")</f>
        <v/>
      </c>
      <c r="U207" s="186">
        <f>1/COUNTIF(T_sept_dec[cléTotal],T_sept_dec[[#This Row],[cléTotal]])</f>
        <v>4.1841004184100415E-3</v>
      </c>
    </row>
    <row r="208" spans="11:21">
      <c r="K208" s="21" t="str">
        <f>IF(COUNTIF(Maternelle,E208)=1,listes!$T$1,IF(COUNTIF(Elémentaire,E208)=1,listes!$U$1,IF(COUNTIF(Collège,E208)=1,listes!$V$1,IF(COUNTIF(Lycée,E208)=1,listes!$W$1,""))))</f>
        <v/>
      </c>
      <c r="L208" s="21" t="str">
        <f>IF(COUNTIF(Perralière,D208)=1,listes!$P$1,IF(COUNTIF(Buers,D208)=1,listes!$J$1,IF(COUNTIF(Charpennes,D208)=1,listes!$K$1,IF(COUNTIF(Cusset,D208)=1,listes!$L$1,IF(COUNTIF(Cyprien,D208)=1,listes!$M$1,IF(COUNTIF(Ferrandière,D208)=1,listes!$N$1,IF(COUNTIF(Gratteciel,D208)=1,listes!$O$1,IF(COUNTIF(Saintjean,D208)=1,listes!$Q$1,IF(COUNTIF(horsvilleurbanne,D208)=1,listes!$R$1,"")))))))))</f>
        <v/>
      </c>
      <c r="M208" s="21" t="str">
        <f t="shared" si="3"/>
        <v/>
      </c>
      <c r="N208" s="186" t="str">
        <f>T_sept_dec[[#This Row],[Etablissement accueillant]]&amp;"-"&amp;T_sept_dec[[#This Row],[Enseignant référent (Nom Prénom)]]</f>
        <v>-</v>
      </c>
      <c r="O208" s="21">
        <f>1/COUNTIF(T_sept_dec[CléEtablissement],T_sept_dec[[#This Row],[CléEtablissement]])</f>
        <v>4.1841004184100415E-3</v>
      </c>
      <c r="P20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8" s="186">
        <f>1/COUNTIF(T_sept_dec[CléRéseau-Rize horsmed],T_sept_dec[[#This Row],[CléRéseau-Rize horsmed]])</f>
        <v>4.1841004184100415E-3</v>
      </c>
      <c r="R208" s="186" t="str">
        <f>IF(COUNTIF(RIZE,T_sept_dec[[#This Row],[Secteur organisateur]]),"Rize_"&amp;T_sept_dec[[#This Row],[Enseignant référent (Nom Prénom)]],"")</f>
        <v/>
      </c>
      <c r="S208" s="186">
        <f>1/COUNTIF(T_sept_dec[CléRize],T_sept_dec[[#This Row],[CléRize]])</f>
        <v>4.048582995951417E-3</v>
      </c>
      <c r="T208" s="186" t="str">
        <f>IF(COUNTIF(Total,T_sept_dec[[#This Row],[Secteur organisateur]]),"Total_"&amp;T_sept_dec[[#This Row],[Enseignant référent (Nom Prénom)]],"")</f>
        <v/>
      </c>
      <c r="U208" s="186">
        <f>1/COUNTIF(T_sept_dec[cléTotal],T_sept_dec[[#This Row],[cléTotal]])</f>
        <v>4.1841004184100415E-3</v>
      </c>
    </row>
    <row r="209" spans="11:21">
      <c r="K209" s="21" t="str">
        <f>IF(COUNTIF(Maternelle,E209)=1,listes!$T$1,IF(COUNTIF(Elémentaire,E209)=1,listes!$U$1,IF(COUNTIF(Collège,E209)=1,listes!$V$1,IF(COUNTIF(Lycée,E209)=1,listes!$W$1,""))))</f>
        <v/>
      </c>
      <c r="L209" s="21" t="str">
        <f>IF(COUNTIF(Perralière,D209)=1,listes!$P$1,IF(COUNTIF(Buers,D209)=1,listes!$J$1,IF(COUNTIF(Charpennes,D209)=1,listes!$K$1,IF(COUNTIF(Cusset,D209)=1,listes!$L$1,IF(COUNTIF(Cyprien,D209)=1,listes!$M$1,IF(COUNTIF(Ferrandière,D209)=1,listes!$N$1,IF(COUNTIF(Gratteciel,D209)=1,listes!$O$1,IF(COUNTIF(Saintjean,D209)=1,listes!$Q$1,IF(COUNTIF(horsvilleurbanne,D209)=1,listes!$R$1,"")))))))))</f>
        <v/>
      </c>
      <c r="M209" s="21" t="str">
        <f t="shared" si="3"/>
        <v/>
      </c>
      <c r="N209" s="186" t="str">
        <f>T_sept_dec[[#This Row],[Etablissement accueillant]]&amp;"-"&amp;T_sept_dec[[#This Row],[Enseignant référent (Nom Prénom)]]</f>
        <v>-</v>
      </c>
      <c r="O209" s="21">
        <f>1/COUNTIF(T_sept_dec[CléEtablissement],T_sept_dec[[#This Row],[CléEtablissement]])</f>
        <v>4.1841004184100415E-3</v>
      </c>
      <c r="P20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09" s="186">
        <f>1/COUNTIF(T_sept_dec[CléRéseau-Rize horsmed],T_sept_dec[[#This Row],[CléRéseau-Rize horsmed]])</f>
        <v>4.1841004184100415E-3</v>
      </c>
      <c r="R209" s="186" t="str">
        <f>IF(COUNTIF(RIZE,T_sept_dec[[#This Row],[Secteur organisateur]]),"Rize_"&amp;T_sept_dec[[#This Row],[Enseignant référent (Nom Prénom)]],"")</f>
        <v/>
      </c>
      <c r="S209" s="186">
        <f>1/COUNTIF(T_sept_dec[CléRize],T_sept_dec[[#This Row],[CléRize]])</f>
        <v>4.048582995951417E-3</v>
      </c>
      <c r="T209" s="186" t="str">
        <f>IF(COUNTIF(Total,T_sept_dec[[#This Row],[Secteur organisateur]]),"Total_"&amp;T_sept_dec[[#This Row],[Enseignant référent (Nom Prénom)]],"")</f>
        <v/>
      </c>
      <c r="U209" s="186">
        <f>1/COUNTIF(T_sept_dec[cléTotal],T_sept_dec[[#This Row],[cléTotal]])</f>
        <v>4.1841004184100415E-3</v>
      </c>
    </row>
    <row r="210" spans="11:21">
      <c r="K210" s="21" t="str">
        <f>IF(COUNTIF(Maternelle,E210)=1,listes!$T$1,IF(COUNTIF(Elémentaire,E210)=1,listes!$U$1,IF(COUNTIF(Collège,E210)=1,listes!$V$1,IF(COUNTIF(Lycée,E210)=1,listes!$W$1,""))))</f>
        <v/>
      </c>
      <c r="L210" s="21" t="str">
        <f>IF(COUNTIF(Perralière,D210)=1,listes!$P$1,IF(COUNTIF(Buers,D210)=1,listes!$J$1,IF(COUNTIF(Charpennes,D210)=1,listes!$K$1,IF(COUNTIF(Cusset,D210)=1,listes!$L$1,IF(COUNTIF(Cyprien,D210)=1,listes!$M$1,IF(COUNTIF(Ferrandière,D210)=1,listes!$N$1,IF(COUNTIF(Gratteciel,D210)=1,listes!$O$1,IF(COUNTIF(Saintjean,D210)=1,listes!$Q$1,IF(COUNTIF(horsvilleurbanne,D210)=1,listes!$R$1,"")))))))))</f>
        <v/>
      </c>
      <c r="M210" s="21" t="str">
        <f t="shared" si="3"/>
        <v/>
      </c>
      <c r="N210" s="186" t="str">
        <f>T_sept_dec[[#This Row],[Etablissement accueillant]]&amp;"-"&amp;T_sept_dec[[#This Row],[Enseignant référent (Nom Prénom)]]</f>
        <v>-</v>
      </c>
      <c r="O210" s="21">
        <f>1/COUNTIF(T_sept_dec[CléEtablissement],T_sept_dec[[#This Row],[CléEtablissement]])</f>
        <v>4.1841004184100415E-3</v>
      </c>
      <c r="P21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0" s="186">
        <f>1/COUNTIF(T_sept_dec[CléRéseau-Rize horsmed],T_sept_dec[[#This Row],[CléRéseau-Rize horsmed]])</f>
        <v>4.1841004184100415E-3</v>
      </c>
      <c r="R210" s="186" t="str">
        <f>IF(COUNTIF(RIZE,T_sept_dec[[#This Row],[Secteur organisateur]]),"Rize_"&amp;T_sept_dec[[#This Row],[Enseignant référent (Nom Prénom)]],"")</f>
        <v/>
      </c>
      <c r="S210" s="186">
        <f>1/COUNTIF(T_sept_dec[CléRize],T_sept_dec[[#This Row],[CléRize]])</f>
        <v>4.048582995951417E-3</v>
      </c>
      <c r="T210" s="186" t="str">
        <f>IF(COUNTIF(Total,T_sept_dec[[#This Row],[Secteur organisateur]]),"Total_"&amp;T_sept_dec[[#This Row],[Enseignant référent (Nom Prénom)]],"")</f>
        <v/>
      </c>
      <c r="U210" s="186">
        <f>1/COUNTIF(T_sept_dec[cléTotal],T_sept_dec[[#This Row],[cléTotal]])</f>
        <v>4.1841004184100415E-3</v>
      </c>
    </row>
    <row r="211" spans="11:21">
      <c r="K211" s="21" t="str">
        <f>IF(COUNTIF(Maternelle,E211)=1,listes!$T$1,IF(COUNTIF(Elémentaire,E211)=1,listes!$U$1,IF(COUNTIF(Collège,E211)=1,listes!$V$1,IF(COUNTIF(Lycée,E211)=1,listes!$W$1,""))))</f>
        <v/>
      </c>
      <c r="L211" s="21" t="str">
        <f>IF(COUNTIF(Perralière,D211)=1,listes!$P$1,IF(COUNTIF(Buers,D211)=1,listes!$J$1,IF(COUNTIF(Charpennes,D211)=1,listes!$K$1,IF(COUNTIF(Cusset,D211)=1,listes!$L$1,IF(COUNTIF(Cyprien,D211)=1,listes!$M$1,IF(COUNTIF(Ferrandière,D211)=1,listes!$N$1,IF(COUNTIF(Gratteciel,D211)=1,listes!$O$1,IF(COUNTIF(Saintjean,D211)=1,listes!$Q$1,IF(COUNTIF(horsvilleurbanne,D211)=1,listes!$R$1,"")))))))))</f>
        <v/>
      </c>
      <c r="M211" s="21" t="str">
        <f t="shared" si="3"/>
        <v/>
      </c>
      <c r="N211" s="186" t="str">
        <f>T_sept_dec[[#This Row],[Etablissement accueillant]]&amp;"-"&amp;T_sept_dec[[#This Row],[Enseignant référent (Nom Prénom)]]</f>
        <v>-</v>
      </c>
      <c r="O211" s="21">
        <f>1/COUNTIF(T_sept_dec[CléEtablissement],T_sept_dec[[#This Row],[CléEtablissement]])</f>
        <v>4.1841004184100415E-3</v>
      </c>
      <c r="P21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1" s="186">
        <f>1/COUNTIF(T_sept_dec[CléRéseau-Rize horsmed],T_sept_dec[[#This Row],[CléRéseau-Rize horsmed]])</f>
        <v>4.1841004184100415E-3</v>
      </c>
      <c r="R211" s="186" t="str">
        <f>IF(COUNTIF(RIZE,T_sept_dec[[#This Row],[Secteur organisateur]]),"Rize_"&amp;T_sept_dec[[#This Row],[Enseignant référent (Nom Prénom)]],"")</f>
        <v/>
      </c>
      <c r="S211" s="186">
        <f>1/COUNTIF(T_sept_dec[CléRize],T_sept_dec[[#This Row],[CléRize]])</f>
        <v>4.048582995951417E-3</v>
      </c>
      <c r="T211" s="186" t="str">
        <f>IF(COUNTIF(Total,T_sept_dec[[#This Row],[Secteur organisateur]]),"Total_"&amp;T_sept_dec[[#This Row],[Enseignant référent (Nom Prénom)]],"")</f>
        <v/>
      </c>
      <c r="U211" s="186">
        <f>1/COUNTIF(T_sept_dec[cléTotal],T_sept_dec[[#This Row],[cléTotal]])</f>
        <v>4.1841004184100415E-3</v>
      </c>
    </row>
    <row r="212" spans="11:21">
      <c r="K212" s="21" t="str">
        <f>IF(COUNTIF(Maternelle,E212)=1,listes!$T$1,IF(COUNTIF(Elémentaire,E212)=1,listes!$U$1,IF(COUNTIF(Collège,E212)=1,listes!$V$1,IF(COUNTIF(Lycée,E212)=1,listes!$W$1,""))))</f>
        <v/>
      </c>
      <c r="L212" s="21" t="str">
        <f>IF(COUNTIF(Perralière,D212)=1,listes!$P$1,IF(COUNTIF(Buers,D212)=1,listes!$J$1,IF(COUNTIF(Charpennes,D212)=1,listes!$K$1,IF(COUNTIF(Cusset,D212)=1,listes!$L$1,IF(COUNTIF(Cyprien,D212)=1,listes!$M$1,IF(COUNTIF(Ferrandière,D212)=1,listes!$N$1,IF(COUNTIF(Gratteciel,D212)=1,listes!$O$1,IF(COUNTIF(Saintjean,D212)=1,listes!$Q$1,IF(COUNTIF(horsvilleurbanne,D212)=1,listes!$R$1,"")))))))))</f>
        <v/>
      </c>
      <c r="M212" s="21" t="str">
        <f t="shared" si="3"/>
        <v/>
      </c>
      <c r="N212" s="186" t="str">
        <f>T_sept_dec[[#This Row],[Etablissement accueillant]]&amp;"-"&amp;T_sept_dec[[#This Row],[Enseignant référent (Nom Prénom)]]</f>
        <v>-</v>
      </c>
      <c r="O212" s="21">
        <f>1/COUNTIF(T_sept_dec[CléEtablissement],T_sept_dec[[#This Row],[CléEtablissement]])</f>
        <v>4.1841004184100415E-3</v>
      </c>
      <c r="P21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2" s="186">
        <f>1/COUNTIF(T_sept_dec[CléRéseau-Rize horsmed],T_sept_dec[[#This Row],[CléRéseau-Rize horsmed]])</f>
        <v>4.1841004184100415E-3</v>
      </c>
      <c r="R212" s="186" t="str">
        <f>IF(COUNTIF(RIZE,T_sept_dec[[#This Row],[Secteur organisateur]]),"Rize_"&amp;T_sept_dec[[#This Row],[Enseignant référent (Nom Prénom)]],"")</f>
        <v/>
      </c>
      <c r="S212" s="186">
        <f>1/COUNTIF(T_sept_dec[CléRize],T_sept_dec[[#This Row],[CléRize]])</f>
        <v>4.048582995951417E-3</v>
      </c>
      <c r="T212" s="186" t="str">
        <f>IF(COUNTIF(Total,T_sept_dec[[#This Row],[Secteur organisateur]]),"Total_"&amp;T_sept_dec[[#This Row],[Enseignant référent (Nom Prénom)]],"")</f>
        <v/>
      </c>
      <c r="U212" s="186">
        <f>1/COUNTIF(T_sept_dec[cléTotal],T_sept_dec[[#This Row],[cléTotal]])</f>
        <v>4.1841004184100415E-3</v>
      </c>
    </row>
    <row r="213" spans="11:21">
      <c r="K213" s="21" t="str">
        <f>IF(COUNTIF(Maternelle,E213)=1,listes!$T$1,IF(COUNTIF(Elémentaire,E213)=1,listes!$U$1,IF(COUNTIF(Collège,E213)=1,listes!$V$1,IF(COUNTIF(Lycée,E213)=1,listes!$W$1,""))))</f>
        <v/>
      </c>
      <c r="L213" s="21" t="str">
        <f>IF(COUNTIF(Perralière,D213)=1,listes!$P$1,IF(COUNTIF(Buers,D213)=1,listes!$J$1,IF(COUNTIF(Charpennes,D213)=1,listes!$K$1,IF(COUNTIF(Cusset,D213)=1,listes!$L$1,IF(COUNTIF(Cyprien,D213)=1,listes!$M$1,IF(COUNTIF(Ferrandière,D213)=1,listes!$N$1,IF(COUNTIF(Gratteciel,D213)=1,listes!$O$1,IF(COUNTIF(Saintjean,D213)=1,listes!$Q$1,IF(COUNTIF(horsvilleurbanne,D213)=1,listes!$R$1,"")))))))))</f>
        <v/>
      </c>
      <c r="M213" s="21" t="str">
        <f t="shared" si="3"/>
        <v/>
      </c>
      <c r="N213" s="186" t="str">
        <f>T_sept_dec[[#This Row],[Etablissement accueillant]]&amp;"-"&amp;T_sept_dec[[#This Row],[Enseignant référent (Nom Prénom)]]</f>
        <v>-</v>
      </c>
      <c r="O213" s="21">
        <f>1/COUNTIF(T_sept_dec[CléEtablissement],T_sept_dec[[#This Row],[CléEtablissement]])</f>
        <v>4.1841004184100415E-3</v>
      </c>
      <c r="P21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3" s="186">
        <f>1/COUNTIF(T_sept_dec[CléRéseau-Rize horsmed],T_sept_dec[[#This Row],[CléRéseau-Rize horsmed]])</f>
        <v>4.1841004184100415E-3</v>
      </c>
      <c r="R213" s="186" t="str">
        <f>IF(COUNTIF(RIZE,T_sept_dec[[#This Row],[Secteur organisateur]]),"Rize_"&amp;T_sept_dec[[#This Row],[Enseignant référent (Nom Prénom)]],"")</f>
        <v/>
      </c>
      <c r="S213" s="186">
        <f>1/COUNTIF(T_sept_dec[CléRize],T_sept_dec[[#This Row],[CléRize]])</f>
        <v>4.048582995951417E-3</v>
      </c>
      <c r="T213" s="186" t="str">
        <f>IF(COUNTIF(Total,T_sept_dec[[#This Row],[Secteur organisateur]]),"Total_"&amp;T_sept_dec[[#This Row],[Enseignant référent (Nom Prénom)]],"")</f>
        <v/>
      </c>
      <c r="U213" s="186">
        <f>1/COUNTIF(T_sept_dec[cléTotal],T_sept_dec[[#This Row],[cléTotal]])</f>
        <v>4.1841004184100415E-3</v>
      </c>
    </row>
    <row r="214" spans="11:21">
      <c r="K214" s="21" t="str">
        <f>IF(COUNTIF(Maternelle,E214)=1,listes!$T$1,IF(COUNTIF(Elémentaire,E214)=1,listes!$U$1,IF(COUNTIF(Collège,E214)=1,listes!$V$1,IF(COUNTIF(Lycée,E214)=1,listes!$W$1,""))))</f>
        <v/>
      </c>
      <c r="L214" s="21" t="str">
        <f>IF(COUNTIF(Perralière,D214)=1,listes!$P$1,IF(COUNTIF(Buers,D214)=1,listes!$J$1,IF(COUNTIF(Charpennes,D214)=1,listes!$K$1,IF(COUNTIF(Cusset,D214)=1,listes!$L$1,IF(COUNTIF(Cyprien,D214)=1,listes!$M$1,IF(COUNTIF(Ferrandière,D214)=1,listes!$N$1,IF(COUNTIF(Gratteciel,D214)=1,listes!$O$1,IF(COUNTIF(Saintjean,D214)=1,listes!$Q$1,IF(COUNTIF(horsvilleurbanne,D214)=1,listes!$R$1,"")))))))))</f>
        <v/>
      </c>
      <c r="M214" s="21" t="str">
        <f t="shared" si="3"/>
        <v/>
      </c>
      <c r="N214" s="186" t="str">
        <f>T_sept_dec[[#This Row],[Etablissement accueillant]]&amp;"-"&amp;T_sept_dec[[#This Row],[Enseignant référent (Nom Prénom)]]</f>
        <v>-</v>
      </c>
      <c r="O214" s="21">
        <f>1/COUNTIF(T_sept_dec[CléEtablissement],T_sept_dec[[#This Row],[CléEtablissement]])</f>
        <v>4.1841004184100415E-3</v>
      </c>
      <c r="P21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4" s="186">
        <f>1/COUNTIF(T_sept_dec[CléRéseau-Rize horsmed],T_sept_dec[[#This Row],[CléRéseau-Rize horsmed]])</f>
        <v>4.1841004184100415E-3</v>
      </c>
      <c r="R214" s="186" t="str">
        <f>IF(COUNTIF(RIZE,T_sept_dec[[#This Row],[Secteur organisateur]]),"Rize_"&amp;T_sept_dec[[#This Row],[Enseignant référent (Nom Prénom)]],"")</f>
        <v/>
      </c>
      <c r="S214" s="186">
        <f>1/COUNTIF(T_sept_dec[CléRize],T_sept_dec[[#This Row],[CléRize]])</f>
        <v>4.048582995951417E-3</v>
      </c>
      <c r="T214" s="186" t="str">
        <f>IF(COUNTIF(Total,T_sept_dec[[#This Row],[Secteur organisateur]]),"Total_"&amp;T_sept_dec[[#This Row],[Enseignant référent (Nom Prénom)]],"")</f>
        <v/>
      </c>
      <c r="U214" s="186">
        <f>1/COUNTIF(T_sept_dec[cléTotal],T_sept_dec[[#This Row],[cléTotal]])</f>
        <v>4.1841004184100415E-3</v>
      </c>
    </row>
    <row r="215" spans="11:21">
      <c r="K215" s="21" t="str">
        <f>IF(COUNTIF(Maternelle,E215)=1,listes!$T$1,IF(COUNTIF(Elémentaire,E215)=1,listes!$U$1,IF(COUNTIF(Collège,E215)=1,listes!$V$1,IF(COUNTIF(Lycée,E215)=1,listes!$W$1,""))))</f>
        <v/>
      </c>
      <c r="L215" s="21" t="str">
        <f>IF(COUNTIF(Perralière,D215)=1,listes!$P$1,IF(COUNTIF(Buers,D215)=1,listes!$J$1,IF(COUNTIF(Charpennes,D215)=1,listes!$K$1,IF(COUNTIF(Cusset,D215)=1,listes!$L$1,IF(COUNTIF(Cyprien,D215)=1,listes!$M$1,IF(COUNTIF(Ferrandière,D215)=1,listes!$N$1,IF(COUNTIF(Gratteciel,D215)=1,listes!$O$1,IF(COUNTIF(Saintjean,D215)=1,listes!$Q$1,IF(COUNTIF(horsvilleurbanne,D215)=1,listes!$R$1,"")))))))))</f>
        <v/>
      </c>
      <c r="M215" s="21" t="str">
        <f t="shared" si="3"/>
        <v/>
      </c>
      <c r="N215" s="186" t="str">
        <f>T_sept_dec[[#This Row],[Etablissement accueillant]]&amp;"-"&amp;T_sept_dec[[#This Row],[Enseignant référent (Nom Prénom)]]</f>
        <v>-</v>
      </c>
      <c r="O215" s="21">
        <f>1/COUNTIF(T_sept_dec[CléEtablissement],T_sept_dec[[#This Row],[CléEtablissement]])</f>
        <v>4.1841004184100415E-3</v>
      </c>
      <c r="P21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5" s="186">
        <f>1/COUNTIF(T_sept_dec[CléRéseau-Rize horsmed],T_sept_dec[[#This Row],[CléRéseau-Rize horsmed]])</f>
        <v>4.1841004184100415E-3</v>
      </c>
      <c r="R215" s="186" t="str">
        <f>IF(COUNTIF(RIZE,T_sept_dec[[#This Row],[Secteur organisateur]]),"Rize_"&amp;T_sept_dec[[#This Row],[Enseignant référent (Nom Prénom)]],"")</f>
        <v/>
      </c>
      <c r="S215" s="186">
        <f>1/COUNTIF(T_sept_dec[CléRize],T_sept_dec[[#This Row],[CléRize]])</f>
        <v>4.048582995951417E-3</v>
      </c>
      <c r="T215" s="186" t="str">
        <f>IF(COUNTIF(Total,T_sept_dec[[#This Row],[Secteur organisateur]]),"Total_"&amp;T_sept_dec[[#This Row],[Enseignant référent (Nom Prénom)]],"")</f>
        <v/>
      </c>
      <c r="U215" s="186">
        <f>1/COUNTIF(T_sept_dec[cléTotal],T_sept_dec[[#This Row],[cléTotal]])</f>
        <v>4.1841004184100415E-3</v>
      </c>
    </row>
    <row r="216" spans="11:21">
      <c r="K216" s="21" t="str">
        <f>IF(COUNTIF(Maternelle,E216)=1,listes!$T$1,IF(COUNTIF(Elémentaire,E216)=1,listes!$U$1,IF(COUNTIF(Collège,E216)=1,listes!$V$1,IF(COUNTIF(Lycée,E216)=1,listes!$W$1,""))))</f>
        <v/>
      </c>
      <c r="L216" s="21" t="str">
        <f>IF(COUNTIF(Perralière,D216)=1,listes!$P$1,IF(COUNTIF(Buers,D216)=1,listes!$J$1,IF(COUNTIF(Charpennes,D216)=1,listes!$K$1,IF(COUNTIF(Cusset,D216)=1,listes!$L$1,IF(COUNTIF(Cyprien,D216)=1,listes!$M$1,IF(COUNTIF(Ferrandière,D216)=1,listes!$N$1,IF(COUNTIF(Gratteciel,D216)=1,listes!$O$1,IF(COUNTIF(Saintjean,D216)=1,listes!$Q$1,IF(COUNTIF(horsvilleurbanne,D216)=1,listes!$R$1,"")))))))))</f>
        <v/>
      </c>
      <c r="M216" s="21" t="str">
        <f t="shared" si="3"/>
        <v/>
      </c>
      <c r="N216" s="186" t="str">
        <f>T_sept_dec[[#This Row],[Etablissement accueillant]]&amp;"-"&amp;T_sept_dec[[#This Row],[Enseignant référent (Nom Prénom)]]</f>
        <v>-</v>
      </c>
      <c r="O216" s="21">
        <f>1/COUNTIF(T_sept_dec[CléEtablissement],T_sept_dec[[#This Row],[CléEtablissement]])</f>
        <v>4.1841004184100415E-3</v>
      </c>
      <c r="P21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6" s="186">
        <f>1/COUNTIF(T_sept_dec[CléRéseau-Rize horsmed],T_sept_dec[[#This Row],[CléRéseau-Rize horsmed]])</f>
        <v>4.1841004184100415E-3</v>
      </c>
      <c r="R216" s="186" t="str">
        <f>IF(COUNTIF(RIZE,T_sept_dec[[#This Row],[Secteur organisateur]]),"Rize_"&amp;T_sept_dec[[#This Row],[Enseignant référent (Nom Prénom)]],"")</f>
        <v/>
      </c>
      <c r="S216" s="186">
        <f>1/COUNTIF(T_sept_dec[CléRize],T_sept_dec[[#This Row],[CléRize]])</f>
        <v>4.048582995951417E-3</v>
      </c>
      <c r="T216" s="186" t="str">
        <f>IF(COUNTIF(Total,T_sept_dec[[#This Row],[Secteur organisateur]]),"Total_"&amp;T_sept_dec[[#This Row],[Enseignant référent (Nom Prénom)]],"")</f>
        <v/>
      </c>
      <c r="U216" s="186">
        <f>1/COUNTIF(T_sept_dec[cléTotal],T_sept_dec[[#This Row],[cléTotal]])</f>
        <v>4.1841004184100415E-3</v>
      </c>
    </row>
    <row r="217" spans="11:21">
      <c r="K217" s="21" t="str">
        <f>IF(COUNTIF(Maternelle,E217)=1,listes!$T$1,IF(COUNTIF(Elémentaire,E217)=1,listes!$U$1,IF(COUNTIF(Collège,E217)=1,listes!$V$1,IF(COUNTIF(Lycée,E217)=1,listes!$W$1,""))))</f>
        <v/>
      </c>
      <c r="L217" s="21" t="str">
        <f>IF(COUNTIF(Perralière,D217)=1,listes!$P$1,IF(COUNTIF(Buers,D217)=1,listes!$J$1,IF(COUNTIF(Charpennes,D217)=1,listes!$K$1,IF(COUNTIF(Cusset,D217)=1,listes!$L$1,IF(COUNTIF(Cyprien,D217)=1,listes!$M$1,IF(COUNTIF(Ferrandière,D217)=1,listes!$N$1,IF(COUNTIF(Gratteciel,D217)=1,listes!$O$1,IF(COUNTIF(Saintjean,D217)=1,listes!$Q$1,IF(COUNTIF(horsvilleurbanne,D217)=1,listes!$R$1,"")))))))))</f>
        <v/>
      </c>
      <c r="M217" s="21" t="str">
        <f t="shared" si="3"/>
        <v/>
      </c>
      <c r="N217" s="186" t="str">
        <f>T_sept_dec[[#This Row],[Etablissement accueillant]]&amp;"-"&amp;T_sept_dec[[#This Row],[Enseignant référent (Nom Prénom)]]</f>
        <v>-</v>
      </c>
      <c r="O217" s="21">
        <f>1/COUNTIF(T_sept_dec[CléEtablissement],T_sept_dec[[#This Row],[CléEtablissement]])</f>
        <v>4.1841004184100415E-3</v>
      </c>
      <c r="P21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7" s="186">
        <f>1/COUNTIF(T_sept_dec[CléRéseau-Rize horsmed],T_sept_dec[[#This Row],[CléRéseau-Rize horsmed]])</f>
        <v>4.1841004184100415E-3</v>
      </c>
      <c r="R217" s="186" t="str">
        <f>IF(COUNTIF(RIZE,T_sept_dec[[#This Row],[Secteur organisateur]]),"Rize_"&amp;T_sept_dec[[#This Row],[Enseignant référent (Nom Prénom)]],"")</f>
        <v/>
      </c>
      <c r="S217" s="186">
        <f>1/COUNTIF(T_sept_dec[CléRize],T_sept_dec[[#This Row],[CléRize]])</f>
        <v>4.048582995951417E-3</v>
      </c>
      <c r="T217" s="186" t="str">
        <f>IF(COUNTIF(Total,T_sept_dec[[#This Row],[Secteur organisateur]]),"Total_"&amp;T_sept_dec[[#This Row],[Enseignant référent (Nom Prénom)]],"")</f>
        <v/>
      </c>
      <c r="U217" s="186">
        <f>1/COUNTIF(T_sept_dec[cléTotal],T_sept_dec[[#This Row],[cléTotal]])</f>
        <v>4.1841004184100415E-3</v>
      </c>
    </row>
    <row r="218" spans="11:21">
      <c r="K218" s="21" t="str">
        <f>IF(COUNTIF(Maternelle,E218)=1,listes!$T$1,IF(COUNTIF(Elémentaire,E218)=1,listes!$U$1,IF(COUNTIF(Collège,E218)=1,listes!$V$1,IF(COUNTIF(Lycée,E218)=1,listes!$W$1,""))))</f>
        <v/>
      </c>
      <c r="L218" s="21" t="str">
        <f>IF(COUNTIF(Perralière,D218)=1,listes!$P$1,IF(COUNTIF(Buers,D218)=1,listes!$J$1,IF(COUNTIF(Charpennes,D218)=1,listes!$K$1,IF(COUNTIF(Cusset,D218)=1,listes!$L$1,IF(COUNTIF(Cyprien,D218)=1,listes!$M$1,IF(COUNTIF(Ferrandière,D218)=1,listes!$N$1,IF(COUNTIF(Gratteciel,D218)=1,listes!$O$1,IF(COUNTIF(Saintjean,D218)=1,listes!$Q$1,IF(COUNTIF(horsvilleurbanne,D218)=1,listes!$R$1,"")))))))))</f>
        <v/>
      </c>
      <c r="M218" s="21" t="str">
        <f t="shared" si="3"/>
        <v/>
      </c>
      <c r="N218" s="186" t="str">
        <f>T_sept_dec[[#This Row],[Etablissement accueillant]]&amp;"-"&amp;T_sept_dec[[#This Row],[Enseignant référent (Nom Prénom)]]</f>
        <v>-</v>
      </c>
      <c r="O218" s="21">
        <f>1/COUNTIF(T_sept_dec[CléEtablissement],T_sept_dec[[#This Row],[CléEtablissement]])</f>
        <v>4.1841004184100415E-3</v>
      </c>
      <c r="P21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8" s="186">
        <f>1/COUNTIF(T_sept_dec[CléRéseau-Rize horsmed],T_sept_dec[[#This Row],[CléRéseau-Rize horsmed]])</f>
        <v>4.1841004184100415E-3</v>
      </c>
      <c r="R218" s="186" t="str">
        <f>IF(COUNTIF(RIZE,T_sept_dec[[#This Row],[Secteur organisateur]]),"Rize_"&amp;T_sept_dec[[#This Row],[Enseignant référent (Nom Prénom)]],"")</f>
        <v/>
      </c>
      <c r="S218" s="186">
        <f>1/COUNTIF(T_sept_dec[CléRize],T_sept_dec[[#This Row],[CléRize]])</f>
        <v>4.048582995951417E-3</v>
      </c>
      <c r="T218" s="186" t="str">
        <f>IF(COUNTIF(Total,T_sept_dec[[#This Row],[Secteur organisateur]]),"Total_"&amp;T_sept_dec[[#This Row],[Enseignant référent (Nom Prénom)]],"")</f>
        <v/>
      </c>
      <c r="U218" s="186">
        <f>1/COUNTIF(T_sept_dec[cléTotal],T_sept_dec[[#This Row],[cléTotal]])</f>
        <v>4.1841004184100415E-3</v>
      </c>
    </row>
    <row r="219" spans="11:21">
      <c r="K219" s="21" t="str">
        <f>IF(COUNTIF(Maternelle,E219)=1,listes!$T$1,IF(COUNTIF(Elémentaire,E219)=1,listes!$U$1,IF(COUNTIF(Collège,E219)=1,listes!$V$1,IF(COUNTIF(Lycée,E219)=1,listes!$W$1,""))))</f>
        <v/>
      </c>
      <c r="L219" s="21" t="str">
        <f>IF(COUNTIF(Perralière,D219)=1,listes!$P$1,IF(COUNTIF(Buers,D219)=1,listes!$J$1,IF(COUNTIF(Charpennes,D219)=1,listes!$K$1,IF(COUNTIF(Cusset,D219)=1,listes!$L$1,IF(COUNTIF(Cyprien,D219)=1,listes!$M$1,IF(COUNTIF(Ferrandière,D219)=1,listes!$N$1,IF(COUNTIF(Gratteciel,D219)=1,listes!$O$1,IF(COUNTIF(Saintjean,D219)=1,listes!$Q$1,IF(COUNTIF(horsvilleurbanne,D219)=1,listes!$R$1,"")))))))))</f>
        <v/>
      </c>
      <c r="M219" s="21" t="str">
        <f t="shared" si="3"/>
        <v/>
      </c>
      <c r="N219" s="186" t="str">
        <f>T_sept_dec[[#This Row],[Etablissement accueillant]]&amp;"-"&amp;T_sept_dec[[#This Row],[Enseignant référent (Nom Prénom)]]</f>
        <v>-</v>
      </c>
      <c r="O219" s="21">
        <f>1/COUNTIF(T_sept_dec[CléEtablissement],T_sept_dec[[#This Row],[CléEtablissement]])</f>
        <v>4.1841004184100415E-3</v>
      </c>
      <c r="P21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19" s="186">
        <f>1/COUNTIF(T_sept_dec[CléRéseau-Rize horsmed],T_sept_dec[[#This Row],[CléRéseau-Rize horsmed]])</f>
        <v>4.1841004184100415E-3</v>
      </c>
      <c r="R219" s="186" t="str">
        <f>IF(COUNTIF(RIZE,T_sept_dec[[#This Row],[Secteur organisateur]]),"Rize_"&amp;T_sept_dec[[#This Row],[Enseignant référent (Nom Prénom)]],"")</f>
        <v/>
      </c>
      <c r="S219" s="186">
        <f>1/COUNTIF(T_sept_dec[CléRize],T_sept_dec[[#This Row],[CléRize]])</f>
        <v>4.048582995951417E-3</v>
      </c>
      <c r="T219" s="186" t="str">
        <f>IF(COUNTIF(Total,T_sept_dec[[#This Row],[Secteur organisateur]]),"Total_"&amp;T_sept_dec[[#This Row],[Enseignant référent (Nom Prénom)]],"")</f>
        <v/>
      </c>
      <c r="U219" s="186">
        <f>1/COUNTIF(T_sept_dec[cléTotal],T_sept_dec[[#This Row],[cléTotal]])</f>
        <v>4.1841004184100415E-3</v>
      </c>
    </row>
    <row r="220" spans="11:21">
      <c r="K220" s="21" t="str">
        <f>IF(COUNTIF(Maternelle,E220)=1,listes!$T$1,IF(COUNTIF(Elémentaire,E220)=1,listes!$U$1,IF(COUNTIF(Collège,E220)=1,listes!$V$1,IF(COUNTIF(Lycée,E220)=1,listes!$W$1,""))))</f>
        <v/>
      </c>
      <c r="L220" s="21" t="str">
        <f>IF(COUNTIF(Perralière,D220)=1,listes!$P$1,IF(COUNTIF(Buers,D220)=1,listes!$J$1,IF(COUNTIF(Charpennes,D220)=1,listes!$K$1,IF(COUNTIF(Cusset,D220)=1,listes!$L$1,IF(COUNTIF(Cyprien,D220)=1,listes!$M$1,IF(COUNTIF(Ferrandière,D220)=1,listes!$N$1,IF(COUNTIF(Gratteciel,D220)=1,listes!$O$1,IF(COUNTIF(Saintjean,D220)=1,listes!$Q$1,IF(COUNTIF(horsvilleurbanne,D220)=1,listes!$R$1,"")))))))))</f>
        <v/>
      </c>
      <c r="M220" s="21" t="str">
        <f t="shared" si="3"/>
        <v/>
      </c>
      <c r="N220" s="186" t="str">
        <f>T_sept_dec[[#This Row],[Etablissement accueillant]]&amp;"-"&amp;T_sept_dec[[#This Row],[Enseignant référent (Nom Prénom)]]</f>
        <v>-</v>
      </c>
      <c r="O220" s="21">
        <f>1/COUNTIF(T_sept_dec[CléEtablissement],T_sept_dec[[#This Row],[CléEtablissement]])</f>
        <v>4.1841004184100415E-3</v>
      </c>
      <c r="P22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0" s="186">
        <f>1/COUNTIF(T_sept_dec[CléRéseau-Rize horsmed],T_sept_dec[[#This Row],[CléRéseau-Rize horsmed]])</f>
        <v>4.1841004184100415E-3</v>
      </c>
      <c r="R220" s="186" t="str">
        <f>IF(COUNTIF(RIZE,T_sept_dec[[#This Row],[Secteur organisateur]]),"Rize_"&amp;T_sept_dec[[#This Row],[Enseignant référent (Nom Prénom)]],"")</f>
        <v/>
      </c>
      <c r="S220" s="186">
        <f>1/COUNTIF(T_sept_dec[CléRize],T_sept_dec[[#This Row],[CléRize]])</f>
        <v>4.048582995951417E-3</v>
      </c>
      <c r="T220" s="186" t="str">
        <f>IF(COUNTIF(Total,T_sept_dec[[#This Row],[Secteur organisateur]]),"Total_"&amp;T_sept_dec[[#This Row],[Enseignant référent (Nom Prénom)]],"")</f>
        <v/>
      </c>
      <c r="U220" s="186">
        <f>1/COUNTIF(T_sept_dec[cléTotal],T_sept_dec[[#This Row],[cléTotal]])</f>
        <v>4.1841004184100415E-3</v>
      </c>
    </row>
    <row r="221" spans="11:21">
      <c r="K221" s="21" t="str">
        <f>IF(COUNTIF(Maternelle,E221)=1,listes!$T$1,IF(COUNTIF(Elémentaire,E221)=1,listes!$U$1,IF(COUNTIF(Collège,E221)=1,listes!$V$1,IF(COUNTIF(Lycée,E221)=1,listes!$W$1,""))))</f>
        <v/>
      </c>
      <c r="L221" s="21" t="str">
        <f>IF(COUNTIF(Perralière,D221)=1,listes!$P$1,IF(COUNTIF(Buers,D221)=1,listes!$J$1,IF(COUNTIF(Charpennes,D221)=1,listes!$K$1,IF(COUNTIF(Cusset,D221)=1,listes!$L$1,IF(COUNTIF(Cyprien,D221)=1,listes!$M$1,IF(COUNTIF(Ferrandière,D221)=1,listes!$N$1,IF(COUNTIF(Gratteciel,D221)=1,listes!$O$1,IF(COUNTIF(Saintjean,D221)=1,listes!$Q$1,IF(COUNTIF(horsvilleurbanne,D221)=1,listes!$R$1,"")))))))))</f>
        <v/>
      </c>
      <c r="M221" s="21" t="str">
        <f t="shared" si="3"/>
        <v/>
      </c>
      <c r="N221" s="186" t="str">
        <f>T_sept_dec[[#This Row],[Etablissement accueillant]]&amp;"-"&amp;T_sept_dec[[#This Row],[Enseignant référent (Nom Prénom)]]</f>
        <v>-</v>
      </c>
      <c r="O221" s="21">
        <f>1/COUNTIF(T_sept_dec[CléEtablissement],T_sept_dec[[#This Row],[CléEtablissement]])</f>
        <v>4.1841004184100415E-3</v>
      </c>
      <c r="P22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1" s="186">
        <f>1/COUNTIF(T_sept_dec[CléRéseau-Rize horsmed],T_sept_dec[[#This Row],[CléRéseau-Rize horsmed]])</f>
        <v>4.1841004184100415E-3</v>
      </c>
      <c r="R221" s="186" t="str">
        <f>IF(COUNTIF(RIZE,T_sept_dec[[#This Row],[Secteur organisateur]]),"Rize_"&amp;T_sept_dec[[#This Row],[Enseignant référent (Nom Prénom)]],"")</f>
        <v/>
      </c>
      <c r="S221" s="186">
        <f>1/COUNTIF(T_sept_dec[CléRize],T_sept_dec[[#This Row],[CléRize]])</f>
        <v>4.048582995951417E-3</v>
      </c>
      <c r="T221" s="186" t="str">
        <f>IF(COUNTIF(Total,T_sept_dec[[#This Row],[Secteur organisateur]]),"Total_"&amp;T_sept_dec[[#This Row],[Enseignant référent (Nom Prénom)]],"")</f>
        <v/>
      </c>
      <c r="U221" s="186">
        <f>1/COUNTIF(T_sept_dec[cléTotal],T_sept_dec[[#This Row],[cléTotal]])</f>
        <v>4.1841004184100415E-3</v>
      </c>
    </row>
    <row r="222" spans="11:21">
      <c r="K222" s="21" t="str">
        <f>IF(COUNTIF(Maternelle,E222)=1,listes!$T$1,IF(COUNTIF(Elémentaire,E222)=1,listes!$U$1,IF(COUNTIF(Collège,E222)=1,listes!$V$1,IF(COUNTIF(Lycée,E222)=1,listes!$W$1,""))))</f>
        <v/>
      </c>
      <c r="L222" s="21" t="str">
        <f>IF(COUNTIF(Perralière,D222)=1,listes!$P$1,IF(COUNTIF(Buers,D222)=1,listes!$J$1,IF(COUNTIF(Charpennes,D222)=1,listes!$K$1,IF(COUNTIF(Cusset,D222)=1,listes!$L$1,IF(COUNTIF(Cyprien,D222)=1,listes!$M$1,IF(COUNTIF(Ferrandière,D222)=1,listes!$N$1,IF(COUNTIF(Gratteciel,D222)=1,listes!$O$1,IF(COUNTIF(Saintjean,D222)=1,listes!$Q$1,IF(COUNTIF(horsvilleurbanne,D222)=1,listes!$R$1,"")))))))))</f>
        <v/>
      </c>
      <c r="M222" s="21" t="str">
        <f t="shared" si="3"/>
        <v/>
      </c>
      <c r="N222" s="186" t="str">
        <f>T_sept_dec[[#This Row],[Etablissement accueillant]]&amp;"-"&amp;T_sept_dec[[#This Row],[Enseignant référent (Nom Prénom)]]</f>
        <v>-</v>
      </c>
      <c r="O222" s="21">
        <f>1/COUNTIF(T_sept_dec[CléEtablissement],T_sept_dec[[#This Row],[CléEtablissement]])</f>
        <v>4.1841004184100415E-3</v>
      </c>
      <c r="P22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2" s="186">
        <f>1/COUNTIF(T_sept_dec[CléRéseau-Rize horsmed],T_sept_dec[[#This Row],[CléRéseau-Rize horsmed]])</f>
        <v>4.1841004184100415E-3</v>
      </c>
      <c r="R222" s="186" t="str">
        <f>IF(COUNTIF(RIZE,T_sept_dec[[#This Row],[Secteur organisateur]]),"Rize_"&amp;T_sept_dec[[#This Row],[Enseignant référent (Nom Prénom)]],"")</f>
        <v/>
      </c>
      <c r="S222" s="186">
        <f>1/COUNTIF(T_sept_dec[CléRize],T_sept_dec[[#This Row],[CléRize]])</f>
        <v>4.048582995951417E-3</v>
      </c>
      <c r="T222" s="186" t="str">
        <f>IF(COUNTIF(Total,T_sept_dec[[#This Row],[Secteur organisateur]]),"Total_"&amp;T_sept_dec[[#This Row],[Enseignant référent (Nom Prénom)]],"")</f>
        <v/>
      </c>
      <c r="U222" s="186">
        <f>1/COUNTIF(T_sept_dec[cléTotal],T_sept_dec[[#This Row],[cléTotal]])</f>
        <v>4.1841004184100415E-3</v>
      </c>
    </row>
    <row r="223" spans="11:21">
      <c r="K223" s="21" t="str">
        <f>IF(COUNTIF(Maternelle,E223)=1,listes!$T$1,IF(COUNTIF(Elémentaire,E223)=1,listes!$U$1,IF(COUNTIF(Collège,E223)=1,listes!$V$1,IF(COUNTIF(Lycée,E223)=1,listes!$W$1,""))))</f>
        <v/>
      </c>
      <c r="L223" s="21" t="str">
        <f>IF(COUNTIF(Perralière,D223)=1,listes!$P$1,IF(COUNTIF(Buers,D223)=1,listes!$J$1,IF(COUNTIF(Charpennes,D223)=1,listes!$K$1,IF(COUNTIF(Cusset,D223)=1,listes!$L$1,IF(COUNTIF(Cyprien,D223)=1,listes!$M$1,IF(COUNTIF(Ferrandière,D223)=1,listes!$N$1,IF(COUNTIF(Gratteciel,D223)=1,listes!$O$1,IF(COUNTIF(Saintjean,D223)=1,listes!$Q$1,IF(COUNTIF(horsvilleurbanne,D223)=1,listes!$R$1,"")))))))))</f>
        <v/>
      </c>
      <c r="M223" s="21" t="str">
        <f t="shared" si="3"/>
        <v/>
      </c>
      <c r="N223" s="186" t="str">
        <f>T_sept_dec[[#This Row],[Etablissement accueillant]]&amp;"-"&amp;T_sept_dec[[#This Row],[Enseignant référent (Nom Prénom)]]</f>
        <v>-</v>
      </c>
      <c r="O223" s="21">
        <f>1/COUNTIF(T_sept_dec[CléEtablissement],T_sept_dec[[#This Row],[CléEtablissement]])</f>
        <v>4.1841004184100415E-3</v>
      </c>
      <c r="P22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3" s="186">
        <f>1/COUNTIF(T_sept_dec[CléRéseau-Rize horsmed],T_sept_dec[[#This Row],[CléRéseau-Rize horsmed]])</f>
        <v>4.1841004184100415E-3</v>
      </c>
      <c r="R223" s="186" t="str">
        <f>IF(COUNTIF(RIZE,T_sept_dec[[#This Row],[Secteur organisateur]]),"Rize_"&amp;T_sept_dec[[#This Row],[Enseignant référent (Nom Prénom)]],"")</f>
        <v/>
      </c>
      <c r="S223" s="186">
        <f>1/COUNTIF(T_sept_dec[CléRize],T_sept_dec[[#This Row],[CléRize]])</f>
        <v>4.048582995951417E-3</v>
      </c>
      <c r="T223" s="186" t="str">
        <f>IF(COUNTIF(Total,T_sept_dec[[#This Row],[Secteur organisateur]]),"Total_"&amp;T_sept_dec[[#This Row],[Enseignant référent (Nom Prénom)]],"")</f>
        <v/>
      </c>
      <c r="U223" s="186">
        <f>1/COUNTIF(T_sept_dec[cléTotal],T_sept_dec[[#This Row],[cléTotal]])</f>
        <v>4.1841004184100415E-3</v>
      </c>
    </row>
    <row r="224" spans="11:21">
      <c r="K224" s="21" t="str">
        <f>IF(COUNTIF(Maternelle,E224)=1,listes!$T$1,IF(COUNTIF(Elémentaire,E224)=1,listes!$U$1,IF(COUNTIF(Collège,E224)=1,listes!$V$1,IF(COUNTIF(Lycée,E224)=1,listes!$W$1,""))))</f>
        <v/>
      </c>
      <c r="L224" s="21" t="str">
        <f>IF(COUNTIF(Perralière,D224)=1,listes!$P$1,IF(COUNTIF(Buers,D224)=1,listes!$J$1,IF(COUNTIF(Charpennes,D224)=1,listes!$K$1,IF(COUNTIF(Cusset,D224)=1,listes!$L$1,IF(COUNTIF(Cyprien,D224)=1,listes!$M$1,IF(COUNTIF(Ferrandière,D224)=1,listes!$N$1,IF(COUNTIF(Gratteciel,D224)=1,listes!$O$1,IF(COUNTIF(Saintjean,D224)=1,listes!$Q$1,IF(COUNTIF(horsvilleurbanne,D224)=1,listes!$R$1,"")))))))))</f>
        <v/>
      </c>
      <c r="M224" s="21" t="str">
        <f t="shared" si="3"/>
        <v/>
      </c>
      <c r="N224" s="186" t="str">
        <f>T_sept_dec[[#This Row],[Etablissement accueillant]]&amp;"-"&amp;T_sept_dec[[#This Row],[Enseignant référent (Nom Prénom)]]</f>
        <v>-</v>
      </c>
      <c r="O224" s="21">
        <f>1/COUNTIF(T_sept_dec[CléEtablissement],T_sept_dec[[#This Row],[CléEtablissement]])</f>
        <v>4.1841004184100415E-3</v>
      </c>
      <c r="P22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4" s="186">
        <f>1/COUNTIF(T_sept_dec[CléRéseau-Rize horsmed],T_sept_dec[[#This Row],[CléRéseau-Rize horsmed]])</f>
        <v>4.1841004184100415E-3</v>
      </c>
      <c r="R224" s="186" t="str">
        <f>IF(COUNTIF(RIZE,T_sept_dec[[#This Row],[Secteur organisateur]]),"Rize_"&amp;T_sept_dec[[#This Row],[Enseignant référent (Nom Prénom)]],"")</f>
        <v/>
      </c>
      <c r="S224" s="186">
        <f>1/COUNTIF(T_sept_dec[CléRize],T_sept_dec[[#This Row],[CléRize]])</f>
        <v>4.048582995951417E-3</v>
      </c>
      <c r="T224" s="186" t="str">
        <f>IF(COUNTIF(Total,T_sept_dec[[#This Row],[Secteur organisateur]]),"Total_"&amp;T_sept_dec[[#This Row],[Enseignant référent (Nom Prénom)]],"")</f>
        <v/>
      </c>
      <c r="U224" s="186">
        <f>1/COUNTIF(T_sept_dec[cléTotal],T_sept_dec[[#This Row],[cléTotal]])</f>
        <v>4.1841004184100415E-3</v>
      </c>
    </row>
    <row r="225" spans="11:21">
      <c r="K225" s="21" t="str">
        <f>IF(COUNTIF(Maternelle,E225)=1,listes!$T$1,IF(COUNTIF(Elémentaire,E225)=1,listes!$U$1,IF(COUNTIF(Collège,E225)=1,listes!$V$1,IF(COUNTIF(Lycée,E225)=1,listes!$W$1,""))))</f>
        <v/>
      </c>
      <c r="L225" s="21" t="str">
        <f>IF(COUNTIF(Perralière,D225)=1,listes!$P$1,IF(COUNTIF(Buers,D225)=1,listes!$J$1,IF(COUNTIF(Charpennes,D225)=1,listes!$K$1,IF(COUNTIF(Cusset,D225)=1,listes!$L$1,IF(COUNTIF(Cyprien,D225)=1,listes!$M$1,IF(COUNTIF(Ferrandière,D225)=1,listes!$N$1,IF(COUNTIF(Gratteciel,D225)=1,listes!$O$1,IF(COUNTIF(Saintjean,D225)=1,listes!$Q$1,IF(COUNTIF(horsvilleurbanne,D225)=1,listes!$R$1,"")))))))))</f>
        <v/>
      </c>
      <c r="M225" s="21" t="str">
        <f t="shared" si="3"/>
        <v/>
      </c>
      <c r="N225" s="186" t="str">
        <f>T_sept_dec[[#This Row],[Etablissement accueillant]]&amp;"-"&amp;T_sept_dec[[#This Row],[Enseignant référent (Nom Prénom)]]</f>
        <v>-</v>
      </c>
      <c r="O225" s="21">
        <f>1/COUNTIF(T_sept_dec[CléEtablissement],T_sept_dec[[#This Row],[CléEtablissement]])</f>
        <v>4.1841004184100415E-3</v>
      </c>
      <c r="P22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5" s="186">
        <f>1/COUNTIF(T_sept_dec[CléRéseau-Rize horsmed],T_sept_dec[[#This Row],[CléRéseau-Rize horsmed]])</f>
        <v>4.1841004184100415E-3</v>
      </c>
      <c r="R225" s="186" t="str">
        <f>IF(COUNTIF(RIZE,T_sept_dec[[#This Row],[Secteur organisateur]]),"Rize_"&amp;T_sept_dec[[#This Row],[Enseignant référent (Nom Prénom)]],"")</f>
        <v/>
      </c>
      <c r="S225" s="186">
        <f>1/COUNTIF(T_sept_dec[CléRize],T_sept_dec[[#This Row],[CléRize]])</f>
        <v>4.048582995951417E-3</v>
      </c>
      <c r="T225" s="186" t="str">
        <f>IF(COUNTIF(Total,T_sept_dec[[#This Row],[Secteur organisateur]]),"Total_"&amp;T_sept_dec[[#This Row],[Enseignant référent (Nom Prénom)]],"")</f>
        <v/>
      </c>
      <c r="U225" s="186">
        <f>1/COUNTIF(T_sept_dec[cléTotal],T_sept_dec[[#This Row],[cléTotal]])</f>
        <v>4.1841004184100415E-3</v>
      </c>
    </row>
    <row r="226" spans="11:21">
      <c r="K226" s="21" t="str">
        <f>IF(COUNTIF(Maternelle,E226)=1,listes!$T$1,IF(COUNTIF(Elémentaire,E226)=1,listes!$U$1,IF(COUNTIF(Collège,E226)=1,listes!$V$1,IF(COUNTIF(Lycée,E226)=1,listes!$W$1,""))))</f>
        <v/>
      </c>
      <c r="L226" s="21" t="str">
        <f>IF(COUNTIF(Perralière,D226)=1,listes!$P$1,IF(COUNTIF(Buers,D226)=1,listes!$J$1,IF(COUNTIF(Charpennes,D226)=1,listes!$K$1,IF(COUNTIF(Cusset,D226)=1,listes!$L$1,IF(COUNTIF(Cyprien,D226)=1,listes!$M$1,IF(COUNTIF(Ferrandière,D226)=1,listes!$N$1,IF(COUNTIF(Gratteciel,D226)=1,listes!$O$1,IF(COUNTIF(Saintjean,D226)=1,listes!$Q$1,IF(COUNTIF(horsvilleurbanne,D226)=1,listes!$R$1,"")))))))))</f>
        <v/>
      </c>
      <c r="M226" s="21" t="str">
        <f t="shared" si="3"/>
        <v/>
      </c>
      <c r="N226" s="186" t="str">
        <f>T_sept_dec[[#This Row],[Etablissement accueillant]]&amp;"-"&amp;T_sept_dec[[#This Row],[Enseignant référent (Nom Prénom)]]</f>
        <v>-</v>
      </c>
      <c r="O226" s="21">
        <f>1/COUNTIF(T_sept_dec[CléEtablissement],T_sept_dec[[#This Row],[CléEtablissement]])</f>
        <v>4.1841004184100415E-3</v>
      </c>
      <c r="P22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6" s="186">
        <f>1/COUNTIF(T_sept_dec[CléRéseau-Rize horsmed],T_sept_dec[[#This Row],[CléRéseau-Rize horsmed]])</f>
        <v>4.1841004184100415E-3</v>
      </c>
      <c r="R226" s="186" t="str">
        <f>IF(COUNTIF(RIZE,T_sept_dec[[#This Row],[Secteur organisateur]]),"Rize_"&amp;T_sept_dec[[#This Row],[Enseignant référent (Nom Prénom)]],"")</f>
        <v/>
      </c>
      <c r="S226" s="186">
        <f>1/COUNTIF(T_sept_dec[CléRize],T_sept_dec[[#This Row],[CléRize]])</f>
        <v>4.048582995951417E-3</v>
      </c>
      <c r="T226" s="186" t="str">
        <f>IF(COUNTIF(Total,T_sept_dec[[#This Row],[Secteur organisateur]]),"Total_"&amp;T_sept_dec[[#This Row],[Enseignant référent (Nom Prénom)]],"")</f>
        <v/>
      </c>
      <c r="U226" s="186">
        <f>1/COUNTIF(T_sept_dec[cléTotal],T_sept_dec[[#This Row],[cléTotal]])</f>
        <v>4.1841004184100415E-3</v>
      </c>
    </row>
    <row r="227" spans="11:21">
      <c r="K227" s="21" t="str">
        <f>IF(COUNTIF(Maternelle,E227)=1,listes!$T$1,IF(COUNTIF(Elémentaire,E227)=1,listes!$U$1,IF(COUNTIF(Collège,E227)=1,listes!$V$1,IF(COUNTIF(Lycée,E227)=1,listes!$W$1,""))))</f>
        <v/>
      </c>
      <c r="L227" s="21" t="str">
        <f>IF(COUNTIF(Perralière,D227)=1,listes!$P$1,IF(COUNTIF(Buers,D227)=1,listes!$J$1,IF(COUNTIF(Charpennes,D227)=1,listes!$K$1,IF(COUNTIF(Cusset,D227)=1,listes!$L$1,IF(COUNTIF(Cyprien,D227)=1,listes!$M$1,IF(COUNTIF(Ferrandière,D227)=1,listes!$N$1,IF(COUNTIF(Gratteciel,D227)=1,listes!$O$1,IF(COUNTIF(Saintjean,D227)=1,listes!$Q$1,IF(COUNTIF(horsvilleurbanne,D227)=1,listes!$R$1,"")))))))))</f>
        <v/>
      </c>
      <c r="M227" s="21" t="str">
        <f t="shared" si="3"/>
        <v/>
      </c>
      <c r="N227" s="186" t="str">
        <f>T_sept_dec[[#This Row],[Etablissement accueillant]]&amp;"-"&amp;T_sept_dec[[#This Row],[Enseignant référent (Nom Prénom)]]</f>
        <v>-</v>
      </c>
      <c r="O227" s="21">
        <f>1/COUNTIF(T_sept_dec[CléEtablissement],T_sept_dec[[#This Row],[CléEtablissement]])</f>
        <v>4.1841004184100415E-3</v>
      </c>
      <c r="P22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7" s="186">
        <f>1/COUNTIF(T_sept_dec[CléRéseau-Rize horsmed],T_sept_dec[[#This Row],[CléRéseau-Rize horsmed]])</f>
        <v>4.1841004184100415E-3</v>
      </c>
      <c r="R227" s="186" t="str">
        <f>IF(COUNTIF(RIZE,T_sept_dec[[#This Row],[Secteur organisateur]]),"Rize_"&amp;T_sept_dec[[#This Row],[Enseignant référent (Nom Prénom)]],"")</f>
        <v/>
      </c>
      <c r="S227" s="186">
        <f>1/COUNTIF(T_sept_dec[CléRize],T_sept_dec[[#This Row],[CléRize]])</f>
        <v>4.048582995951417E-3</v>
      </c>
      <c r="T227" s="186" t="str">
        <f>IF(COUNTIF(Total,T_sept_dec[[#This Row],[Secteur organisateur]]),"Total_"&amp;T_sept_dec[[#This Row],[Enseignant référent (Nom Prénom)]],"")</f>
        <v/>
      </c>
      <c r="U227" s="186">
        <f>1/COUNTIF(T_sept_dec[cléTotal],T_sept_dec[[#This Row],[cléTotal]])</f>
        <v>4.1841004184100415E-3</v>
      </c>
    </row>
    <row r="228" spans="11:21">
      <c r="K228" s="21" t="str">
        <f>IF(COUNTIF(Maternelle,E228)=1,listes!$T$1,IF(COUNTIF(Elémentaire,E228)=1,listes!$U$1,IF(COUNTIF(Collège,E228)=1,listes!$V$1,IF(COUNTIF(Lycée,E228)=1,listes!$W$1,""))))</f>
        <v/>
      </c>
      <c r="L228" s="21" t="str">
        <f>IF(COUNTIF(Perralière,D228)=1,listes!$P$1,IF(COUNTIF(Buers,D228)=1,listes!$J$1,IF(COUNTIF(Charpennes,D228)=1,listes!$K$1,IF(COUNTIF(Cusset,D228)=1,listes!$L$1,IF(COUNTIF(Cyprien,D228)=1,listes!$M$1,IF(COUNTIF(Ferrandière,D228)=1,listes!$N$1,IF(COUNTIF(Gratteciel,D228)=1,listes!$O$1,IF(COUNTIF(Saintjean,D228)=1,listes!$Q$1,IF(COUNTIF(horsvilleurbanne,D228)=1,listes!$R$1,"")))))))))</f>
        <v/>
      </c>
      <c r="M228" s="21" t="str">
        <f t="shared" si="3"/>
        <v/>
      </c>
      <c r="N228" s="186" t="str">
        <f>T_sept_dec[[#This Row],[Etablissement accueillant]]&amp;"-"&amp;T_sept_dec[[#This Row],[Enseignant référent (Nom Prénom)]]</f>
        <v>-</v>
      </c>
      <c r="O228" s="21">
        <f>1/COUNTIF(T_sept_dec[CléEtablissement],T_sept_dec[[#This Row],[CléEtablissement]])</f>
        <v>4.1841004184100415E-3</v>
      </c>
      <c r="P22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8" s="186">
        <f>1/COUNTIF(T_sept_dec[CléRéseau-Rize horsmed],T_sept_dec[[#This Row],[CléRéseau-Rize horsmed]])</f>
        <v>4.1841004184100415E-3</v>
      </c>
      <c r="R228" s="186" t="str">
        <f>IF(COUNTIF(RIZE,T_sept_dec[[#This Row],[Secteur organisateur]]),"Rize_"&amp;T_sept_dec[[#This Row],[Enseignant référent (Nom Prénom)]],"")</f>
        <v/>
      </c>
      <c r="S228" s="186">
        <f>1/COUNTIF(T_sept_dec[CléRize],T_sept_dec[[#This Row],[CléRize]])</f>
        <v>4.048582995951417E-3</v>
      </c>
      <c r="T228" s="186" t="str">
        <f>IF(COUNTIF(Total,T_sept_dec[[#This Row],[Secteur organisateur]]),"Total_"&amp;T_sept_dec[[#This Row],[Enseignant référent (Nom Prénom)]],"")</f>
        <v/>
      </c>
      <c r="U228" s="186">
        <f>1/COUNTIF(T_sept_dec[cléTotal],T_sept_dec[[#This Row],[cléTotal]])</f>
        <v>4.1841004184100415E-3</v>
      </c>
    </row>
    <row r="229" spans="11:21">
      <c r="K229" s="21" t="str">
        <f>IF(COUNTIF(Maternelle,E229)=1,listes!$T$1,IF(COUNTIF(Elémentaire,E229)=1,listes!$U$1,IF(COUNTIF(Collège,E229)=1,listes!$V$1,IF(COUNTIF(Lycée,E229)=1,listes!$W$1,""))))</f>
        <v/>
      </c>
      <c r="L229" s="21" t="str">
        <f>IF(COUNTIF(Perralière,D229)=1,listes!$P$1,IF(COUNTIF(Buers,D229)=1,listes!$J$1,IF(COUNTIF(Charpennes,D229)=1,listes!$K$1,IF(COUNTIF(Cusset,D229)=1,listes!$L$1,IF(COUNTIF(Cyprien,D229)=1,listes!$M$1,IF(COUNTIF(Ferrandière,D229)=1,listes!$N$1,IF(COUNTIF(Gratteciel,D229)=1,listes!$O$1,IF(COUNTIF(Saintjean,D229)=1,listes!$Q$1,IF(COUNTIF(horsvilleurbanne,D229)=1,listes!$R$1,"")))))))))</f>
        <v/>
      </c>
      <c r="M229" s="21" t="str">
        <f t="shared" si="3"/>
        <v/>
      </c>
      <c r="N229" s="186" t="str">
        <f>T_sept_dec[[#This Row],[Etablissement accueillant]]&amp;"-"&amp;T_sept_dec[[#This Row],[Enseignant référent (Nom Prénom)]]</f>
        <v>-</v>
      </c>
      <c r="O229" s="21">
        <f>1/COUNTIF(T_sept_dec[CléEtablissement],T_sept_dec[[#This Row],[CléEtablissement]])</f>
        <v>4.1841004184100415E-3</v>
      </c>
      <c r="P22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29" s="186">
        <f>1/COUNTIF(T_sept_dec[CléRéseau-Rize horsmed],T_sept_dec[[#This Row],[CléRéseau-Rize horsmed]])</f>
        <v>4.1841004184100415E-3</v>
      </c>
      <c r="R229" s="186" t="str">
        <f>IF(COUNTIF(RIZE,T_sept_dec[[#This Row],[Secteur organisateur]]),"Rize_"&amp;T_sept_dec[[#This Row],[Enseignant référent (Nom Prénom)]],"")</f>
        <v/>
      </c>
      <c r="S229" s="186">
        <f>1/COUNTIF(T_sept_dec[CléRize],T_sept_dec[[#This Row],[CléRize]])</f>
        <v>4.048582995951417E-3</v>
      </c>
      <c r="T229" s="186" t="str">
        <f>IF(COUNTIF(Total,T_sept_dec[[#This Row],[Secteur organisateur]]),"Total_"&amp;T_sept_dec[[#This Row],[Enseignant référent (Nom Prénom)]],"")</f>
        <v/>
      </c>
      <c r="U229" s="186">
        <f>1/COUNTIF(T_sept_dec[cléTotal],T_sept_dec[[#This Row],[cléTotal]])</f>
        <v>4.1841004184100415E-3</v>
      </c>
    </row>
    <row r="230" spans="11:21">
      <c r="K230" s="21" t="str">
        <f>IF(COUNTIF(Maternelle,E230)=1,listes!$T$1,IF(COUNTIF(Elémentaire,E230)=1,listes!$U$1,IF(COUNTIF(Collège,E230)=1,listes!$V$1,IF(COUNTIF(Lycée,E230)=1,listes!$W$1,""))))</f>
        <v/>
      </c>
      <c r="L230" s="21" t="str">
        <f>IF(COUNTIF(Perralière,D230)=1,listes!$P$1,IF(COUNTIF(Buers,D230)=1,listes!$J$1,IF(COUNTIF(Charpennes,D230)=1,listes!$K$1,IF(COUNTIF(Cusset,D230)=1,listes!$L$1,IF(COUNTIF(Cyprien,D230)=1,listes!$M$1,IF(COUNTIF(Ferrandière,D230)=1,listes!$N$1,IF(COUNTIF(Gratteciel,D230)=1,listes!$O$1,IF(COUNTIF(Saintjean,D230)=1,listes!$Q$1,IF(COUNTIF(horsvilleurbanne,D230)=1,listes!$R$1,"")))))))))</f>
        <v/>
      </c>
      <c r="M230" s="21" t="str">
        <f t="shared" si="3"/>
        <v/>
      </c>
      <c r="N230" s="186" t="str">
        <f>T_sept_dec[[#This Row],[Etablissement accueillant]]&amp;"-"&amp;T_sept_dec[[#This Row],[Enseignant référent (Nom Prénom)]]</f>
        <v>-</v>
      </c>
      <c r="O230" s="21">
        <f>1/COUNTIF(T_sept_dec[CléEtablissement],T_sept_dec[[#This Row],[CléEtablissement]])</f>
        <v>4.1841004184100415E-3</v>
      </c>
      <c r="P23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0" s="186">
        <f>1/COUNTIF(T_sept_dec[CléRéseau-Rize horsmed],T_sept_dec[[#This Row],[CléRéseau-Rize horsmed]])</f>
        <v>4.1841004184100415E-3</v>
      </c>
      <c r="R230" s="186" t="str">
        <f>IF(COUNTIF(RIZE,T_sept_dec[[#This Row],[Secteur organisateur]]),"Rize_"&amp;T_sept_dec[[#This Row],[Enseignant référent (Nom Prénom)]],"")</f>
        <v/>
      </c>
      <c r="S230" s="186">
        <f>1/COUNTIF(T_sept_dec[CléRize],T_sept_dec[[#This Row],[CléRize]])</f>
        <v>4.048582995951417E-3</v>
      </c>
      <c r="T230" s="186" t="str">
        <f>IF(COUNTIF(Total,T_sept_dec[[#This Row],[Secteur organisateur]]),"Total_"&amp;T_sept_dec[[#This Row],[Enseignant référent (Nom Prénom)]],"")</f>
        <v/>
      </c>
      <c r="U230" s="186">
        <f>1/COUNTIF(T_sept_dec[cléTotal],T_sept_dec[[#This Row],[cléTotal]])</f>
        <v>4.1841004184100415E-3</v>
      </c>
    </row>
    <row r="231" spans="11:21">
      <c r="K231" s="21" t="str">
        <f>IF(COUNTIF(Maternelle,E231)=1,listes!$T$1,IF(COUNTIF(Elémentaire,E231)=1,listes!$U$1,IF(COUNTIF(Collège,E231)=1,listes!$V$1,IF(COUNTIF(Lycée,E231)=1,listes!$W$1,""))))</f>
        <v/>
      </c>
      <c r="L231" s="21" t="str">
        <f>IF(COUNTIF(Perralière,D231)=1,listes!$P$1,IF(COUNTIF(Buers,D231)=1,listes!$J$1,IF(COUNTIF(Charpennes,D231)=1,listes!$K$1,IF(COUNTIF(Cusset,D231)=1,listes!$L$1,IF(COUNTIF(Cyprien,D231)=1,listes!$M$1,IF(COUNTIF(Ferrandière,D231)=1,listes!$N$1,IF(COUNTIF(Gratteciel,D231)=1,listes!$O$1,IF(COUNTIF(Saintjean,D231)=1,listes!$Q$1,IF(COUNTIF(horsvilleurbanne,D231)=1,listes!$R$1,"")))))))))</f>
        <v/>
      </c>
      <c r="M231" s="21" t="str">
        <f t="shared" si="3"/>
        <v/>
      </c>
      <c r="N231" s="186" t="str">
        <f>T_sept_dec[[#This Row],[Etablissement accueillant]]&amp;"-"&amp;T_sept_dec[[#This Row],[Enseignant référent (Nom Prénom)]]</f>
        <v>-</v>
      </c>
      <c r="O231" s="21">
        <f>1/COUNTIF(T_sept_dec[CléEtablissement],T_sept_dec[[#This Row],[CléEtablissement]])</f>
        <v>4.1841004184100415E-3</v>
      </c>
      <c r="P23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1" s="186">
        <f>1/COUNTIF(T_sept_dec[CléRéseau-Rize horsmed],T_sept_dec[[#This Row],[CléRéseau-Rize horsmed]])</f>
        <v>4.1841004184100415E-3</v>
      </c>
      <c r="R231" s="186" t="str">
        <f>IF(COUNTIF(RIZE,T_sept_dec[[#This Row],[Secteur organisateur]]),"Rize_"&amp;T_sept_dec[[#This Row],[Enseignant référent (Nom Prénom)]],"")</f>
        <v/>
      </c>
      <c r="S231" s="186">
        <f>1/COUNTIF(T_sept_dec[CléRize],T_sept_dec[[#This Row],[CléRize]])</f>
        <v>4.048582995951417E-3</v>
      </c>
      <c r="T231" s="186" t="str">
        <f>IF(COUNTIF(Total,T_sept_dec[[#This Row],[Secteur organisateur]]),"Total_"&amp;T_sept_dec[[#This Row],[Enseignant référent (Nom Prénom)]],"")</f>
        <v/>
      </c>
      <c r="U231" s="186">
        <f>1/COUNTIF(T_sept_dec[cléTotal],T_sept_dec[[#This Row],[cléTotal]])</f>
        <v>4.1841004184100415E-3</v>
      </c>
    </row>
    <row r="232" spans="11:21">
      <c r="K232" s="21" t="str">
        <f>IF(COUNTIF(Maternelle,E232)=1,listes!$T$1,IF(COUNTIF(Elémentaire,E232)=1,listes!$U$1,IF(COUNTIF(Collège,E232)=1,listes!$V$1,IF(COUNTIF(Lycée,E232)=1,listes!$W$1,""))))</f>
        <v/>
      </c>
      <c r="L232" s="21" t="str">
        <f>IF(COUNTIF(Perralière,D232)=1,listes!$P$1,IF(COUNTIF(Buers,D232)=1,listes!$J$1,IF(COUNTIF(Charpennes,D232)=1,listes!$K$1,IF(COUNTIF(Cusset,D232)=1,listes!$L$1,IF(COUNTIF(Cyprien,D232)=1,listes!$M$1,IF(COUNTIF(Ferrandière,D232)=1,listes!$N$1,IF(COUNTIF(Gratteciel,D232)=1,listes!$O$1,IF(COUNTIF(Saintjean,D232)=1,listes!$Q$1,IF(COUNTIF(horsvilleurbanne,D232)=1,listes!$R$1,"")))))))))</f>
        <v/>
      </c>
      <c r="M232" s="21" t="str">
        <f t="shared" si="3"/>
        <v/>
      </c>
      <c r="N232" s="186" t="str">
        <f>T_sept_dec[[#This Row],[Etablissement accueillant]]&amp;"-"&amp;T_sept_dec[[#This Row],[Enseignant référent (Nom Prénom)]]</f>
        <v>-</v>
      </c>
      <c r="O232" s="21">
        <f>1/COUNTIF(T_sept_dec[CléEtablissement],T_sept_dec[[#This Row],[CléEtablissement]])</f>
        <v>4.1841004184100415E-3</v>
      </c>
      <c r="P23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2" s="186">
        <f>1/COUNTIF(T_sept_dec[CléRéseau-Rize horsmed],T_sept_dec[[#This Row],[CléRéseau-Rize horsmed]])</f>
        <v>4.1841004184100415E-3</v>
      </c>
      <c r="R232" s="186" t="str">
        <f>IF(COUNTIF(RIZE,T_sept_dec[[#This Row],[Secteur organisateur]]),"Rize_"&amp;T_sept_dec[[#This Row],[Enseignant référent (Nom Prénom)]],"")</f>
        <v/>
      </c>
      <c r="S232" s="186">
        <f>1/COUNTIF(T_sept_dec[CléRize],T_sept_dec[[#This Row],[CléRize]])</f>
        <v>4.048582995951417E-3</v>
      </c>
      <c r="T232" s="186" t="str">
        <f>IF(COUNTIF(Total,T_sept_dec[[#This Row],[Secteur organisateur]]),"Total_"&amp;T_sept_dec[[#This Row],[Enseignant référent (Nom Prénom)]],"")</f>
        <v/>
      </c>
      <c r="U232" s="186">
        <f>1/COUNTIF(T_sept_dec[cléTotal],T_sept_dec[[#This Row],[cléTotal]])</f>
        <v>4.1841004184100415E-3</v>
      </c>
    </row>
    <row r="233" spans="11:21">
      <c r="K233" s="21" t="str">
        <f>IF(COUNTIF(Maternelle,E233)=1,listes!$T$1,IF(COUNTIF(Elémentaire,E233)=1,listes!$U$1,IF(COUNTIF(Collège,E233)=1,listes!$V$1,IF(COUNTIF(Lycée,E233)=1,listes!$W$1,""))))</f>
        <v/>
      </c>
      <c r="L233" s="21" t="str">
        <f>IF(COUNTIF(Perralière,D233)=1,listes!$P$1,IF(COUNTIF(Buers,D233)=1,listes!$J$1,IF(COUNTIF(Charpennes,D233)=1,listes!$K$1,IF(COUNTIF(Cusset,D233)=1,listes!$L$1,IF(COUNTIF(Cyprien,D233)=1,listes!$M$1,IF(COUNTIF(Ferrandière,D233)=1,listes!$N$1,IF(COUNTIF(Gratteciel,D233)=1,listes!$O$1,IF(COUNTIF(Saintjean,D233)=1,listes!$Q$1,IF(COUNTIF(horsvilleurbanne,D233)=1,listes!$R$1,"")))))))))</f>
        <v/>
      </c>
      <c r="M233" s="21" t="str">
        <f t="shared" si="3"/>
        <v/>
      </c>
      <c r="N233" s="186" t="str">
        <f>T_sept_dec[[#This Row],[Etablissement accueillant]]&amp;"-"&amp;T_sept_dec[[#This Row],[Enseignant référent (Nom Prénom)]]</f>
        <v>-</v>
      </c>
      <c r="O233" s="21">
        <f>1/COUNTIF(T_sept_dec[CléEtablissement],T_sept_dec[[#This Row],[CléEtablissement]])</f>
        <v>4.1841004184100415E-3</v>
      </c>
      <c r="P23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3" s="186">
        <f>1/COUNTIF(T_sept_dec[CléRéseau-Rize horsmed],T_sept_dec[[#This Row],[CléRéseau-Rize horsmed]])</f>
        <v>4.1841004184100415E-3</v>
      </c>
      <c r="R233" s="186" t="str">
        <f>IF(COUNTIF(RIZE,T_sept_dec[[#This Row],[Secteur organisateur]]),"Rize_"&amp;T_sept_dec[[#This Row],[Enseignant référent (Nom Prénom)]],"")</f>
        <v/>
      </c>
      <c r="S233" s="186">
        <f>1/COUNTIF(T_sept_dec[CléRize],T_sept_dec[[#This Row],[CléRize]])</f>
        <v>4.048582995951417E-3</v>
      </c>
      <c r="T233" s="186" t="str">
        <f>IF(COUNTIF(Total,T_sept_dec[[#This Row],[Secteur organisateur]]),"Total_"&amp;T_sept_dec[[#This Row],[Enseignant référent (Nom Prénom)]],"")</f>
        <v/>
      </c>
      <c r="U233" s="186">
        <f>1/COUNTIF(T_sept_dec[cléTotal],T_sept_dec[[#This Row],[cléTotal]])</f>
        <v>4.1841004184100415E-3</v>
      </c>
    </row>
    <row r="234" spans="11:21">
      <c r="K234" s="21" t="str">
        <f>IF(COUNTIF(Maternelle,E234)=1,listes!$T$1,IF(COUNTIF(Elémentaire,E234)=1,listes!$U$1,IF(COUNTIF(Collège,E234)=1,listes!$V$1,IF(COUNTIF(Lycée,E234)=1,listes!$W$1,""))))</f>
        <v/>
      </c>
      <c r="L234" s="21" t="str">
        <f>IF(COUNTIF(Perralière,D234)=1,listes!$P$1,IF(COUNTIF(Buers,D234)=1,listes!$J$1,IF(COUNTIF(Charpennes,D234)=1,listes!$K$1,IF(COUNTIF(Cusset,D234)=1,listes!$L$1,IF(COUNTIF(Cyprien,D234)=1,listes!$M$1,IF(COUNTIF(Ferrandière,D234)=1,listes!$N$1,IF(COUNTIF(Gratteciel,D234)=1,listes!$O$1,IF(COUNTIF(Saintjean,D234)=1,listes!$Q$1,IF(COUNTIF(horsvilleurbanne,D234)=1,listes!$R$1,"")))))))))</f>
        <v/>
      </c>
      <c r="M234" s="21" t="str">
        <f t="shared" si="3"/>
        <v/>
      </c>
      <c r="N234" s="186" t="str">
        <f>T_sept_dec[[#This Row],[Etablissement accueillant]]&amp;"-"&amp;T_sept_dec[[#This Row],[Enseignant référent (Nom Prénom)]]</f>
        <v>-</v>
      </c>
      <c r="O234" s="21">
        <f>1/COUNTIF(T_sept_dec[CléEtablissement],T_sept_dec[[#This Row],[CléEtablissement]])</f>
        <v>4.1841004184100415E-3</v>
      </c>
      <c r="P23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4" s="186">
        <f>1/COUNTIF(T_sept_dec[CléRéseau-Rize horsmed],T_sept_dec[[#This Row],[CléRéseau-Rize horsmed]])</f>
        <v>4.1841004184100415E-3</v>
      </c>
      <c r="R234" s="186" t="str">
        <f>IF(COUNTIF(RIZE,T_sept_dec[[#This Row],[Secteur organisateur]]),"Rize_"&amp;T_sept_dec[[#This Row],[Enseignant référent (Nom Prénom)]],"")</f>
        <v/>
      </c>
      <c r="S234" s="186">
        <f>1/COUNTIF(T_sept_dec[CléRize],T_sept_dec[[#This Row],[CléRize]])</f>
        <v>4.048582995951417E-3</v>
      </c>
      <c r="T234" s="186" t="str">
        <f>IF(COUNTIF(Total,T_sept_dec[[#This Row],[Secteur organisateur]]),"Total_"&amp;T_sept_dec[[#This Row],[Enseignant référent (Nom Prénom)]],"")</f>
        <v/>
      </c>
      <c r="U234" s="186">
        <f>1/COUNTIF(T_sept_dec[cléTotal],T_sept_dec[[#This Row],[cléTotal]])</f>
        <v>4.1841004184100415E-3</v>
      </c>
    </row>
    <row r="235" spans="11:21">
      <c r="K235" s="21" t="str">
        <f>IF(COUNTIF(Maternelle,E235)=1,listes!$T$1,IF(COUNTIF(Elémentaire,E235)=1,listes!$U$1,IF(COUNTIF(Collège,E235)=1,listes!$V$1,IF(COUNTIF(Lycée,E235)=1,listes!$W$1,""))))</f>
        <v/>
      </c>
      <c r="L235" s="21" t="str">
        <f>IF(COUNTIF(Perralière,D235)=1,listes!$P$1,IF(COUNTIF(Buers,D235)=1,listes!$J$1,IF(COUNTIF(Charpennes,D235)=1,listes!$K$1,IF(COUNTIF(Cusset,D235)=1,listes!$L$1,IF(COUNTIF(Cyprien,D235)=1,listes!$M$1,IF(COUNTIF(Ferrandière,D235)=1,listes!$N$1,IF(COUNTIF(Gratteciel,D235)=1,listes!$O$1,IF(COUNTIF(Saintjean,D235)=1,listes!$Q$1,IF(COUNTIF(horsvilleurbanne,D235)=1,listes!$R$1,"")))))))))</f>
        <v/>
      </c>
      <c r="M235" s="21" t="str">
        <f t="shared" si="3"/>
        <v/>
      </c>
      <c r="N235" s="186" t="str">
        <f>T_sept_dec[[#This Row],[Etablissement accueillant]]&amp;"-"&amp;T_sept_dec[[#This Row],[Enseignant référent (Nom Prénom)]]</f>
        <v>-</v>
      </c>
      <c r="O235" s="21">
        <f>1/COUNTIF(T_sept_dec[CléEtablissement],T_sept_dec[[#This Row],[CléEtablissement]])</f>
        <v>4.1841004184100415E-3</v>
      </c>
      <c r="P23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5" s="186">
        <f>1/COUNTIF(T_sept_dec[CléRéseau-Rize horsmed],T_sept_dec[[#This Row],[CléRéseau-Rize horsmed]])</f>
        <v>4.1841004184100415E-3</v>
      </c>
      <c r="R235" s="186" t="str">
        <f>IF(COUNTIF(RIZE,T_sept_dec[[#This Row],[Secteur organisateur]]),"Rize_"&amp;T_sept_dec[[#This Row],[Enseignant référent (Nom Prénom)]],"")</f>
        <v/>
      </c>
      <c r="S235" s="186">
        <f>1/COUNTIF(T_sept_dec[CléRize],T_sept_dec[[#This Row],[CléRize]])</f>
        <v>4.048582995951417E-3</v>
      </c>
      <c r="T235" s="186" t="str">
        <f>IF(COUNTIF(Total,T_sept_dec[[#This Row],[Secteur organisateur]]),"Total_"&amp;T_sept_dec[[#This Row],[Enseignant référent (Nom Prénom)]],"")</f>
        <v/>
      </c>
      <c r="U235" s="186">
        <f>1/COUNTIF(T_sept_dec[cléTotal],T_sept_dec[[#This Row],[cléTotal]])</f>
        <v>4.1841004184100415E-3</v>
      </c>
    </row>
    <row r="236" spans="11:21">
      <c r="K236" s="21" t="str">
        <f>IF(COUNTIF(Maternelle,E236)=1,listes!$T$1,IF(COUNTIF(Elémentaire,E236)=1,listes!$U$1,IF(COUNTIF(Collège,E236)=1,listes!$V$1,IF(COUNTIF(Lycée,E236)=1,listes!$W$1,""))))</f>
        <v/>
      </c>
      <c r="L236" s="21" t="str">
        <f>IF(COUNTIF(Perralière,D236)=1,listes!$P$1,IF(COUNTIF(Buers,D236)=1,listes!$J$1,IF(COUNTIF(Charpennes,D236)=1,listes!$K$1,IF(COUNTIF(Cusset,D236)=1,listes!$L$1,IF(COUNTIF(Cyprien,D236)=1,listes!$M$1,IF(COUNTIF(Ferrandière,D236)=1,listes!$N$1,IF(COUNTIF(Gratteciel,D236)=1,listes!$O$1,IF(COUNTIF(Saintjean,D236)=1,listes!$Q$1,IF(COUNTIF(horsvilleurbanne,D236)=1,listes!$R$1,"")))))))))</f>
        <v/>
      </c>
      <c r="M236" s="21" t="str">
        <f t="shared" si="3"/>
        <v/>
      </c>
      <c r="N236" s="186" t="str">
        <f>T_sept_dec[[#This Row],[Etablissement accueillant]]&amp;"-"&amp;T_sept_dec[[#This Row],[Enseignant référent (Nom Prénom)]]</f>
        <v>-</v>
      </c>
      <c r="O236" s="21">
        <f>1/COUNTIF(T_sept_dec[CléEtablissement],T_sept_dec[[#This Row],[CléEtablissement]])</f>
        <v>4.1841004184100415E-3</v>
      </c>
      <c r="P23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6" s="186">
        <f>1/COUNTIF(T_sept_dec[CléRéseau-Rize horsmed],T_sept_dec[[#This Row],[CléRéseau-Rize horsmed]])</f>
        <v>4.1841004184100415E-3</v>
      </c>
      <c r="R236" s="186" t="str">
        <f>IF(COUNTIF(RIZE,T_sept_dec[[#This Row],[Secteur organisateur]]),"Rize_"&amp;T_sept_dec[[#This Row],[Enseignant référent (Nom Prénom)]],"")</f>
        <v/>
      </c>
      <c r="S236" s="186">
        <f>1/COUNTIF(T_sept_dec[CléRize],T_sept_dec[[#This Row],[CléRize]])</f>
        <v>4.048582995951417E-3</v>
      </c>
      <c r="T236" s="186" t="str">
        <f>IF(COUNTIF(Total,T_sept_dec[[#This Row],[Secteur organisateur]]),"Total_"&amp;T_sept_dec[[#This Row],[Enseignant référent (Nom Prénom)]],"")</f>
        <v/>
      </c>
      <c r="U236" s="186">
        <f>1/COUNTIF(T_sept_dec[cléTotal],T_sept_dec[[#This Row],[cléTotal]])</f>
        <v>4.1841004184100415E-3</v>
      </c>
    </row>
    <row r="237" spans="11:21">
      <c r="K237" s="21" t="str">
        <f>IF(COUNTIF(Maternelle,E237)=1,listes!$T$1,IF(COUNTIF(Elémentaire,E237)=1,listes!$U$1,IF(COUNTIF(Collège,E237)=1,listes!$V$1,IF(COUNTIF(Lycée,E237)=1,listes!$W$1,""))))</f>
        <v/>
      </c>
      <c r="L237" s="21" t="str">
        <f>IF(COUNTIF(Perralière,D237)=1,listes!$P$1,IF(COUNTIF(Buers,D237)=1,listes!$J$1,IF(COUNTIF(Charpennes,D237)=1,listes!$K$1,IF(COUNTIF(Cusset,D237)=1,listes!$L$1,IF(COUNTIF(Cyprien,D237)=1,listes!$M$1,IF(COUNTIF(Ferrandière,D237)=1,listes!$N$1,IF(COUNTIF(Gratteciel,D237)=1,listes!$O$1,IF(COUNTIF(Saintjean,D237)=1,listes!$Q$1,IF(COUNTIF(horsvilleurbanne,D237)=1,listes!$R$1,"")))))))))</f>
        <v/>
      </c>
      <c r="M237" s="21" t="str">
        <f t="shared" si="3"/>
        <v/>
      </c>
      <c r="N237" s="186" t="str">
        <f>T_sept_dec[[#This Row],[Etablissement accueillant]]&amp;"-"&amp;T_sept_dec[[#This Row],[Enseignant référent (Nom Prénom)]]</f>
        <v>-</v>
      </c>
      <c r="O237" s="21">
        <f>1/COUNTIF(T_sept_dec[CléEtablissement],T_sept_dec[[#This Row],[CléEtablissement]])</f>
        <v>4.1841004184100415E-3</v>
      </c>
      <c r="P23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7" s="186">
        <f>1/COUNTIF(T_sept_dec[CléRéseau-Rize horsmed],T_sept_dec[[#This Row],[CléRéseau-Rize horsmed]])</f>
        <v>4.1841004184100415E-3</v>
      </c>
      <c r="R237" s="186" t="str">
        <f>IF(COUNTIF(RIZE,T_sept_dec[[#This Row],[Secteur organisateur]]),"Rize_"&amp;T_sept_dec[[#This Row],[Enseignant référent (Nom Prénom)]],"")</f>
        <v/>
      </c>
      <c r="S237" s="186">
        <f>1/COUNTIF(T_sept_dec[CléRize],T_sept_dec[[#This Row],[CléRize]])</f>
        <v>4.048582995951417E-3</v>
      </c>
      <c r="T237" s="186" t="str">
        <f>IF(COUNTIF(Total,T_sept_dec[[#This Row],[Secteur organisateur]]),"Total_"&amp;T_sept_dec[[#This Row],[Enseignant référent (Nom Prénom)]],"")</f>
        <v/>
      </c>
      <c r="U237" s="186">
        <f>1/COUNTIF(T_sept_dec[cléTotal],T_sept_dec[[#This Row],[cléTotal]])</f>
        <v>4.1841004184100415E-3</v>
      </c>
    </row>
    <row r="238" spans="11:21">
      <c r="K238" s="21" t="str">
        <f>IF(COUNTIF(Maternelle,E238)=1,listes!$T$1,IF(COUNTIF(Elémentaire,E238)=1,listes!$U$1,IF(COUNTIF(Collège,E238)=1,listes!$V$1,IF(COUNTIF(Lycée,E238)=1,listes!$W$1,""))))</f>
        <v/>
      </c>
      <c r="L238" s="21" t="str">
        <f>IF(COUNTIF(Perralière,D238)=1,listes!$P$1,IF(COUNTIF(Buers,D238)=1,listes!$J$1,IF(COUNTIF(Charpennes,D238)=1,listes!$K$1,IF(COUNTIF(Cusset,D238)=1,listes!$L$1,IF(COUNTIF(Cyprien,D238)=1,listes!$M$1,IF(COUNTIF(Ferrandière,D238)=1,listes!$N$1,IF(COUNTIF(Gratteciel,D238)=1,listes!$O$1,IF(COUNTIF(Saintjean,D238)=1,listes!$Q$1,IF(COUNTIF(horsvilleurbanne,D238)=1,listes!$R$1,"")))))))))</f>
        <v/>
      </c>
      <c r="M238" s="21" t="str">
        <f t="shared" si="3"/>
        <v/>
      </c>
      <c r="N238" s="186" t="str">
        <f>T_sept_dec[[#This Row],[Etablissement accueillant]]&amp;"-"&amp;T_sept_dec[[#This Row],[Enseignant référent (Nom Prénom)]]</f>
        <v>-</v>
      </c>
      <c r="O238" s="21">
        <f>1/COUNTIF(T_sept_dec[CléEtablissement],T_sept_dec[[#This Row],[CléEtablissement]])</f>
        <v>4.1841004184100415E-3</v>
      </c>
      <c r="P23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8" s="186">
        <f>1/COUNTIF(T_sept_dec[CléRéseau-Rize horsmed],T_sept_dec[[#This Row],[CléRéseau-Rize horsmed]])</f>
        <v>4.1841004184100415E-3</v>
      </c>
      <c r="R238" s="186" t="str">
        <f>IF(COUNTIF(RIZE,T_sept_dec[[#This Row],[Secteur organisateur]]),"Rize_"&amp;T_sept_dec[[#This Row],[Enseignant référent (Nom Prénom)]],"")</f>
        <v/>
      </c>
      <c r="S238" s="186">
        <f>1/COUNTIF(T_sept_dec[CléRize],T_sept_dec[[#This Row],[CléRize]])</f>
        <v>4.048582995951417E-3</v>
      </c>
      <c r="T238" s="186" t="str">
        <f>IF(COUNTIF(Total,T_sept_dec[[#This Row],[Secteur organisateur]]),"Total_"&amp;T_sept_dec[[#This Row],[Enseignant référent (Nom Prénom)]],"")</f>
        <v/>
      </c>
      <c r="U238" s="186">
        <f>1/COUNTIF(T_sept_dec[cléTotal],T_sept_dec[[#This Row],[cléTotal]])</f>
        <v>4.1841004184100415E-3</v>
      </c>
    </row>
    <row r="239" spans="11:21">
      <c r="K239" s="21" t="str">
        <f>IF(COUNTIF(Maternelle,E239)=1,listes!$T$1,IF(COUNTIF(Elémentaire,E239)=1,listes!$U$1,IF(COUNTIF(Collège,E239)=1,listes!$V$1,IF(COUNTIF(Lycée,E239)=1,listes!$W$1,""))))</f>
        <v/>
      </c>
      <c r="L239" s="21" t="str">
        <f>IF(COUNTIF(Perralière,D239)=1,listes!$P$1,IF(COUNTIF(Buers,D239)=1,listes!$J$1,IF(COUNTIF(Charpennes,D239)=1,listes!$K$1,IF(COUNTIF(Cusset,D239)=1,listes!$L$1,IF(COUNTIF(Cyprien,D239)=1,listes!$M$1,IF(COUNTIF(Ferrandière,D239)=1,listes!$N$1,IF(COUNTIF(Gratteciel,D239)=1,listes!$O$1,IF(COUNTIF(Saintjean,D239)=1,listes!$Q$1,IF(COUNTIF(horsvilleurbanne,D239)=1,listes!$R$1,"")))))))))</f>
        <v/>
      </c>
      <c r="M239" s="21" t="str">
        <f t="shared" si="3"/>
        <v/>
      </c>
      <c r="N239" s="186" t="str">
        <f>T_sept_dec[[#This Row],[Etablissement accueillant]]&amp;"-"&amp;T_sept_dec[[#This Row],[Enseignant référent (Nom Prénom)]]</f>
        <v>-</v>
      </c>
      <c r="O239" s="21">
        <f>1/COUNTIF(T_sept_dec[CléEtablissement],T_sept_dec[[#This Row],[CléEtablissement]])</f>
        <v>4.1841004184100415E-3</v>
      </c>
      <c r="P23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39" s="186">
        <f>1/COUNTIF(T_sept_dec[CléRéseau-Rize horsmed],T_sept_dec[[#This Row],[CléRéseau-Rize horsmed]])</f>
        <v>4.1841004184100415E-3</v>
      </c>
      <c r="R239" s="186" t="str">
        <f>IF(COUNTIF(RIZE,T_sept_dec[[#This Row],[Secteur organisateur]]),"Rize_"&amp;T_sept_dec[[#This Row],[Enseignant référent (Nom Prénom)]],"")</f>
        <v/>
      </c>
      <c r="S239" s="186">
        <f>1/COUNTIF(T_sept_dec[CléRize],T_sept_dec[[#This Row],[CléRize]])</f>
        <v>4.048582995951417E-3</v>
      </c>
      <c r="T239" s="186" t="str">
        <f>IF(COUNTIF(Total,T_sept_dec[[#This Row],[Secteur organisateur]]),"Total_"&amp;T_sept_dec[[#This Row],[Enseignant référent (Nom Prénom)]],"")</f>
        <v/>
      </c>
      <c r="U239" s="186">
        <f>1/COUNTIF(T_sept_dec[cléTotal],T_sept_dec[[#This Row],[cléTotal]])</f>
        <v>4.1841004184100415E-3</v>
      </c>
    </row>
    <row r="240" spans="11:21">
      <c r="K240" s="21" t="str">
        <f>IF(COUNTIF(Maternelle,E240)=1,listes!$T$1,IF(COUNTIF(Elémentaire,E240)=1,listes!$U$1,IF(COUNTIF(Collège,E240)=1,listes!$V$1,IF(COUNTIF(Lycée,E240)=1,listes!$W$1,""))))</f>
        <v/>
      </c>
      <c r="L240" s="21" t="str">
        <f>IF(COUNTIF(Perralière,D240)=1,listes!$P$1,IF(COUNTIF(Buers,D240)=1,listes!$J$1,IF(COUNTIF(Charpennes,D240)=1,listes!$K$1,IF(COUNTIF(Cusset,D240)=1,listes!$L$1,IF(COUNTIF(Cyprien,D240)=1,listes!$M$1,IF(COUNTIF(Ferrandière,D240)=1,listes!$N$1,IF(COUNTIF(Gratteciel,D240)=1,listes!$O$1,IF(COUNTIF(Saintjean,D240)=1,listes!$Q$1,IF(COUNTIF(horsvilleurbanne,D240)=1,listes!$R$1,"")))))))))</f>
        <v/>
      </c>
      <c r="M240" s="21" t="str">
        <f t="shared" si="3"/>
        <v/>
      </c>
      <c r="N240" s="186" t="str">
        <f>T_sept_dec[[#This Row],[Etablissement accueillant]]&amp;"-"&amp;T_sept_dec[[#This Row],[Enseignant référent (Nom Prénom)]]</f>
        <v>-</v>
      </c>
      <c r="O240" s="21">
        <f>1/COUNTIF(T_sept_dec[CléEtablissement],T_sept_dec[[#This Row],[CléEtablissement]])</f>
        <v>4.1841004184100415E-3</v>
      </c>
      <c r="P24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0" s="186">
        <f>1/COUNTIF(T_sept_dec[CléRéseau-Rize horsmed],T_sept_dec[[#This Row],[CléRéseau-Rize horsmed]])</f>
        <v>4.1841004184100415E-3</v>
      </c>
      <c r="R240" s="186" t="str">
        <f>IF(COUNTIF(RIZE,T_sept_dec[[#This Row],[Secteur organisateur]]),"Rize_"&amp;T_sept_dec[[#This Row],[Enseignant référent (Nom Prénom)]],"")</f>
        <v/>
      </c>
      <c r="S240" s="186">
        <f>1/COUNTIF(T_sept_dec[CléRize],T_sept_dec[[#This Row],[CléRize]])</f>
        <v>4.048582995951417E-3</v>
      </c>
      <c r="T240" s="186" t="str">
        <f>IF(COUNTIF(Total,T_sept_dec[[#This Row],[Secteur organisateur]]),"Total_"&amp;T_sept_dec[[#This Row],[Enseignant référent (Nom Prénom)]],"")</f>
        <v/>
      </c>
      <c r="U240" s="186">
        <f>1/COUNTIF(T_sept_dec[cléTotal],T_sept_dec[[#This Row],[cléTotal]])</f>
        <v>4.1841004184100415E-3</v>
      </c>
    </row>
    <row r="241" spans="11:21">
      <c r="K241" s="21" t="str">
        <f>IF(COUNTIF(Maternelle,E241)=1,listes!$T$1,IF(COUNTIF(Elémentaire,E241)=1,listes!$U$1,IF(COUNTIF(Collège,E241)=1,listes!$V$1,IF(COUNTIF(Lycée,E241)=1,listes!$W$1,""))))</f>
        <v/>
      </c>
      <c r="L241" s="21" t="str">
        <f>IF(COUNTIF(Perralière,D241)=1,listes!$P$1,IF(COUNTIF(Buers,D241)=1,listes!$J$1,IF(COUNTIF(Charpennes,D241)=1,listes!$K$1,IF(COUNTIF(Cusset,D241)=1,listes!$L$1,IF(COUNTIF(Cyprien,D241)=1,listes!$M$1,IF(COUNTIF(Ferrandière,D241)=1,listes!$N$1,IF(COUNTIF(Gratteciel,D241)=1,listes!$O$1,IF(COUNTIF(Saintjean,D241)=1,listes!$Q$1,IF(COUNTIF(horsvilleurbanne,D241)=1,listes!$R$1,"")))))))))</f>
        <v/>
      </c>
      <c r="M241" s="21" t="str">
        <f t="shared" si="3"/>
        <v/>
      </c>
      <c r="N241" s="186" t="str">
        <f>T_sept_dec[[#This Row],[Etablissement accueillant]]&amp;"-"&amp;T_sept_dec[[#This Row],[Enseignant référent (Nom Prénom)]]</f>
        <v>-</v>
      </c>
      <c r="O241" s="21">
        <f>1/COUNTIF(T_sept_dec[CléEtablissement],T_sept_dec[[#This Row],[CléEtablissement]])</f>
        <v>4.1841004184100415E-3</v>
      </c>
      <c r="P241"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1" s="186">
        <f>1/COUNTIF(T_sept_dec[CléRéseau-Rize horsmed],T_sept_dec[[#This Row],[CléRéseau-Rize horsmed]])</f>
        <v>4.1841004184100415E-3</v>
      </c>
      <c r="R241" s="186" t="str">
        <f>IF(COUNTIF(RIZE,T_sept_dec[[#This Row],[Secteur organisateur]]),"Rize_"&amp;T_sept_dec[[#This Row],[Enseignant référent (Nom Prénom)]],"")</f>
        <v/>
      </c>
      <c r="S241" s="186">
        <f>1/COUNTIF(T_sept_dec[CléRize],T_sept_dec[[#This Row],[CléRize]])</f>
        <v>4.048582995951417E-3</v>
      </c>
      <c r="T241" s="186" t="str">
        <f>IF(COUNTIF(Total,T_sept_dec[[#This Row],[Secteur organisateur]]),"Total_"&amp;T_sept_dec[[#This Row],[Enseignant référent (Nom Prénom)]],"")</f>
        <v/>
      </c>
      <c r="U241" s="186">
        <f>1/COUNTIF(T_sept_dec[cléTotal],T_sept_dec[[#This Row],[cléTotal]])</f>
        <v>4.1841004184100415E-3</v>
      </c>
    </row>
    <row r="242" spans="11:21">
      <c r="K242" s="21" t="str">
        <f>IF(COUNTIF(Maternelle,E242)=1,listes!$T$1,IF(COUNTIF(Elémentaire,E242)=1,listes!$U$1,IF(COUNTIF(Collège,E242)=1,listes!$V$1,IF(COUNTIF(Lycée,E242)=1,listes!$W$1,""))))</f>
        <v/>
      </c>
      <c r="L242" s="21" t="str">
        <f>IF(COUNTIF(Perralière,D242)=1,listes!$P$1,IF(COUNTIF(Buers,D242)=1,listes!$J$1,IF(COUNTIF(Charpennes,D242)=1,listes!$K$1,IF(COUNTIF(Cusset,D242)=1,listes!$L$1,IF(COUNTIF(Cyprien,D242)=1,listes!$M$1,IF(COUNTIF(Ferrandière,D242)=1,listes!$N$1,IF(COUNTIF(Gratteciel,D242)=1,listes!$O$1,IF(COUNTIF(Saintjean,D242)=1,listes!$Q$1,IF(COUNTIF(horsvilleurbanne,D242)=1,listes!$R$1,"")))))))))</f>
        <v/>
      </c>
      <c r="M242" s="21" t="str">
        <f t="shared" si="3"/>
        <v/>
      </c>
      <c r="N242" s="186" t="str">
        <f>T_sept_dec[[#This Row],[Etablissement accueillant]]&amp;"-"&amp;T_sept_dec[[#This Row],[Enseignant référent (Nom Prénom)]]</f>
        <v>-</v>
      </c>
      <c r="O242" s="21">
        <f>1/COUNTIF(T_sept_dec[CléEtablissement],T_sept_dec[[#This Row],[CléEtablissement]])</f>
        <v>4.1841004184100415E-3</v>
      </c>
      <c r="P242"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2" s="186">
        <f>1/COUNTIF(T_sept_dec[CléRéseau-Rize horsmed],T_sept_dec[[#This Row],[CléRéseau-Rize horsmed]])</f>
        <v>4.1841004184100415E-3</v>
      </c>
      <c r="R242" s="186" t="str">
        <f>IF(COUNTIF(RIZE,T_sept_dec[[#This Row],[Secteur organisateur]]),"Rize_"&amp;T_sept_dec[[#This Row],[Enseignant référent (Nom Prénom)]],"")</f>
        <v/>
      </c>
      <c r="S242" s="186">
        <f>1/COUNTIF(T_sept_dec[CléRize],T_sept_dec[[#This Row],[CléRize]])</f>
        <v>4.048582995951417E-3</v>
      </c>
      <c r="T242" s="186" t="str">
        <f>IF(COUNTIF(Total,T_sept_dec[[#This Row],[Secteur organisateur]]),"Total_"&amp;T_sept_dec[[#This Row],[Enseignant référent (Nom Prénom)]],"")</f>
        <v/>
      </c>
      <c r="U242" s="186">
        <f>1/COUNTIF(T_sept_dec[cléTotal],T_sept_dec[[#This Row],[cléTotal]])</f>
        <v>4.1841004184100415E-3</v>
      </c>
    </row>
    <row r="243" spans="11:21">
      <c r="K243" s="21" t="str">
        <f>IF(COUNTIF(Maternelle,E243)=1,listes!$T$1,IF(COUNTIF(Elémentaire,E243)=1,listes!$U$1,IF(COUNTIF(Collège,E243)=1,listes!$V$1,IF(COUNTIF(Lycée,E243)=1,listes!$W$1,""))))</f>
        <v/>
      </c>
      <c r="L243" s="21" t="str">
        <f>IF(COUNTIF(Perralière,D243)=1,listes!$P$1,IF(COUNTIF(Buers,D243)=1,listes!$J$1,IF(COUNTIF(Charpennes,D243)=1,listes!$K$1,IF(COUNTIF(Cusset,D243)=1,listes!$L$1,IF(COUNTIF(Cyprien,D243)=1,listes!$M$1,IF(COUNTIF(Ferrandière,D243)=1,listes!$N$1,IF(COUNTIF(Gratteciel,D243)=1,listes!$O$1,IF(COUNTIF(Saintjean,D243)=1,listes!$Q$1,IF(COUNTIF(horsvilleurbanne,D243)=1,listes!$R$1,"")))))))))</f>
        <v/>
      </c>
      <c r="M243" s="21" t="str">
        <f t="shared" si="3"/>
        <v/>
      </c>
      <c r="N243" s="186" t="str">
        <f>T_sept_dec[[#This Row],[Etablissement accueillant]]&amp;"-"&amp;T_sept_dec[[#This Row],[Enseignant référent (Nom Prénom)]]</f>
        <v>-</v>
      </c>
      <c r="O243" s="21">
        <f>1/COUNTIF(T_sept_dec[CléEtablissement],T_sept_dec[[#This Row],[CléEtablissement]])</f>
        <v>4.1841004184100415E-3</v>
      </c>
      <c r="P243"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3" s="186">
        <f>1/COUNTIF(T_sept_dec[CléRéseau-Rize horsmed],T_sept_dec[[#This Row],[CléRéseau-Rize horsmed]])</f>
        <v>4.1841004184100415E-3</v>
      </c>
      <c r="R243" s="186" t="str">
        <f>IF(COUNTIF(RIZE,T_sept_dec[[#This Row],[Secteur organisateur]]),"Rize_"&amp;T_sept_dec[[#This Row],[Enseignant référent (Nom Prénom)]],"")</f>
        <v/>
      </c>
      <c r="S243" s="186">
        <f>1/COUNTIF(T_sept_dec[CléRize],T_sept_dec[[#This Row],[CléRize]])</f>
        <v>4.048582995951417E-3</v>
      </c>
      <c r="T243" s="186" t="str">
        <f>IF(COUNTIF(Total,T_sept_dec[[#This Row],[Secteur organisateur]]),"Total_"&amp;T_sept_dec[[#This Row],[Enseignant référent (Nom Prénom)]],"")</f>
        <v/>
      </c>
      <c r="U243" s="186">
        <f>1/COUNTIF(T_sept_dec[cléTotal],T_sept_dec[[#This Row],[cléTotal]])</f>
        <v>4.1841004184100415E-3</v>
      </c>
    </row>
    <row r="244" spans="11:21">
      <c r="K244" s="21" t="str">
        <f>IF(COUNTIF(Maternelle,E244)=1,listes!$T$1,IF(COUNTIF(Elémentaire,E244)=1,listes!$U$1,IF(COUNTIF(Collège,E244)=1,listes!$V$1,IF(COUNTIF(Lycée,E244)=1,listes!$W$1,""))))</f>
        <v/>
      </c>
      <c r="L244" s="21" t="str">
        <f>IF(COUNTIF(Perralière,D244)=1,listes!$P$1,IF(COUNTIF(Buers,D244)=1,listes!$J$1,IF(COUNTIF(Charpennes,D244)=1,listes!$K$1,IF(COUNTIF(Cusset,D244)=1,listes!$L$1,IF(COUNTIF(Cyprien,D244)=1,listes!$M$1,IF(COUNTIF(Ferrandière,D244)=1,listes!$N$1,IF(COUNTIF(Gratteciel,D244)=1,listes!$O$1,IF(COUNTIF(Saintjean,D244)=1,listes!$Q$1,IF(COUNTIF(horsvilleurbanne,D244)=1,listes!$R$1,"")))))))))</f>
        <v/>
      </c>
      <c r="M244" s="21" t="str">
        <f t="shared" si="3"/>
        <v/>
      </c>
      <c r="N244" s="186" t="str">
        <f>T_sept_dec[[#This Row],[Etablissement accueillant]]&amp;"-"&amp;T_sept_dec[[#This Row],[Enseignant référent (Nom Prénom)]]</f>
        <v>-</v>
      </c>
      <c r="O244" s="21">
        <f>1/COUNTIF(T_sept_dec[CléEtablissement],T_sept_dec[[#This Row],[CléEtablissement]])</f>
        <v>4.1841004184100415E-3</v>
      </c>
      <c r="P244"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4" s="186">
        <f>1/COUNTIF(T_sept_dec[CléRéseau-Rize horsmed],T_sept_dec[[#This Row],[CléRéseau-Rize horsmed]])</f>
        <v>4.1841004184100415E-3</v>
      </c>
      <c r="R244" s="186" t="str">
        <f>IF(COUNTIF(RIZE,T_sept_dec[[#This Row],[Secteur organisateur]]),"Rize_"&amp;T_sept_dec[[#This Row],[Enseignant référent (Nom Prénom)]],"")</f>
        <v/>
      </c>
      <c r="S244" s="186">
        <f>1/COUNTIF(T_sept_dec[CléRize],T_sept_dec[[#This Row],[CléRize]])</f>
        <v>4.048582995951417E-3</v>
      </c>
      <c r="T244" s="186" t="str">
        <f>IF(COUNTIF(Total,T_sept_dec[[#This Row],[Secteur organisateur]]),"Total_"&amp;T_sept_dec[[#This Row],[Enseignant référent (Nom Prénom)]],"")</f>
        <v/>
      </c>
      <c r="U244" s="186">
        <f>1/COUNTIF(T_sept_dec[cléTotal],T_sept_dec[[#This Row],[cléTotal]])</f>
        <v>4.1841004184100415E-3</v>
      </c>
    </row>
    <row r="245" spans="11:21">
      <c r="K245" s="21" t="str">
        <f>IF(COUNTIF(Maternelle,E245)=1,listes!$T$1,IF(COUNTIF(Elémentaire,E245)=1,listes!$U$1,IF(COUNTIF(Collège,E245)=1,listes!$V$1,IF(COUNTIF(Lycée,E245)=1,listes!$W$1,""))))</f>
        <v/>
      </c>
      <c r="L245" s="21" t="str">
        <f>IF(COUNTIF(Perralière,D245)=1,listes!$P$1,IF(COUNTIF(Buers,D245)=1,listes!$J$1,IF(COUNTIF(Charpennes,D245)=1,listes!$K$1,IF(COUNTIF(Cusset,D245)=1,listes!$L$1,IF(COUNTIF(Cyprien,D245)=1,listes!$M$1,IF(COUNTIF(Ferrandière,D245)=1,listes!$N$1,IF(COUNTIF(Gratteciel,D245)=1,listes!$O$1,IF(COUNTIF(Saintjean,D245)=1,listes!$Q$1,IF(COUNTIF(horsvilleurbanne,D245)=1,listes!$R$1,"")))))))))</f>
        <v/>
      </c>
      <c r="M245" s="21" t="str">
        <f t="shared" si="3"/>
        <v/>
      </c>
      <c r="N245" s="186" t="str">
        <f>T_sept_dec[[#This Row],[Etablissement accueillant]]&amp;"-"&amp;T_sept_dec[[#This Row],[Enseignant référent (Nom Prénom)]]</f>
        <v>-</v>
      </c>
      <c r="O245" s="21">
        <f>1/COUNTIF(T_sept_dec[CléEtablissement],T_sept_dec[[#This Row],[CléEtablissement]])</f>
        <v>4.1841004184100415E-3</v>
      </c>
      <c r="P245"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5" s="186">
        <f>1/COUNTIF(T_sept_dec[CléRéseau-Rize horsmed],T_sept_dec[[#This Row],[CléRéseau-Rize horsmed]])</f>
        <v>4.1841004184100415E-3</v>
      </c>
      <c r="R245" s="186" t="str">
        <f>IF(COUNTIF(RIZE,T_sept_dec[[#This Row],[Secteur organisateur]]),"Rize_"&amp;T_sept_dec[[#This Row],[Enseignant référent (Nom Prénom)]],"")</f>
        <v/>
      </c>
      <c r="S245" s="186">
        <f>1/COUNTIF(T_sept_dec[CléRize],T_sept_dec[[#This Row],[CléRize]])</f>
        <v>4.048582995951417E-3</v>
      </c>
      <c r="T245" s="186" t="str">
        <f>IF(COUNTIF(Total,T_sept_dec[[#This Row],[Secteur organisateur]]),"Total_"&amp;T_sept_dec[[#This Row],[Enseignant référent (Nom Prénom)]],"")</f>
        <v/>
      </c>
      <c r="U245" s="186">
        <f>1/COUNTIF(T_sept_dec[cléTotal],T_sept_dec[[#This Row],[cléTotal]])</f>
        <v>4.1841004184100415E-3</v>
      </c>
    </row>
    <row r="246" spans="11:21">
      <c r="K246" s="21" t="str">
        <f>IF(COUNTIF(Maternelle,E246)=1,listes!$T$1,IF(COUNTIF(Elémentaire,E246)=1,listes!$U$1,IF(COUNTIF(Collège,E246)=1,listes!$V$1,IF(COUNTIF(Lycée,E246)=1,listes!$W$1,""))))</f>
        <v/>
      </c>
      <c r="L246" s="21" t="str">
        <f>IF(COUNTIF(Perralière,D246)=1,listes!$P$1,IF(COUNTIF(Buers,D246)=1,listes!$J$1,IF(COUNTIF(Charpennes,D246)=1,listes!$K$1,IF(COUNTIF(Cusset,D246)=1,listes!$L$1,IF(COUNTIF(Cyprien,D246)=1,listes!$M$1,IF(COUNTIF(Ferrandière,D246)=1,listes!$N$1,IF(COUNTIF(Gratteciel,D246)=1,listes!$O$1,IF(COUNTIF(Saintjean,D246)=1,listes!$Q$1,IF(COUNTIF(horsvilleurbanne,D246)=1,listes!$R$1,"")))))))))</f>
        <v/>
      </c>
      <c r="M246" s="21" t="str">
        <f t="shared" si="3"/>
        <v/>
      </c>
      <c r="N246" s="186" t="str">
        <f>T_sept_dec[[#This Row],[Etablissement accueillant]]&amp;"-"&amp;T_sept_dec[[#This Row],[Enseignant référent (Nom Prénom)]]</f>
        <v>-</v>
      </c>
      <c r="O246" s="21">
        <f>1/COUNTIF(T_sept_dec[CléEtablissement],T_sept_dec[[#This Row],[CléEtablissement]])</f>
        <v>4.1841004184100415E-3</v>
      </c>
      <c r="P246"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6" s="186">
        <f>1/COUNTIF(T_sept_dec[CléRéseau-Rize horsmed],T_sept_dec[[#This Row],[CléRéseau-Rize horsmed]])</f>
        <v>4.1841004184100415E-3</v>
      </c>
      <c r="R246" s="186" t="str">
        <f>IF(COUNTIF(RIZE,T_sept_dec[[#This Row],[Secteur organisateur]]),"Rize_"&amp;T_sept_dec[[#This Row],[Enseignant référent (Nom Prénom)]],"")</f>
        <v/>
      </c>
      <c r="S246" s="186">
        <f>1/COUNTIF(T_sept_dec[CléRize],T_sept_dec[[#This Row],[CléRize]])</f>
        <v>4.048582995951417E-3</v>
      </c>
      <c r="T246" s="186" t="str">
        <f>IF(COUNTIF(Total,T_sept_dec[[#This Row],[Secteur organisateur]]),"Total_"&amp;T_sept_dec[[#This Row],[Enseignant référent (Nom Prénom)]],"")</f>
        <v/>
      </c>
      <c r="U246" s="186">
        <f>1/COUNTIF(T_sept_dec[cléTotal],T_sept_dec[[#This Row],[cléTotal]])</f>
        <v>4.1841004184100415E-3</v>
      </c>
    </row>
    <row r="247" spans="11:21">
      <c r="K247" s="21" t="str">
        <f>IF(COUNTIF(Maternelle,E247)=1,listes!$T$1,IF(COUNTIF(Elémentaire,E247)=1,listes!$U$1,IF(COUNTIF(Collège,E247)=1,listes!$V$1,IF(COUNTIF(Lycée,E247)=1,listes!$W$1,""))))</f>
        <v/>
      </c>
      <c r="L247" s="21" t="str">
        <f>IF(COUNTIF(Perralière,D247)=1,listes!$P$1,IF(COUNTIF(Buers,D247)=1,listes!$J$1,IF(COUNTIF(Charpennes,D247)=1,listes!$K$1,IF(COUNTIF(Cusset,D247)=1,listes!$L$1,IF(COUNTIF(Cyprien,D247)=1,listes!$M$1,IF(COUNTIF(Ferrandière,D247)=1,listes!$N$1,IF(COUNTIF(Gratteciel,D247)=1,listes!$O$1,IF(COUNTIF(Saintjean,D247)=1,listes!$Q$1,IF(COUNTIF(horsvilleurbanne,D247)=1,listes!$R$1,"")))))))))</f>
        <v/>
      </c>
      <c r="M247" s="21" t="str">
        <f t="shared" si="3"/>
        <v/>
      </c>
      <c r="N247" s="186" t="str">
        <f>T_sept_dec[[#This Row],[Etablissement accueillant]]&amp;"-"&amp;T_sept_dec[[#This Row],[Enseignant référent (Nom Prénom)]]</f>
        <v>-</v>
      </c>
      <c r="O247" s="21">
        <f>1/COUNTIF(T_sept_dec[CléEtablissement],T_sept_dec[[#This Row],[CléEtablissement]])</f>
        <v>4.1841004184100415E-3</v>
      </c>
      <c r="P247"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7" s="186">
        <f>1/COUNTIF(T_sept_dec[CléRéseau-Rize horsmed],T_sept_dec[[#This Row],[CléRéseau-Rize horsmed]])</f>
        <v>4.1841004184100415E-3</v>
      </c>
      <c r="R247" s="186" t="str">
        <f>IF(COUNTIF(RIZE,T_sept_dec[[#This Row],[Secteur organisateur]]),"Rize_"&amp;T_sept_dec[[#This Row],[Enseignant référent (Nom Prénom)]],"")</f>
        <v/>
      </c>
      <c r="S247" s="186">
        <f>1/COUNTIF(T_sept_dec[CléRize],T_sept_dec[[#This Row],[CléRize]])</f>
        <v>4.048582995951417E-3</v>
      </c>
      <c r="T247" s="186" t="str">
        <f>IF(COUNTIF(Total,T_sept_dec[[#This Row],[Secteur organisateur]]),"Total_"&amp;T_sept_dec[[#This Row],[Enseignant référent (Nom Prénom)]],"")</f>
        <v/>
      </c>
      <c r="U247" s="186">
        <f>1/COUNTIF(T_sept_dec[cléTotal],T_sept_dec[[#This Row],[cléTotal]])</f>
        <v>4.1841004184100415E-3</v>
      </c>
    </row>
    <row r="248" spans="11:21">
      <c r="K248" s="21" t="str">
        <f>IF(COUNTIF(Maternelle,E248)=1,listes!$T$1,IF(COUNTIF(Elémentaire,E248)=1,listes!$U$1,IF(COUNTIF(Collège,E248)=1,listes!$V$1,IF(COUNTIF(Lycée,E248)=1,listes!$W$1,""))))</f>
        <v/>
      </c>
      <c r="L248" s="21" t="str">
        <f>IF(COUNTIF(Perralière,D248)=1,listes!$P$1,IF(COUNTIF(Buers,D248)=1,listes!$J$1,IF(COUNTIF(Charpennes,D248)=1,listes!$K$1,IF(COUNTIF(Cusset,D248)=1,listes!$L$1,IF(COUNTIF(Cyprien,D248)=1,listes!$M$1,IF(COUNTIF(Ferrandière,D248)=1,listes!$N$1,IF(COUNTIF(Gratteciel,D248)=1,listes!$O$1,IF(COUNTIF(Saintjean,D248)=1,listes!$Q$1,IF(COUNTIF(horsvilleurbanne,D248)=1,listes!$R$1,"")))))))))</f>
        <v/>
      </c>
      <c r="M248" s="21" t="str">
        <f t="shared" si="3"/>
        <v/>
      </c>
      <c r="N248" s="186" t="str">
        <f>T_sept_dec[[#This Row],[Etablissement accueillant]]&amp;"-"&amp;T_sept_dec[[#This Row],[Enseignant référent (Nom Prénom)]]</f>
        <v>-</v>
      </c>
      <c r="O248" s="21">
        <f>1/COUNTIF(T_sept_dec[CléEtablissement],T_sept_dec[[#This Row],[CléEtablissement]])</f>
        <v>4.1841004184100415E-3</v>
      </c>
      <c r="P248"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8" s="186">
        <f>1/COUNTIF(T_sept_dec[CléRéseau-Rize horsmed],T_sept_dec[[#This Row],[CléRéseau-Rize horsmed]])</f>
        <v>4.1841004184100415E-3</v>
      </c>
      <c r="R248" s="186" t="str">
        <f>IF(COUNTIF(RIZE,T_sept_dec[[#This Row],[Secteur organisateur]]),"Rize_"&amp;T_sept_dec[[#This Row],[Enseignant référent (Nom Prénom)]],"")</f>
        <v/>
      </c>
      <c r="S248" s="186">
        <f>1/COUNTIF(T_sept_dec[CléRize],T_sept_dec[[#This Row],[CléRize]])</f>
        <v>4.048582995951417E-3</v>
      </c>
      <c r="T248" s="186" t="str">
        <f>IF(COUNTIF(Total,T_sept_dec[[#This Row],[Secteur organisateur]]),"Total_"&amp;T_sept_dec[[#This Row],[Enseignant référent (Nom Prénom)]],"")</f>
        <v/>
      </c>
      <c r="U248" s="186">
        <f>1/COUNTIF(T_sept_dec[cléTotal],T_sept_dec[[#This Row],[cléTotal]])</f>
        <v>4.1841004184100415E-3</v>
      </c>
    </row>
    <row r="249" spans="11:21">
      <c r="K249" s="21" t="str">
        <f>IF(COUNTIF(Maternelle,E249)=1,listes!$T$1,IF(COUNTIF(Elémentaire,E249)=1,listes!$U$1,IF(COUNTIF(Collège,E249)=1,listes!$V$1,IF(COUNTIF(Lycée,E249)=1,listes!$W$1,""))))</f>
        <v/>
      </c>
      <c r="L249" s="21" t="str">
        <f>IF(COUNTIF(Perralière,D249)=1,listes!$P$1,IF(COUNTIF(Buers,D249)=1,listes!$J$1,IF(COUNTIF(Charpennes,D249)=1,listes!$K$1,IF(COUNTIF(Cusset,D249)=1,listes!$L$1,IF(COUNTIF(Cyprien,D249)=1,listes!$M$1,IF(COUNTIF(Ferrandière,D249)=1,listes!$N$1,IF(COUNTIF(Gratteciel,D249)=1,listes!$O$1,IF(COUNTIF(Saintjean,D249)=1,listes!$Q$1,IF(COUNTIF(horsvilleurbanne,D249)=1,listes!$R$1,"")))))))))</f>
        <v/>
      </c>
      <c r="M249" s="21" t="str">
        <f t="shared" si="3"/>
        <v/>
      </c>
      <c r="N249" s="186" t="str">
        <f>T_sept_dec[[#This Row],[Etablissement accueillant]]&amp;"-"&amp;T_sept_dec[[#This Row],[Enseignant référent (Nom Prénom)]]</f>
        <v>-</v>
      </c>
      <c r="O249" s="21">
        <f>1/COUNTIF(T_sept_dec[CléEtablissement],T_sept_dec[[#This Row],[CléEtablissement]])</f>
        <v>4.1841004184100415E-3</v>
      </c>
      <c r="P249"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49" s="186">
        <f>1/COUNTIF(T_sept_dec[CléRéseau-Rize horsmed],T_sept_dec[[#This Row],[CléRéseau-Rize horsmed]])</f>
        <v>4.1841004184100415E-3</v>
      </c>
      <c r="R249" s="186" t="str">
        <f>IF(COUNTIF(RIZE,T_sept_dec[[#This Row],[Secteur organisateur]]),"Rize_"&amp;T_sept_dec[[#This Row],[Enseignant référent (Nom Prénom)]],"")</f>
        <v/>
      </c>
      <c r="S249" s="186">
        <f>1/COUNTIF(T_sept_dec[CléRize],T_sept_dec[[#This Row],[CléRize]])</f>
        <v>4.048582995951417E-3</v>
      </c>
      <c r="T249" s="186" t="str">
        <f>IF(COUNTIF(Total,T_sept_dec[[#This Row],[Secteur organisateur]]),"Total_"&amp;T_sept_dec[[#This Row],[Enseignant référent (Nom Prénom)]],"")</f>
        <v/>
      </c>
      <c r="U249" s="186">
        <f>1/COUNTIF(T_sept_dec[cléTotal],T_sept_dec[[#This Row],[cléTotal]])</f>
        <v>4.1841004184100415E-3</v>
      </c>
    </row>
    <row r="250" spans="11:21">
      <c r="K250" s="21" t="str">
        <f>IF(COUNTIF(Maternelle,E250)=1,listes!$T$1,IF(COUNTIF(Elémentaire,E250)=1,listes!$U$1,IF(COUNTIF(Collège,E250)=1,listes!$V$1,IF(COUNTIF(Lycée,E250)=1,listes!$W$1,""))))</f>
        <v/>
      </c>
      <c r="L250" s="21" t="str">
        <f>IF(COUNTIF(Perralière,D250)=1,listes!$P$1,IF(COUNTIF(Buers,D250)=1,listes!$J$1,IF(COUNTIF(Charpennes,D250)=1,listes!$K$1,IF(COUNTIF(Cusset,D250)=1,listes!$L$1,IF(COUNTIF(Cyprien,D250)=1,listes!$M$1,IF(COUNTIF(Ferrandière,D250)=1,listes!$N$1,IF(COUNTIF(Gratteciel,D250)=1,listes!$O$1,IF(COUNTIF(Saintjean,D250)=1,listes!$Q$1,IF(COUNTIF(horsvilleurbanne,D250)=1,listes!$R$1,"")))))))))</f>
        <v/>
      </c>
      <c r="M250" s="21" t="str">
        <f t="shared" si="3"/>
        <v/>
      </c>
      <c r="N250" s="186" t="str">
        <f>T_sept_dec[[#This Row],[Etablissement accueillant]]&amp;"-"&amp;T_sept_dec[[#This Row],[Enseignant référent (Nom Prénom)]]</f>
        <v>-</v>
      </c>
      <c r="O250" s="21">
        <f>1/COUNTIF(T_sept_dec[CléEtablissement],T_sept_dec[[#This Row],[CléEtablissement]])</f>
        <v>4.1841004184100415E-3</v>
      </c>
      <c r="P250" s="21" t="str">
        <f>IF(COUNTIF(Réseau,T_sept_dec[[#This Row],[Secteur organisateur]]),"Réseau_"&amp;T_sept_dec[[#This Row],[Enseignant référent (Nom Prénom)]], IF(COUNTIF(Rizehorsmed,T_sept_dec[[#This Row],[Secteur organisateur]]),"Rizehorsmed_"&amp;T_sept_dec[[#This Row],[Enseignant référent (Nom Prénom)]], T_sept_dec[[#This Row],[Secteur organisateur]]&amp;"_"&amp;T_sept_dec[[#This Row],[Enseignant référent (Nom Prénom)]]))</f>
        <v>_</v>
      </c>
      <c r="Q250" s="186">
        <f>1/COUNTIF(T_sept_dec[CléRéseau-Rize horsmed],T_sept_dec[[#This Row],[CléRéseau-Rize horsmed]])</f>
        <v>4.1841004184100415E-3</v>
      </c>
      <c r="R250" s="186" t="str">
        <f>IF(COUNTIF(RIZE,T_sept_dec[[#This Row],[Secteur organisateur]]),"Rize_"&amp;T_sept_dec[[#This Row],[Enseignant référent (Nom Prénom)]],"")</f>
        <v/>
      </c>
      <c r="S250" s="186">
        <f>1/COUNTIF(T_sept_dec[CléRize],T_sept_dec[[#This Row],[CléRize]])</f>
        <v>4.048582995951417E-3</v>
      </c>
      <c r="T250" s="186" t="str">
        <f>IF(COUNTIF(Total,T_sept_dec[[#This Row],[Secteur organisateur]]),"Total_"&amp;T_sept_dec[[#This Row],[Enseignant référent (Nom Prénom)]],"")</f>
        <v/>
      </c>
      <c r="U250" s="186">
        <f>1/COUNTIF(T_sept_dec[cléTotal],T_sept_dec[[#This Row],[cléTotal]])</f>
        <v>4.1841004184100415E-3</v>
      </c>
    </row>
    <row r="251" spans="11:21">
      <c r="K251" s="21" t="str">
        <f>IF(COUNTIF(Maternelle,E251)=1,listes!$T$1,IF(COUNTIF(Elémentaire,E251)=1,listes!$U$1,IF(COUNTIF(Collège,E251)=1,listes!$V$1,IF(COUNTIF(Lycée,E251)=1,listes!$W$1,""))))</f>
        <v/>
      </c>
    </row>
    <row r="252" spans="11:21">
      <c r="K252" s="21" t="str">
        <f>IF(COUNTIF(Maternelle,E252)=1,listes!$T$1,IF(COUNTIF(Elémentaire,E252)=1,listes!$U$1,IF(COUNTIF(Collège,E252)=1,listes!$V$1,IF(COUNTIF(Lycée,E252)=1,listes!$W$1,""))))</f>
        <v/>
      </c>
    </row>
    <row r="253" spans="11:21">
      <c r="K253" s="21" t="str">
        <f>IF(COUNTIF(Maternelle,E253)=1,listes!$T$1,IF(COUNTIF(Elémentaire,E253)=1,listes!$U$1,IF(COUNTIF(Collège,E253)=1,listes!$V$1,IF(COUNTIF(Lycée,E253)=1,listes!$W$1,""))))</f>
        <v/>
      </c>
    </row>
    <row r="254" spans="11:21">
      <c r="K254" s="21" t="str">
        <f>IF(COUNTIF(Maternelle,E254)=1,listes!$T$1,IF(COUNTIF(Elémentaire,E254)=1,listes!$U$1,IF(COUNTIF(Collège,E254)=1,listes!$V$1,IF(COUNTIF(Lycée,E254)=1,listes!$W$1,""))))</f>
        <v/>
      </c>
    </row>
    <row r="255" spans="11:21">
      <c r="K255" s="21" t="str">
        <f>IF(COUNTIF(Maternelle,E255)=1,listes!$T$1,IF(COUNTIF(Elémentaire,E255)=1,listes!$U$1,IF(COUNTIF(Collège,E255)=1,listes!$V$1,IF(COUNTIF(Lycée,E255)=1,listes!$W$1,""))))</f>
        <v/>
      </c>
    </row>
    <row r="256" spans="11:21">
      <c r="K256" s="21" t="str">
        <f>IF(COUNTIF(Maternelle,E256)=1,listes!$T$1,IF(COUNTIF(Elémentaire,E256)=1,listes!$U$1,IF(COUNTIF(Collège,E256)=1,listes!$V$1,IF(COUNTIF(Lycée,E256)=1,listes!$W$1,""))))</f>
        <v/>
      </c>
    </row>
    <row r="257" spans="11:11">
      <c r="K257" s="21" t="str">
        <f>IF(COUNTIF(Maternelle,E257)=1,listes!$T$1,IF(COUNTIF(Elémentaire,E257)=1,listes!$U$1,IF(COUNTIF(Collège,E257)=1,listes!$V$1,IF(COUNTIF(Lycée,E257)=1,listes!$W$1,""))))</f>
        <v/>
      </c>
    </row>
    <row r="258" spans="11:11">
      <c r="K258" s="21" t="str">
        <f>IF(COUNTIF(Maternelle,E258)=1,listes!$T$1,IF(COUNTIF(Elémentaire,E258)=1,listes!$U$1,IF(COUNTIF(Collège,E258)=1,listes!$V$1,IF(COUNTIF(Lycée,E258)=1,listes!$W$1,""))))</f>
        <v/>
      </c>
    </row>
    <row r="259" spans="11:11">
      <c r="K259" s="21" t="str">
        <f>IF(COUNTIF(Maternelle,E259)=1,listes!$T$1,IF(COUNTIF(Elémentaire,E259)=1,listes!$U$1,IF(COUNTIF(Collège,E259)=1,listes!$V$1,IF(COUNTIF(Lycée,E259)=1,listes!$W$1,""))))</f>
        <v/>
      </c>
    </row>
    <row r="260" spans="11:11">
      <c r="K260" s="21" t="str">
        <f>IF(COUNTIF(Maternelle,E260)=1,listes!$T$1,IF(COUNTIF(Elémentaire,E260)=1,listes!$U$1,IF(COUNTIF(Collège,E260)=1,listes!$V$1,IF(COUNTIF(Lycée,E260)=1,listes!$W$1,""))))</f>
        <v/>
      </c>
    </row>
    <row r="261" spans="11:11">
      <c r="K261" s="21" t="str">
        <f>IF(COUNTIF(Maternelle,E261)=1,listes!$T$1,IF(COUNTIF(Elémentaire,E261)=1,listes!$U$1,IF(COUNTIF(Collège,E261)=1,listes!$V$1,IF(COUNTIF(Lycée,E261)=1,listes!$W$1,""))))</f>
        <v/>
      </c>
    </row>
    <row r="262" spans="11:11">
      <c r="K262" s="21" t="str">
        <f>IF(COUNTIF(Maternelle,E262)=1,listes!$T$1,IF(COUNTIF(Elémentaire,E262)=1,listes!$U$1,IF(COUNTIF(Collège,E262)=1,listes!$V$1,IF(COUNTIF(Lycée,E262)=1,listes!$W$1,""))))</f>
        <v/>
      </c>
    </row>
    <row r="263" spans="11:11">
      <c r="K263" s="21" t="str">
        <f>IF(COUNTIF(Maternelle,E263)=1,listes!$T$1,IF(COUNTIF(Elémentaire,E263)=1,listes!$U$1,IF(COUNTIF(Collège,E263)=1,listes!$V$1,IF(COUNTIF(Lycée,E263)=1,listes!$W$1,""))))</f>
        <v/>
      </c>
    </row>
    <row r="264" spans="11:11">
      <c r="K264" s="21" t="str">
        <f>IF(COUNTIF(Maternelle,E264)=1,listes!$T$1,IF(COUNTIF(Elémentaire,E264)=1,listes!$U$1,IF(COUNTIF(Collège,E264)=1,listes!$V$1,IF(COUNTIF(Lycée,E264)=1,listes!$W$1,""))))</f>
        <v/>
      </c>
    </row>
    <row r="265" spans="11:11">
      <c r="K265" s="21" t="str">
        <f>IF(COUNTIF(Maternelle,E265)=1,listes!$T$1,IF(COUNTIF(Elémentaire,E265)=1,listes!$U$1,IF(COUNTIF(Collège,E265)=1,listes!$V$1,IF(COUNTIF(Lycée,E265)=1,listes!$W$1,""))))</f>
        <v/>
      </c>
    </row>
    <row r="266" spans="11:11">
      <c r="K266" s="21" t="str">
        <f>IF(COUNTIF(Maternelle,E266)=1,listes!$T$1,IF(COUNTIF(Elémentaire,E266)=1,listes!$U$1,IF(COUNTIF(Collège,E266)=1,listes!$V$1,IF(COUNTIF(Lycée,E266)=1,listes!$W$1,""))))</f>
        <v/>
      </c>
    </row>
    <row r="267" spans="11:11">
      <c r="K267" s="21" t="str">
        <f>IF(COUNTIF(Maternelle,E267)=1,listes!$T$1,IF(COUNTIF(Elémentaire,E267)=1,listes!$U$1,IF(COUNTIF(Collège,E267)=1,listes!$V$1,IF(COUNTIF(Lycée,E267)=1,listes!$W$1,""))))</f>
        <v/>
      </c>
    </row>
    <row r="268" spans="11:11">
      <c r="K268" s="21" t="str">
        <f>IF(COUNTIF(Maternelle,E268)=1,listes!$T$1,IF(COUNTIF(Elémentaire,E268)=1,listes!$U$1,IF(COUNTIF(Collège,E268)=1,listes!$V$1,IF(COUNTIF(Lycée,E268)=1,listes!$W$1,""))))</f>
        <v/>
      </c>
    </row>
    <row r="269" spans="11:11">
      <c r="K269" s="21" t="str">
        <f>IF(COUNTIF(Maternelle,E269)=1,listes!$T$1,IF(COUNTIF(Elémentaire,E269)=1,listes!$U$1,IF(COUNTIF(Collège,E269)=1,listes!$V$1,IF(COUNTIF(Lycée,E269)=1,listes!$W$1,""))))</f>
        <v/>
      </c>
    </row>
    <row r="270" spans="11:11">
      <c r="K270" s="21" t="str">
        <f>IF(COUNTIF(Maternelle,E270)=1,listes!$T$1,IF(COUNTIF(Elémentaire,E270)=1,listes!$U$1,IF(COUNTIF(Collège,E270)=1,listes!$V$1,IF(COUNTIF(Lycée,E270)=1,listes!$W$1,""))))</f>
        <v/>
      </c>
    </row>
    <row r="271" spans="11:11">
      <c r="K271" s="21" t="str">
        <f>IF(COUNTIF(Maternelle,E271)=1,listes!$T$1,IF(COUNTIF(Elémentaire,E271)=1,listes!$U$1,IF(COUNTIF(Collège,E271)=1,listes!$V$1,IF(COUNTIF(Lycée,E271)=1,listes!$W$1,""))))</f>
        <v/>
      </c>
    </row>
    <row r="272" spans="11:11">
      <c r="K272" s="21" t="str">
        <f>IF(COUNTIF(Maternelle,E272)=1,listes!$T$1,IF(COUNTIF(Elémentaire,E272)=1,listes!$U$1,IF(COUNTIF(Collège,E272)=1,listes!$V$1,IF(COUNTIF(Lycée,E272)=1,listes!$W$1,""))))</f>
        <v/>
      </c>
    </row>
    <row r="273" spans="11:11">
      <c r="K273" s="21" t="str">
        <f>IF(COUNTIF(Maternelle,E273)=1,listes!$T$1,IF(COUNTIF(Elémentaire,E273)=1,listes!$U$1,IF(COUNTIF(Collège,E273)=1,listes!$V$1,IF(COUNTIF(Lycée,E273)=1,listes!$W$1,""))))</f>
        <v/>
      </c>
    </row>
    <row r="274" spans="11:11">
      <c r="K274" s="21" t="str">
        <f>IF(COUNTIF(Maternelle,E274)=1,listes!$T$1,IF(COUNTIF(Elémentaire,E274)=1,listes!$U$1,IF(COUNTIF(Collège,E274)=1,listes!$V$1,IF(COUNTIF(Lycée,E274)=1,listes!$W$1,""))))</f>
        <v/>
      </c>
    </row>
    <row r="275" spans="11:11">
      <c r="K275" s="21" t="str">
        <f>IF(COUNTIF(Maternelle,E275)=1,listes!$T$1,IF(COUNTIF(Elémentaire,E275)=1,listes!$U$1,IF(COUNTIF(Collège,E275)=1,listes!$V$1,IF(COUNTIF(Lycée,E275)=1,listes!$W$1,""))))</f>
        <v/>
      </c>
    </row>
    <row r="276" spans="11:11">
      <c r="K276" s="21" t="str">
        <f>IF(COUNTIF(Maternelle,E276)=1,listes!$T$1,IF(COUNTIF(Elémentaire,E276)=1,listes!$U$1,IF(COUNTIF(Collège,E276)=1,listes!$V$1,IF(COUNTIF(Lycée,E276)=1,listes!$W$1,""))))</f>
        <v/>
      </c>
    </row>
    <row r="277" spans="11:11">
      <c r="K277" s="21" t="str">
        <f>IF(COUNTIF(Maternelle,E277)=1,listes!$T$1,IF(COUNTIF(Elémentaire,E277)=1,listes!$U$1,IF(COUNTIF(Collège,E277)=1,listes!$V$1,IF(COUNTIF(Lycée,E277)=1,listes!$W$1,""))))</f>
        <v/>
      </c>
    </row>
    <row r="278" spans="11:11">
      <c r="K278" s="21" t="str">
        <f>IF(COUNTIF(Maternelle,E278)=1,listes!$T$1,IF(COUNTIF(Elémentaire,E278)=1,listes!$U$1,IF(COUNTIF(Collège,E278)=1,listes!$V$1,IF(COUNTIF(Lycée,E278)=1,listes!$W$1,""))))</f>
        <v/>
      </c>
    </row>
    <row r="279" spans="11:11">
      <c r="K279" s="21" t="str">
        <f>IF(COUNTIF(Maternelle,E279)=1,listes!$T$1,IF(COUNTIF(Elémentaire,E279)=1,listes!$U$1,IF(COUNTIF(Collège,E279)=1,listes!$V$1,IF(COUNTIF(Lycée,E279)=1,listes!$W$1,""))))</f>
        <v/>
      </c>
    </row>
    <row r="280" spans="11:11">
      <c r="K280" s="21" t="str">
        <f>IF(COUNTIF(Maternelle,E280)=1,listes!$T$1,IF(COUNTIF(Elémentaire,E280)=1,listes!$U$1,IF(COUNTIF(Collège,E280)=1,listes!$V$1,IF(COUNTIF(Lycée,E280)=1,listes!$W$1,""))))</f>
        <v/>
      </c>
    </row>
    <row r="281" spans="11:11">
      <c r="K281" s="21" t="str">
        <f>IF(COUNTIF(Maternelle,E281)=1,listes!$T$1,IF(COUNTIF(Elémentaire,E281)=1,listes!$U$1,IF(COUNTIF(Collège,E281)=1,listes!$V$1,IF(COUNTIF(Lycée,E281)=1,listes!$W$1,""))))</f>
        <v/>
      </c>
    </row>
    <row r="282" spans="11:11">
      <c r="K282" s="21" t="str">
        <f>IF(COUNTIF(Maternelle,E282)=1,listes!$T$1,IF(COUNTIF(Elémentaire,E282)=1,listes!$U$1,IF(COUNTIF(Collège,E282)=1,listes!$V$1,IF(COUNTIF(Lycée,E282)=1,listes!$W$1,""))))</f>
        <v/>
      </c>
    </row>
    <row r="283" spans="11:11">
      <c r="K283" s="21" t="str">
        <f>IF(COUNTIF(Maternelle,E283)=1,listes!$T$1,IF(COUNTIF(Elémentaire,E283)=1,listes!$U$1,IF(COUNTIF(Collège,E283)=1,listes!$V$1,IF(COUNTIF(Lycée,E283)=1,listes!$W$1,""))))</f>
        <v/>
      </c>
    </row>
    <row r="284" spans="11:11">
      <c r="K284" s="21" t="str">
        <f>IF(COUNTIF(Maternelle,E284)=1,listes!$T$1,IF(COUNTIF(Elémentaire,E284)=1,listes!$U$1,IF(COUNTIF(Collège,E284)=1,listes!$V$1,IF(COUNTIF(Lycée,E284)=1,listes!$W$1,""))))</f>
        <v/>
      </c>
    </row>
    <row r="285" spans="11:11">
      <c r="K285" s="21" t="str">
        <f>IF(COUNTIF(Maternelle,E285)=1,listes!$T$1,IF(COUNTIF(Elémentaire,E285)=1,listes!$U$1,IF(COUNTIF(Collège,E285)=1,listes!$V$1,IF(COUNTIF(Lycée,E285)=1,listes!$W$1,""))))</f>
        <v/>
      </c>
    </row>
    <row r="286" spans="11:11">
      <c r="K286" s="21" t="str">
        <f>IF(COUNTIF(Maternelle,E286)=1,listes!$T$1,IF(COUNTIF(Elémentaire,E286)=1,listes!$U$1,IF(COUNTIF(Collège,E286)=1,listes!$V$1,IF(COUNTIF(Lycée,E286)=1,listes!$W$1,""))))</f>
        <v/>
      </c>
    </row>
    <row r="287" spans="11:11">
      <c r="K287" s="21" t="str">
        <f>IF(COUNTIF(Maternelle,E287)=1,listes!$T$1,IF(COUNTIF(Elémentaire,E287)=1,listes!$U$1,IF(COUNTIF(Collège,E287)=1,listes!$V$1,IF(COUNTIF(Lycée,E287)=1,listes!$W$1,""))))</f>
        <v/>
      </c>
    </row>
    <row r="288" spans="11:11">
      <c r="K288" s="21" t="str">
        <f>IF(COUNTIF(Maternelle,E288)=1,listes!$T$1,IF(COUNTIF(Elémentaire,E288)=1,listes!$U$1,IF(COUNTIF(Collège,E288)=1,listes!$V$1,IF(COUNTIF(Lycée,E288)=1,listes!$W$1,""))))</f>
        <v/>
      </c>
    </row>
    <row r="289" spans="11:11">
      <c r="K289" s="21" t="str">
        <f>IF(COUNTIF(Maternelle,E289)=1,listes!$T$1,IF(COUNTIF(Elémentaire,E289)=1,listes!$U$1,IF(COUNTIF(Collège,E289)=1,listes!$V$1,IF(COUNTIF(Lycée,E289)=1,listes!$W$1,""))))</f>
        <v/>
      </c>
    </row>
    <row r="290" spans="11:11">
      <c r="K290" s="21" t="str">
        <f>IF(COUNTIF(Maternelle,E290)=1,listes!$T$1,IF(COUNTIF(Elémentaire,E290)=1,listes!$U$1,IF(COUNTIF(Collège,E290)=1,listes!$V$1,IF(COUNTIF(Lycée,E290)=1,listes!$W$1,""))))</f>
        <v/>
      </c>
    </row>
    <row r="291" spans="11:11">
      <c r="K291" s="21" t="str">
        <f>IF(COUNTIF(Maternelle,E291)=1,listes!$T$1,IF(COUNTIF(Elémentaire,E291)=1,listes!$U$1,IF(COUNTIF(Collège,E291)=1,listes!$V$1,IF(COUNTIF(Lycée,E291)=1,listes!$W$1,""))))</f>
        <v/>
      </c>
    </row>
    <row r="292" spans="11:11">
      <c r="K292" s="21" t="str">
        <f>IF(COUNTIF(Maternelle,E292)=1,listes!$T$1,IF(COUNTIF(Elémentaire,E292)=1,listes!$U$1,IF(COUNTIF(Collège,E292)=1,listes!$V$1,IF(COUNTIF(Lycée,E292)=1,listes!$W$1,""))))</f>
        <v/>
      </c>
    </row>
    <row r="293" spans="11:11">
      <c r="K293" s="21" t="str">
        <f>IF(COUNTIF(Maternelle,E293)=1,listes!$T$1,IF(COUNTIF(Elémentaire,E293)=1,listes!$U$1,IF(COUNTIF(Collège,E293)=1,listes!$V$1,IF(COUNTIF(Lycée,E293)=1,listes!$W$1,""))))</f>
        <v/>
      </c>
    </row>
    <row r="294" spans="11:11">
      <c r="K294" s="21" t="str">
        <f>IF(COUNTIF(Maternelle,E294)=1,listes!$T$1,IF(COUNTIF(Elémentaire,E294)=1,listes!$U$1,IF(COUNTIF(Collège,E294)=1,listes!$V$1,IF(COUNTIF(Lycée,E294)=1,listes!$W$1,""))))</f>
        <v/>
      </c>
    </row>
    <row r="295" spans="11:11">
      <c r="K295" s="21" t="str">
        <f>IF(COUNTIF(Maternelle,E295)=1,listes!$T$1,IF(COUNTIF(Elémentaire,E295)=1,listes!$U$1,IF(COUNTIF(Collège,E295)=1,listes!$V$1,IF(COUNTIF(Lycée,E295)=1,listes!$W$1,""))))</f>
        <v/>
      </c>
    </row>
    <row r="296" spans="11:11">
      <c r="K296" s="21" t="str">
        <f>IF(COUNTIF(Maternelle,E296)=1,listes!$T$1,IF(COUNTIF(Elémentaire,E296)=1,listes!$U$1,IF(COUNTIF(Collège,E296)=1,listes!$V$1,IF(COUNTIF(Lycée,E296)=1,listes!$W$1,""))))</f>
        <v/>
      </c>
    </row>
    <row r="297" spans="11:11">
      <c r="K297" s="21" t="str">
        <f>IF(COUNTIF(Maternelle,E297)=1,listes!$T$1,IF(COUNTIF(Elémentaire,E297)=1,listes!$U$1,IF(COUNTIF(Collège,E297)=1,listes!$V$1,IF(COUNTIF(Lycée,E297)=1,listes!$W$1,""))))</f>
        <v/>
      </c>
    </row>
    <row r="298" spans="11:11">
      <c r="K298" s="21" t="str">
        <f>IF(COUNTIF(Maternelle,E298)=1,listes!$T$1,IF(COUNTIF(Elémentaire,E298)=1,listes!$U$1,IF(COUNTIF(Collège,E298)=1,listes!$V$1,IF(COUNTIF(Lycée,E298)=1,listes!$W$1,""))))</f>
        <v/>
      </c>
    </row>
    <row r="299" spans="11:11">
      <c r="K299" s="21" t="str">
        <f>IF(COUNTIF(Maternelle,E299)=1,listes!$T$1,IF(COUNTIF(Elémentaire,E299)=1,listes!$U$1,IF(COUNTIF(Collège,E299)=1,listes!$V$1,IF(COUNTIF(Lycée,E299)=1,listes!$W$1,""))))</f>
        <v/>
      </c>
    </row>
    <row r="300" spans="11:11">
      <c r="K300" s="21" t="str">
        <f>IF(COUNTIF(Maternelle,E300)=1,listes!$T$1,IF(COUNTIF(Elémentaire,E300)=1,listes!$U$1,IF(COUNTIF(Collège,E300)=1,listes!$V$1,IF(COUNTIF(Lycée,E300)=1,listes!$W$1,""))))</f>
        <v/>
      </c>
    </row>
    <row r="301" spans="11:11">
      <c r="K301" s="21" t="str">
        <f>IF(COUNTIF(Maternelle,E301)=1,listes!$T$1,IF(COUNTIF(Elémentaire,E301)=1,listes!$U$1,IF(COUNTIF(Collège,E301)=1,listes!$V$1,IF(COUNTIF(Lycée,E301)=1,listes!$W$1,""))))</f>
        <v/>
      </c>
    </row>
    <row r="302" spans="11:11">
      <c r="K302" s="21" t="str">
        <f>IF(COUNTIF(Maternelle,E302)=1,listes!$T$1,IF(COUNTIF(Elémentaire,E302)=1,listes!$U$1,IF(COUNTIF(Collège,E302)=1,listes!$V$1,IF(COUNTIF(Lycée,E302)=1,listes!$W$1,""))))</f>
        <v/>
      </c>
    </row>
    <row r="303" spans="11:11">
      <c r="K303" s="21" t="str">
        <f>IF(COUNTIF(Maternelle,E303)=1,listes!$T$1,IF(COUNTIF(Elémentaire,E303)=1,listes!$U$1,IF(COUNTIF(Collège,E303)=1,listes!$V$1,IF(COUNTIF(Lycée,E303)=1,listes!$W$1,""))))</f>
        <v/>
      </c>
    </row>
    <row r="328" ht="22.5" customHeight="1"/>
  </sheetData>
  <sheetProtection formatCells="0" formatColumns="0" formatRows="0" insertHyperlinks="0" deleteRows="0" sort="0" autoFilter="0" pivotTables="0"/>
  <sortState ref="A2:N316">
    <sortCondition ref="A1"/>
  </sortState>
  <dataValidations count="2">
    <dataValidation type="list" allowBlank="1" showInputMessage="1" showErrorMessage="1" sqref="H25:H136 H138:H1048576">
      <formula1>$F$2:$F$3</formula1>
    </dataValidation>
    <dataValidation type="list" allowBlank="1" showInputMessage="1" showErrorMessage="1" sqref="D138:D1048576 D25:D136">
      <formula1>$E$2:$E$52</formula1>
    </dataValidation>
  </dataValidations>
  <pageMargins left="0.7" right="0.7" top="0.75" bottom="0.75" header="0.3" footer="0.3"/>
  <pageSetup paperSize="9" scale="10" orientation="landscape" r:id="rId1"/>
  <ignoredErrors>
    <ignoredError sqref="B1:C1 B12:C32 C10 C2 C3 C4 C5 C6 C7 C8 C9 C11" listDataValidation="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9">
        <x14:dataValidation type="list" showInputMessage="1" showErrorMessage="1">
          <x14:formula1>
            <xm:f>listes!$B$2:$B$12</xm:f>
          </x14:formula1>
          <xm:sqref>B25:B46 B1:B22 C1:C46 B47:C136 B138:C1048576 M52:M53 K52:K53</xm:sqref>
        </x14:dataValidation>
        <x14:dataValidation type="list" allowBlank="1" showInputMessage="1" showErrorMessage="1">
          <x14:formula1>
            <xm:f>listes!$G$2:$G$3</xm:f>
          </x14:formula1>
          <xm:sqref>H1:H22</xm:sqref>
        </x14:dataValidation>
        <x14:dataValidation type="list" allowBlank="1" showInputMessage="1" showErrorMessage="1">
          <x14:formula1>
            <xm:f>listes!$E$2:$E$34</xm:f>
          </x14:formula1>
          <xm:sqref>I1:I1048576</xm:sqref>
        </x14:dataValidation>
        <x14:dataValidation type="list" showInputMessage="1" showErrorMessage="1">
          <x14:formula1>
            <xm:f>listes!#REF!</xm:f>
          </x14:formula1>
          <xm:sqref>B23:B24</xm:sqref>
        </x14:dataValidation>
        <x14:dataValidation type="list" allowBlank="1" showInputMessage="1" showErrorMessage="1">
          <x14:formula1>
            <xm:f>listes!#REF!</xm:f>
          </x14:formula1>
          <xm:sqref>D23:E24 H23:H24</xm:sqref>
        </x14:dataValidation>
        <x14:dataValidation type="list" showInputMessage="1" showErrorMessage="1">
          <x14:formula1>
            <xm:f>[1]listes!#REF!</xm:f>
          </x14:formula1>
          <xm:sqref>B137:C137</xm:sqref>
        </x14:dataValidation>
        <x14:dataValidation type="list" allowBlank="1" showInputMessage="1" showErrorMessage="1">
          <x14:formula1>
            <xm:f>[1]listes!#REF!</xm:f>
          </x14:formula1>
          <xm:sqref>D137 H137</xm:sqref>
        </x14:dataValidation>
        <x14:dataValidation type="list" allowBlank="1" showInputMessage="1" showErrorMessage="1">
          <x14:formula1>
            <xm:f>listes!$A$2:$A$36</xm:f>
          </x14:formula1>
          <xm:sqref>E2:E22 E25:E1048576</xm:sqref>
        </x14:dataValidation>
        <x14:dataValidation type="list" allowBlank="1" showInputMessage="1" showErrorMessage="1">
          <x14:formula1>
            <xm:f>listes!$F$2:$F$52</xm:f>
          </x14:formula1>
          <xm:sqref>D2:D22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enableFormatConditionsCalculation="0">
    <pageSetUpPr fitToPage="1"/>
  </sheetPr>
  <dimension ref="A1:V98"/>
  <sheetViews>
    <sheetView zoomScale="80" zoomScaleNormal="80" zoomScalePageLayoutView="80" workbookViewId="0">
      <selection activeCell="E38" sqref="E38"/>
    </sheetView>
  </sheetViews>
  <sheetFormatPr baseColWidth="10" defaultRowHeight="15"/>
  <cols>
    <col min="1" max="1" width="18.85546875" customWidth="1"/>
    <col min="2" max="2" width="14.85546875" customWidth="1"/>
    <col min="3" max="3" width="11.140625" customWidth="1"/>
    <col min="4" max="4" width="14.7109375" customWidth="1"/>
    <col min="5" max="5" width="19.140625" customWidth="1"/>
    <col min="6" max="6" width="9.140625" customWidth="1"/>
    <col min="7" max="7" width="9.42578125" customWidth="1"/>
    <col min="8" max="8" width="11" customWidth="1"/>
    <col min="9" max="9" width="7.85546875" bestFit="1" customWidth="1"/>
    <col min="10" max="10" width="9.140625" bestFit="1" customWidth="1"/>
    <col min="11" max="11" width="16.85546875" customWidth="1"/>
    <col min="12" max="12" width="20.85546875" customWidth="1"/>
    <col min="13" max="13" width="8.7109375" customWidth="1"/>
    <col min="14" max="14" width="8.42578125" customWidth="1"/>
    <col min="15" max="15" width="9.140625" customWidth="1"/>
    <col min="16" max="16" width="8.85546875" customWidth="1"/>
    <col min="17" max="17" width="9.42578125" customWidth="1"/>
    <col min="18" max="18" width="10.7109375" customWidth="1"/>
    <col min="19" max="19" width="10.85546875" customWidth="1"/>
    <col min="20" max="20" width="12.28515625" customWidth="1"/>
    <col min="21" max="21" width="10.85546875" customWidth="1"/>
    <col min="22" max="22" width="27" customWidth="1"/>
    <col min="23" max="23" width="33.42578125" customWidth="1"/>
    <col min="24" max="24" width="17.140625" customWidth="1"/>
  </cols>
  <sheetData>
    <row r="1" spans="1:15" ht="24" thickBot="1">
      <c r="A1" s="277" t="s">
        <v>222</v>
      </c>
      <c r="B1" s="278"/>
      <c r="C1" s="278"/>
      <c r="D1" s="278"/>
      <c r="E1" s="278"/>
      <c r="F1" s="278"/>
      <c r="G1" s="278"/>
      <c r="H1" s="279"/>
      <c r="K1" t="s">
        <v>237</v>
      </c>
      <c r="N1" t="s">
        <v>242</v>
      </c>
    </row>
    <row r="2" spans="1:15" ht="15.75" thickBot="1">
      <c r="A2" s="17"/>
      <c r="B2" s="10" t="s">
        <v>153</v>
      </c>
      <c r="C2" s="172" t="s">
        <v>137</v>
      </c>
      <c r="D2" s="172" t="s">
        <v>138</v>
      </c>
      <c r="E2" s="173" t="s">
        <v>151</v>
      </c>
      <c r="F2" s="173" t="s">
        <v>76</v>
      </c>
      <c r="G2" s="173" t="s">
        <v>77</v>
      </c>
      <c r="H2" s="174" t="s">
        <v>152</v>
      </c>
      <c r="K2" s="130" t="s">
        <v>238</v>
      </c>
      <c r="L2" s="130" t="s">
        <v>240</v>
      </c>
    </row>
    <row r="3" spans="1:15" ht="40.5" customHeight="1">
      <c r="A3" s="256" t="s">
        <v>164</v>
      </c>
      <c r="B3" s="7" t="s">
        <v>150</v>
      </c>
      <c r="C3" s="220"/>
      <c r="D3" s="23" t="e">
        <f>D19+D25+D28+#REF!</f>
        <v>#REF!</v>
      </c>
      <c r="E3" s="25" t="e">
        <f t="shared" ref="E3:E11" si="0">C3+D3</f>
        <v>#REF!</v>
      </c>
      <c r="F3" s="23" t="e">
        <f>F19+F25+F28+#REF!</f>
        <v>#REF!</v>
      </c>
      <c r="G3" s="23" t="e">
        <f>G19+G25+G28+#REF!</f>
        <v>#REF!</v>
      </c>
      <c r="H3" s="196">
        <f>SUMPRODUCT((LEFT(T_sept_dec[CléRéseau-Rize horsmed],2)="Ré")*T_sept_dec[cptréseau-rizehormed])</f>
        <v>3</v>
      </c>
      <c r="K3" s="245" t="s">
        <v>114</v>
      </c>
      <c r="L3" s="288" t="s">
        <v>105</v>
      </c>
      <c r="N3" s="247"/>
      <c r="O3" t="s">
        <v>239</v>
      </c>
    </row>
    <row r="4" spans="1:15" ht="43.5" customHeight="1">
      <c r="A4" s="257"/>
      <c r="B4" s="8" t="s">
        <v>149</v>
      </c>
      <c r="C4" s="221"/>
      <c r="D4" s="27" t="e">
        <f>D20+D26+D29+#REF!</f>
        <v>#REF!</v>
      </c>
      <c r="E4" s="28" t="e">
        <f t="shared" si="0"/>
        <v>#REF!</v>
      </c>
      <c r="F4" s="27" t="e">
        <f>F20+F26+F29+#REF!</f>
        <v>#REF!</v>
      </c>
      <c r="G4" s="27" t="e">
        <f>G20+G26+G29+#REF!</f>
        <v>#REF!</v>
      </c>
      <c r="H4" s="197">
        <f>SUMPRODUCT((LEFT(T_sept_dec[CléRéseau-Rize horsmed],2)="Ré")*T_sept_dec[cptréseau-rizehormed]*T_sept_dec[Nombre enfants])</f>
        <v>88.5</v>
      </c>
      <c r="K4" s="246" t="s">
        <v>111</v>
      </c>
      <c r="L4" s="288"/>
    </row>
    <row r="5" spans="1:15" ht="27" thickBot="1">
      <c r="A5" s="258"/>
      <c r="B5" s="68" t="s">
        <v>148</v>
      </c>
      <c r="C5" s="6">
        <f>C21+C27+C30+C44</f>
        <v>0</v>
      </c>
      <c r="D5" s="6">
        <f>D21+D27+D30+D44</f>
        <v>0</v>
      </c>
      <c r="E5" s="30">
        <f t="shared" si="0"/>
        <v>0</v>
      </c>
      <c r="F5" s="6">
        <f>F21+F27+F30+F44</f>
        <v>0</v>
      </c>
      <c r="G5" s="6">
        <f>G21+G27+G30+G44</f>
        <v>0</v>
      </c>
      <c r="H5" s="198">
        <f>COUNTIF(Données!B:B,"ARTO")+COUNTIF(Données!B:B,"EMM")+COUNTIF(Données!B:B,"MLIS A")+COUNTIF(Données!B:B,"MLIS DV")+COUNTIF(Données!B:B,"MLIS J")+COUNTIF(Données!B:B,"MTK")+COUNTIF(Données!B:B,"PAC-BUS")+COUNTIF(Données!B:B,"RIZE MED")</f>
        <v>5</v>
      </c>
      <c r="K5" s="245" t="s">
        <v>112</v>
      </c>
      <c r="L5" s="288"/>
    </row>
    <row r="6" spans="1:15" ht="36.75" customHeight="1">
      <c r="A6" s="256" t="s">
        <v>163</v>
      </c>
      <c r="B6" s="7" t="s">
        <v>150</v>
      </c>
      <c r="C6" s="32" t="e">
        <f>COUNTIFS(Données!B:B,"RIZE ARCHI",Données!K:K,"Maternelle",Données!#REF!,"=1")+COUNTIFS(Données!B:B,"RIZE VALO",Données!K:K,"Maternelle",Données!#REF!,"=1")</f>
        <v>#REF!</v>
      </c>
      <c r="D6" s="32" t="e">
        <f>COUNTIFS(Données!B:B,"RIZE ARCHI",Données!K:K,"Elémentaire",Données!#REF!,"=1")+COUNTIFS(Données!B:B,"RIZE VALO",Données!K:K,"Elémentaire",Données!#REF!,"=1")</f>
        <v>#REF!</v>
      </c>
      <c r="E6" s="25" t="e">
        <f t="shared" si="0"/>
        <v>#REF!</v>
      </c>
      <c r="F6" s="32" t="e">
        <f>COUNTIFS(Données!B:B,"RIZE ARCHI",Données!K:K,"Collège",Données!#REF!,"=1")+COUNTIFS(Données!B:B,"RIZE VALO",Données!K:K,"Collège",Données!#REF!,"=1")</f>
        <v>#REF!</v>
      </c>
      <c r="G6" s="32" t="e">
        <f>COUNTIFS(Données!B:B,"RIZE ARCHI",Données!K:K,"Lycée",Données!#REF!,"=1")+COUNTIFS(Données!B:B,"RIZE VALO",Données!K:K,"Lycée",Données!#REF!,"=1")</f>
        <v>#REF!</v>
      </c>
      <c r="H6" s="199">
        <f>SUMPRODUCT((LEFT(T_sept_dec[CléRéseau-Rize horsmed],2)="Ri")*T_sept_dec[cptréseau-rizehormed])</f>
        <v>2</v>
      </c>
      <c r="K6" s="245" t="s">
        <v>113</v>
      </c>
      <c r="L6" s="288"/>
    </row>
    <row r="7" spans="1:15" ht="26.25">
      <c r="A7" s="257"/>
      <c r="B7" s="8" t="s">
        <v>149</v>
      </c>
      <c r="C7" s="16" t="e">
        <f>SUMIFS(Données!G:G,Données!B:B,"RIZE ARCHI",Données!K:K,"Maternelle",Données!#REF!,"=1")+SUMIFS(Données!G:G,Données!B:B,"RIZE VALO",Données!K:K,"Maternelle",Données!#REF!,"=1")</f>
        <v>#REF!</v>
      </c>
      <c r="D7" s="16" t="e">
        <f>SUMIFS(Données!G:G,Données!B:B,"RIZE ARCHI",Données!K:K,"Elémentaire",Données!#REF!,"=1")+SUMIFS(Données!G:G,Données!B:B,"RIZE VALO",Données!K:K,"Elémentaire",Données!#REF!,"=1")</f>
        <v>#REF!</v>
      </c>
      <c r="E7" s="28" t="e">
        <f t="shared" si="0"/>
        <v>#REF!</v>
      </c>
      <c r="F7" s="16" t="e">
        <f>SUMIFS(Données!G:G,Données!B:B,"RIZE ARCHI",Données!K:K,"Collège",Données!#REF!,"=1")+SUMIFS(Données!G:G,Données!B:B,"RIZE VALO",Données!K:K,"Collège",Données!#REF!,"=1")</f>
        <v>#REF!</v>
      </c>
      <c r="G7" s="35" t="e">
        <f>SUMIFS(Données!G:G,Données!B:B,"RIZE ARCHI",Données!K:K,"Lycée",Données!#REF!,"=1")+SUMIFS(Données!G:G,Données!B:B,"RIZE VALO",Données!K:K,"Lycée",Données!#REF!,"=1")</f>
        <v>#REF!</v>
      </c>
      <c r="H7" s="200">
        <f>SUMPRODUCT((LEFT(T_sept_dec[CléRéseau-Rize horsmed],2)="Ri")*T_sept_dec[cptréseau-rizehormed]*T_sept_dec[Nombre enfants])</f>
        <v>60</v>
      </c>
      <c r="K7" s="245" t="s">
        <v>119</v>
      </c>
      <c r="L7" s="288"/>
    </row>
    <row r="8" spans="1:15" ht="27" thickBot="1">
      <c r="A8" s="258"/>
      <c r="B8" s="68" t="s">
        <v>148</v>
      </c>
      <c r="C8" s="6">
        <f>COUNTIFS(Données!B:B,"RIZE ARCHI",Données!K:K,"Maternelle")+COUNTIFS(Données!B:B,"RIZE VALO",Données!K:K,"Maternelle")</f>
        <v>0</v>
      </c>
      <c r="D8" s="6">
        <f>COUNTIFS(Données!B:B,"RIZE ARCHI",Données!K:K,"Elémentaire")+COUNTIFS(Données!B:B,"RIZE VALO",Données!K:K,"Elémentaire")</f>
        <v>0</v>
      </c>
      <c r="E8" s="30">
        <f t="shared" si="0"/>
        <v>0</v>
      </c>
      <c r="F8" s="6">
        <f>COUNTIFS(Données!B:B,"RIZE ARCHI",Données!K:K,"Collège")+COUNTIFS(Données!B:B,"RIZE VALO",Données!K:K,"Collège")</f>
        <v>0</v>
      </c>
      <c r="G8" s="6">
        <f>COUNTIFS(Données!B:B,"RIZE ARCHI",Données!K:K,"Lycée")+COUNTIFS(Données!B:B,"RIZE VALO",Données!K:K,"Lycée")</f>
        <v>0</v>
      </c>
      <c r="H8" s="198">
        <f>COUNTIF(Données!B:B,"RIZE ARCHI")+COUNTIF(Données!B:B,"RIZE VALO")</f>
        <v>2</v>
      </c>
      <c r="K8" s="244" t="s">
        <v>161</v>
      </c>
      <c r="L8" s="289" t="s">
        <v>30</v>
      </c>
    </row>
    <row r="9" spans="1:15" ht="26.25">
      <c r="A9" s="257" t="s">
        <v>124</v>
      </c>
      <c r="B9" s="7" t="s">
        <v>150</v>
      </c>
      <c r="C9" s="33"/>
      <c r="D9" s="181" t="e">
        <f>COUNTIFS(#REF!,"FDL",#REF!,"Elémentaire",#REF!,"=1")</f>
        <v>#REF!</v>
      </c>
      <c r="E9" s="178" t="e">
        <f t="shared" si="0"/>
        <v>#REF!</v>
      </c>
      <c r="F9" s="181" t="e">
        <f>COUNTIFS(#REF!,"FDL",#REF!,"Collège",#REF!,"=1")</f>
        <v>#REF!</v>
      </c>
      <c r="G9" s="181" t="e">
        <f>COUNTIFS(#REF!,"FDL",#REF!,"Lycée",#REF!,"=1")</f>
        <v>#REF!</v>
      </c>
      <c r="H9" s="201">
        <f>SUMIF(T_sept_dec[Secteur organisateur],"FDL",T_sept_dec[cptEtablissement])</f>
        <v>1</v>
      </c>
      <c r="K9" s="245" t="s">
        <v>160</v>
      </c>
      <c r="L9" s="289"/>
    </row>
    <row r="10" spans="1:15" ht="26.25">
      <c r="A10" s="257"/>
      <c r="B10" s="8" t="s">
        <v>149</v>
      </c>
      <c r="C10" s="34" t="e">
        <f>SUMIFS(#REF!,#REF!,"FDL",#REF!,"Maternelle",#REF!,"=1")</f>
        <v>#REF!</v>
      </c>
      <c r="D10" s="182" t="e">
        <f>SUMIFS(#REF!,#REF!,"FDL",#REF!,"Elémentaire",#REF!,"=1")</f>
        <v>#REF!</v>
      </c>
      <c r="E10" s="179" t="e">
        <f t="shared" si="0"/>
        <v>#REF!</v>
      </c>
      <c r="F10" s="182" t="e">
        <f>SUMIFS(#REF!,#REF!,"FDL",#REF!,"Collège",#REF!,"=1")</f>
        <v>#REF!</v>
      </c>
      <c r="G10" s="182" t="e">
        <f>SUMIFS(#REF!,#REF!,"FDL",#REF!,"Lycée",#REF!,"=1")</f>
        <v>#REF!</v>
      </c>
      <c r="H10" s="202">
        <f>SUMPRODUCT((T_sept_dec[Secteur organisateur]="FDL")*T_sept_dec[Nombre enfants]*T_sept_dec[cptEtablissement])</f>
        <v>29.333333333333332</v>
      </c>
      <c r="K10" s="244" t="s">
        <v>169</v>
      </c>
      <c r="L10" s="289"/>
    </row>
    <row r="11" spans="1:15" ht="27" thickBot="1">
      <c r="A11" s="258"/>
      <c r="B11" s="68" t="s">
        <v>148</v>
      </c>
      <c r="C11" s="14" t="e">
        <f>COUNTIFS(#REF!,"FDL",#REF!,"Maternelle")</f>
        <v>#REF!</v>
      </c>
      <c r="D11" s="183" t="e">
        <f>COUNTIFS(#REF!,"FDL",#REF!,"Elémentaire")</f>
        <v>#REF!</v>
      </c>
      <c r="E11" s="180" t="e">
        <f t="shared" si="0"/>
        <v>#REF!</v>
      </c>
      <c r="F11" s="183" t="e">
        <f>COUNTIFS(#REF!,"FDL",#REF!,"Collège")</f>
        <v>#REF!</v>
      </c>
      <c r="G11" s="184" t="e">
        <f>COUNTIFS(#REF!,"FDL",#REF!,"Lycée")</f>
        <v>#REF!</v>
      </c>
      <c r="H11" s="203">
        <f>COUNTIF(Données!B:B,"FDL")</f>
        <v>3</v>
      </c>
      <c r="K11" s="245" t="s">
        <v>109</v>
      </c>
      <c r="L11" s="247" t="s">
        <v>29</v>
      </c>
    </row>
    <row r="12" spans="1:15" ht="26.25">
      <c r="A12" s="280" t="s">
        <v>177</v>
      </c>
      <c r="B12" s="44" t="s">
        <v>150</v>
      </c>
      <c r="C12" s="45" t="e">
        <f>C3+C6+C9</f>
        <v>#REF!</v>
      </c>
      <c r="D12" s="45" t="e">
        <f t="shared" ref="D12:G12" si="1">D3+D6+D9</f>
        <v>#REF!</v>
      </c>
      <c r="E12" s="45" t="e">
        <f t="shared" si="1"/>
        <v>#REF!</v>
      </c>
      <c r="F12" s="45" t="e">
        <f t="shared" si="1"/>
        <v>#REF!</v>
      </c>
      <c r="G12" s="45" t="e">
        <f t="shared" si="1"/>
        <v>#REF!</v>
      </c>
      <c r="H12" s="204">
        <f>SUMPRODUCT((LEFT(T_sept_dec[cléTotal],2)="To")*T_sept_dec[cptTotal])</f>
        <v>2.9999999999999996</v>
      </c>
      <c r="K12" s="245" t="s">
        <v>110</v>
      </c>
      <c r="L12" s="247" t="s">
        <v>110</v>
      </c>
    </row>
    <row r="13" spans="1:15" ht="26.25">
      <c r="A13" s="280"/>
      <c r="B13" s="46" t="s">
        <v>149</v>
      </c>
      <c r="C13" s="16" t="e">
        <f>C4+C7+C10</f>
        <v>#REF!</v>
      </c>
      <c r="D13" s="16" t="e">
        <f t="shared" ref="D13:G13" si="2">D4+D7+D10</f>
        <v>#REF!</v>
      </c>
      <c r="E13" s="16" t="e">
        <f t="shared" si="2"/>
        <v>#REF!</v>
      </c>
      <c r="F13" s="16" t="e">
        <f t="shared" si="2"/>
        <v>#REF!</v>
      </c>
      <c r="G13" s="16" t="e">
        <f t="shared" si="2"/>
        <v>#REF!</v>
      </c>
      <c r="H13" s="200">
        <f>SUMPRODUCT((LEFT(T_sept_dec[cléTotal],2)="To")*T_sept_dec[cptTotal]*T_sept_dec[Nombre enfants])</f>
        <v>88.833333333333343</v>
      </c>
      <c r="K13" s="244" t="s">
        <v>124</v>
      </c>
      <c r="L13" s="130" t="s">
        <v>124</v>
      </c>
    </row>
    <row r="14" spans="1:15" ht="27" thickBot="1">
      <c r="A14" s="281"/>
      <c r="B14" s="69" t="s">
        <v>148</v>
      </c>
      <c r="C14" s="43" t="e">
        <f>C5+C8+C11</f>
        <v>#REF!</v>
      </c>
      <c r="D14" s="43" t="e">
        <f t="shared" ref="D14:G14" si="3">D5+D8+D11</f>
        <v>#REF!</v>
      </c>
      <c r="E14" s="43" t="e">
        <f t="shared" si="3"/>
        <v>#REF!</v>
      </c>
      <c r="F14" s="43" t="e">
        <f t="shared" si="3"/>
        <v>#REF!</v>
      </c>
      <c r="G14" s="43" t="e">
        <f t="shared" si="3"/>
        <v>#REF!</v>
      </c>
      <c r="H14" s="198">
        <f>H5+H8+H11</f>
        <v>10</v>
      </c>
    </row>
    <row r="16" spans="1:15" ht="15.95" thickBot="1"/>
    <row r="17" spans="1:11" ht="24" thickBot="1">
      <c r="A17" s="277" t="s">
        <v>154</v>
      </c>
      <c r="B17" s="278"/>
      <c r="C17" s="278"/>
      <c r="D17" s="278"/>
      <c r="E17" s="278"/>
      <c r="F17" s="278"/>
      <c r="G17" s="278"/>
      <c r="H17" s="279"/>
    </row>
    <row r="18" spans="1:11" ht="15.75" thickBot="1">
      <c r="A18" s="17"/>
      <c r="B18" s="10" t="s">
        <v>153</v>
      </c>
      <c r="C18" s="172" t="s">
        <v>137</v>
      </c>
      <c r="D18" s="172" t="s">
        <v>138</v>
      </c>
      <c r="E18" s="173" t="s">
        <v>151</v>
      </c>
      <c r="F18" s="173" t="s">
        <v>76</v>
      </c>
      <c r="G18" s="173" t="s">
        <v>77</v>
      </c>
      <c r="H18" s="174" t="s">
        <v>152</v>
      </c>
    </row>
    <row r="19" spans="1:11" ht="26.25">
      <c r="A19" s="256" t="s">
        <v>105</v>
      </c>
      <c r="B19" s="7" t="s">
        <v>150</v>
      </c>
      <c r="C19" s="23" t="e">
        <f>COUNTIFS(Données!N:N,"Mlis",Données!K:K,"Maternelle",Données!#REF!,"=1")</f>
        <v>#REF!</v>
      </c>
      <c r="D19" s="23" t="e">
        <f>COUNTIFS(Données!N:N,"Mlis",Données!K:K,"Elémentaire",Données!#REF!,"=1")</f>
        <v>#REF!</v>
      </c>
      <c r="E19" s="25" t="e">
        <f t="shared" ref="E19:E33" si="4">C19+D19</f>
        <v>#REF!</v>
      </c>
      <c r="F19" s="23" t="e">
        <f>COUNTIFS(Données!N:N,"Mlis",Données!K:K,"Collège",Données!#REF!,"=1")</f>
        <v>#REF!</v>
      </c>
      <c r="G19" s="23" t="e">
        <f>COUNTIFS(Données!N:N,"Mlis",Données!K:K,"Lycée",Données!#REF!,"=1")</f>
        <v>#REF!</v>
      </c>
      <c r="H19" s="196">
        <f>SUMPRODUCT((LEFT(T_sept_dec[CléEtablissement],2)="ML")*T_sept_dec[cptEtablissement])</f>
        <v>2</v>
      </c>
    </row>
    <row r="20" spans="1:11" ht="26.25">
      <c r="A20" s="257"/>
      <c r="B20" s="15" t="s">
        <v>149</v>
      </c>
      <c r="C20" s="27" t="e">
        <f>SUMIFS(Données!G:G,Données!N:N,"Mlis",Données!K:K,"Maternelle",Données!#REF!,"=1")</f>
        <v>#REF!</v>
      </c>
      <c r="D20" s="27" t="e">
        <f>SUMIFS(Données!G:G,Données!N:N,"Mlis",Données!K:K,"Elémentaire",Données!#REF!,"=1")</f>
        <v>#REF!</v>
      </c>
      <c r="E20" s="28" t="e">
        <f t="shared" si="4"/>
        <v>#REF!</v>
      </c>
      <c r="F20" s="27" t="e">
        <f>SUMIFS(Données!G:G,Données!N:N,"Mlis",Données!K:K,"Collège",Données!#REF!,"=1")</f>
        <v>#REF!</v>
      </c>
      <c r="G20" s="27" t="e">
        <f>SUMIFS(Données!G:G,Données!N:N,"Mlis",Données!K:K,"Lycée",Données!#REF!,"=1")</f>
        <v>#REF!</v>
      </c>
      <c r="H20" s="197">
        <f>SUMPRODUCT((LEFT(T_sept_dec[CléEtablissement],2)="ML")*T_sept_dec[cptEtablissement]*T_sept_dec[Nombre enfants])</f>
        <v>59</v>
      </c>
      <c r="K20" s="156"/>
    </row>
    <row r="21" spans="1:11" ht="27" thickBot="1">
      <c r="A21" s="258"/>
      <c r="B21" s="68" t="s">
        <v>148</v>
      </c>
      <c r="C21" s="6">
        <f>COUNTIFS(Données!N:N,"Mlis",Données!K:K,"Maternelle")</f>
        <v>0</v>
      </c>
      <c r="D21" s="6">
        <f>COUNTIFS(Données!N:N,"Mlis",Données!K:K,"Elémentaire")</f>
        <v>0</v>
      </c>
      <c r="E21" s="30">
        <f t="shared" si="4"/>
        <v>0</v>
      </c>
      <c r="F21" s="6">
        <f>COUNTIFS(Données!N:N,"Mlis",Données!K:K,"Collège")</f>
        <v>0</v>
      </c>
      <c r="G21" s="6">
        <f>COUNTIFS(Données!N:N,"Mlis",Données!K:K,"Lycée")</f>
        <v>0</v>
      </c>
      <c r="H21" s="198">
        <f>COUNTIF(Données!B:B,"ARTO")+COUNTIF(Données!B:B,"EMM")+COUNTIF(Données!B:B,"MLIS A")+COUNTIF(Données!B:B,"MLIS DV")+COUNTIF(Données!B:B,"MLIS J")</f>
        <v>3</v>
      </c>
    </row>
    <row r="22" spans="1:11" ht="26.25">
      <c r="A22" s="262" t="s">
        <v>123</v>
      </c>
      <c r="B22" s="7" t="s">
        <v>150</v>
      </c>
      <c r="C22" s="32" t="e">
        <f>COUNTIFS(Données!N:N,"Rize",Données!K:K,"Maternelle",Données!#REF!,"=1")</f>
        <v>#REF!</v>
      </c>
      <c r="D22" s="32" t="e">
        <f>COUNTIFS(Données!N:N,"Rize",Données!K:K,"Elémentaire",Données!#REF!,"=1")</f>
        <v>#REF!</v>
      </c>
      <c r="E22" s="25" t="e">
        <f t="shared" si="4"/>
        <v>#REF!</v>
      </c>
      <c r="F22" s="32" t="e">
        <f>COUNTIFS(Données!N:N,"Rize",Données!K:K,"Collège",Données!#REF!,"=1")</f>
        <v>#REF!</v>
      </c>
      <c r="G22" s="32" t="e">
        <f>COUNTIFS(Données!N:N,"Rize",Données!K:K,"Lycée",Données!#REF!,"=1")</f>
        <v>#REF!</v>
      </c>
      <c r="H22" s="199">
        <f>SUMPRODUCT((LEFT(T_sept_dec[CléEtablissement],2)="RI")*T_sept_dec[cptEtablissement])</f>
        <v>2</v>
      </c>
    </row>
    <row r="23" spans="1:11" ht="26.25">
      <c r="A23" s="263"/>
      <c r="B23" s="15" t="s">
        <v>149</v>
      </c>
      <c r="C23" s="16" t="e">
        <f>SUMIFS(Données!G:G,Données!N:N,"Rize",Données!K:K,"Maternelle",Données!#REF!,"=1")</f>
        <v>#REF!</v>
      </c>
      <c r="D23" s="16" t="e">
        <f>SUMIFS(Données!G:G,Données!N:N,"Rize",Données!K:K,"Elémentaire",Données!#REF!,"=1")</f>
        <v>#REF!</v>
      </c>
      <c r="E23" s="28" t="e">
        <f t="shared" si="4"/>
        <v>#REF!</v>
      </c>
      <c r="F23" s="16" t="e">
        <f>SUMIFS(Données!G:G,Données!N:N,"Rize",Données!K:K,"Collège",Données!#REF!,"=1")</f>
        <v>#REF!</v>
      </c>
      <c r="G23" s="35" t="e">
        <f>SUMIFS(Données!G:G,Données!N:N,"Rize",Données!K:K,"Lycée",Données!#REF!,"=1")</f>
        <v>#REF!</v>
      </c>
      <c r="H23" s="200">
        <f>SUMPRODUCT((LEFT(T_sept_dec[CléEtablissement],2)="RI")*T_sept_dec[cptEtablissement]*T_sept_dec[Nombre enfants])</f>
        <v>60</v>
      </c>
    </row>
    <row r="24" spans="1:11" ht="27" thickBot="1">
      <c r="A24" s="264"/>
      <c r="B24" s="68" t="s">
        <v>148</v>
      </c>
      <c r="C24" s="6">
        <f>COUNTIFS(Données!N:N,"Rize",Données!K:K,"Maternelle")</f>
        <v>0</v>
      </c>
      <c r="D24" s="6">
        <f>COUNTIFS(Données!N:N,"Rize",Données!K:K,"Elémentaire")</f>
        <v>0</v>
      </c>
      <c r="E24" s="30">
        <f t="shared" si="4"/>
        <v>0</v>
      </c>
      <c r="F24" s="6">
        <f>COUNTIFS(Données!N:N,"Rize",Données!K:K,"Collège")</f>
        <v>0</v>
      </c>
      <c r="G24" s="6">
        <f>COUNTIFS(Données!N:N,"Rize",Données!K:K,"Lycée")</f>
        <v>0</v>
      </c>
      <c r="H24" s="198">
        <f>COUNTIF(Données!B:B,"RIZE ARCHI")+COUNTIF(Données!B:B,"RIZE MED")+COUNTIF(Données!B:B,"RIZE VALO")</f>
        <v>2</v>
      </c>
    </row>
    <row r="25" spans="1:11" ht="26.25">
      <c r="A25" s="257" t="s">
        <v>155</v>
      </c>
      <c r="B25" s="7" t="s">
        <v>150</v>
      </c>
      <c r="C25" s="218"/>
      <c r="D25" s="9" t="e">
        <f>COUNTIFS(Données!N:N,"Tonkin",Données!K:K,"Elémentaire",Données!#REF!,"=1")</f>
        <v>#REF!</v>
      </c>
      <c r="E25" s="25" t="e">
        <f t="shared" si="4"/>
        <v>#REF!</v>
      </c>
      <c r="F25" s="9" t="e">
        <f>COUNTIFS(Données!N:N,"Tonkin",Données!K:K,"Collège",Données!#REF!,"=1")</f>
        <v>#REF!</v>
      </c>
      <c r="G25" s="9" t="e">
        <f>COUNTIFS(Données!N:N,"Tonkin",Données!K:K,"Lycée",Données!#REF!,"=1")</f>
        <v>#REF!</v>
      </c>
      <c r="H25" s="204">
        <f>SUMIF(T_sept_dec[Secteur organisateur],"MTK",T_sept_dec[cptEtablissement])</f>
        <v>1</v>
      </c>
    </row>
    <row r="26" spans="1:11" ht="26.25">
      <c r="A26" s="257"/>
      <c r="B26" s="15" t="s">
        <v>149</v>
      </c>
      <c r="C26" s="219"/>
      <c r="D26" s="16" t="e">
        <f>SUMIFS(Données!G:G,Données!N:N,"Tonkin",Données!K:K,"Elémentaire",Données!#REF!,"=1")</f>
        <v>#REF!</v>
      </c>
      <c r="E26" s="28" t="e">
        <f t="shared" si="4"/>
        <v>#REF!</v>
      </c>
      <c r="F26" s="16" t="e">
        <f>SUMIFS(Données!G:G,Données!N:N,"Tonkin",Données!K:K,"Collège",Données!#REF!,"=1")</f>
        <v>#REF!</v>
      </c>
      <c r="G26" s="16" t="e">
        <f>SUMIFS(Données!G:G,Données!N:N,"Tonkin",Données!K:K,"Lycée",Données!#REF!,"=1")</f>
        <v>#REF!</v>
      </c>
      <c r="H26" s="200">
        <f>SUMPRODUCT((T_sept_dec[Secteur organisateur]="MTK")*T_sept_dec[Nombre enfants]*T_sept_dec[cptEtablissement])</f>
        <v>29.5</v>
      </c>
    </row>
    <row r="27" spans="1:11" ht="27" thickBot="1">
      <c r="A27" s="258"/>
      <c r="B27" s="68" t="s">
        <v>148</v>
      </c>
      <c r="C27" s="6">
        <f>COUNTIFS(Données!N:N,"Tonkin",Données!K:K,"Maternelle")</f>
        <v>0</v>
      </c>
      <c r="D27" s="6">
        <f>COUNTIFS(Données!N:N,"Tonkin",Données!K:K,"Elémentaire")</f>
        <v>0</v>
      </c>
      <c r="E27" s="30">
        <f t="shared" si="4"/>
        <v>0</v>
      </c>
      <c r="F27" s="6">
        <f>COUNTIFS(Données!N:N,"Tonkin",Données!K:K,"Collège")</f>
        <v>0</v>
      </c>
      <c r="G27" s="38">
        <f>COUNTIFS(Données!N:N,"Tonkin",Données!K:K,"Lycée")</f>
        <v>0</v>
      </c>
      <c r="H27" s="198">
        <f>COUNTIF(Données!B:B,"MTK")</f>
        <v>2</v>
      </c>
    </row>
    <row r="28" spans="1:11" ht="26.25">
      <c r="A28" s="257" t="s">
        <v>110</v>
      </c>
      <c r="B28" s="7" t="s">
        <v>150</v>
      </c>
      <c r="C28" s="9">
        <f>SUMIFS(T_sept_dec[cptEtablissement],T_sept_dec[Secteur organisateur],"PAC-BUS",T_sept_dec[Groupe niveau],"Maternelle")</f>
        <v>0</v>
      </c>
      <c r="D28" s="9" t="e">
        <f>COUNTIFS(Données!N:N,"PAC-BUS",Données!K:K,"Elémentaire",Données!#REF!,"=1")</f>
        <v>#REF!</v>
      </c>
      <c r="E28" s="25" t="e">
        <f t="shared" si="4"/>
        <v>#REF!</v>
      </c>
      <c r="F28" s="9" t="e">
        <f>COUNTIFS(Données!N:N,"PAC-BUS",Données!K:K,"Collège",Données!#REF!,"=1")</f>
        <v>#REF!</v>
      </c>
      <c r="G28" s="9" t="e">
        <f>COUNTIFS(Données!N:N,"PAC-BUS",Données!K:K,"Lycée",Données!#REF!,"=1")</f>
        <v>#REF!</v>
      </c>
      <c r="H28" s="204">
        <f>SUMIF(T_sept_dec[Secteur organisateur],"PAC-BUS",T_sept_dec[cptEtablissement])</f>
        <v>0</v>
      </c>
    </row>
    <row r="29" spans="1:11" ht="26.25">
      <c r="A29" s="257"/>
      <c r="B29" s="15" t="s">
        <v>149</v>
      </c>
      <c r="C29" s="16" t="e">
        <f>SUMIFS(Données!G:G,Données!N:N,"PAC-BUS",Données!K:K,"Maternelle",Données!#REF!,"=1")</f>
        <v>#REF!</v>
      </c>
      <c r="D29" s="16" t="e">
        <f>SUMIFS(Données!G:G,Données!N:N,"PAC-BUS",Données!K:K,"Elémentaire",Données!#REF!,"=1")</f>
        <v>#REF!</v>
      </c>
      <c r="E29" s="28" t="e">
        <f t="shared" si="4"/>
        <v>#REF!</v>
      </c>
      <c r="F29" s="16" t="e">
        <f>SUMIFS(Données!G:G,Données!N:N,"PAC-BUS",Données!K:K,"Collège",Données!#REF!,"=1")</f>
        <v>#REF!</v>
      </c>
      <c r="G29" s="16" t="e">
        <f>SUMIFS(Données!G:G,Données!N:N,"PAC-BUS",Données!K:K,"Lycée",Données!#REF!,"=1")</f>
        <v>#REF!</v>
      </c>
      <c r="H29" s="200">
        <f>SUMPRODUCT((T_sept_dec[Secteur organisateur]="PAC-BUS")*T_sept_dec[Nombre enfants]*T_sept_dec[cptEtablissement])</f>
        <v>0</v>
      </c>
      <c r="I29" s="156"/>
    </row>
    <row r="30" spans="1:11" ht="27" thickBot="1">
      <c r="A30" s="258"/>
      <c r="B30" s="68" t="s">
        <v>148</v>
      </c>
      <c r="C30" s="6">
        <f>COUNTIFS(Données!N:N,"PAC-BUS",Données!K:K,"Maternelle")</f>
        <v>0</v>
      </c>
      <c r="D30" s="6">
        <f>COUNTIFS(Données!N:N,"PAC-BUS",Données!K:K,"Elémentaire")</f>
        <v>0</v>
      </c>
      <c r="E30" s="30">
        <f t="shared" si="4"/>
        <v>0</v>
      </c>
      <c r="F30" s="6">
        <f>COUNTIFS(Données!N:N,"PAC-BUS",Données!K:K,"Collège")</f>
        <v>0</v>
      </c>
      <c r="G30" s="38">
        <f>COUNTIFS(Données!N:N,"PAC-BUS",Données!K:K,"Lycée")</f>
        <v>0</v>
      </c>
      <c r="H30" s="198">
        <f>COUNTIF(Données!B:B,"PAC-BUS")</f>
        <v>0</v>
      </c>
    </row>
    <row r="31" spans="1:11" ht="26.25">
      <c r="A31" s="257" t="s">
        <v>124</v>
      </c>
      <c r="B31" s="7" t="s">
        <v>150</v>
      </c>
      <c r="C31" s="175">
        <f>SUMIFS(T_sept_dec[cptEtablissement],T_sept_dec[Secteur organisateur],"FDL",T_sept_dec[Groupe niveau],"Maternelle")</f>
        <v>0.66666666666666663</v>
      </c>
      <c r="D31" s="181" t="e">
        <f>COUNTIFS(#REF!,"FDL",#REF!,"Elémentaire",#REF!,"=1")</f>
        <v>#REF!</v>
      </c>
      <c r="E31" s="178" t="e">
        <f t="shared" si="4"/>
        <v>#REF!</v>
      </c>
      <c r="F31" s="181" t="e">
        <f>COUNTIFS(#REF!,"FDL",#REF!,"Collège",#REF!,"=1")</f>
        <v>#REF!</v>
      </c>
      <c r="G31" s="181" t="e">
        <f>COUNTIFS(#REF!,"FDL",#REF!,"Lycée",#REF!,"=1")</f>
        <v>#REF!</v>
      </c>
      <c r="H31" s="201">
        <f>SUMIF(T_sept_dec[Secteur organisateur],"FDL",T_sept_dec[cptEtablissement])</f>
        <v>1</v>
      </c>
    </row>
    <row r="32" spans="1:11" ht="26.25">
      <c r="A32" s="257"/>
      <c r="B32" s="15" t="s">
        <v>149</v>
      </c>
      <c r="C32" s="176" t="e">
        <f>SUMIFS(#REF!,#REF!,"FDL",#REF!,"Maternelle",#REF!,"=1")</f>
        <v>#REF!</v>
      </c>
      <c r="D32" s="182" t="e">
        <f>SUMIFS(#REF!,#REF!,"FDL",#REF!,"Elémentaire",#REF!,"=1")</f>
        <v>#REF!</v>
      </c>
      <c r="E32" s="179" t="e">
        <f t="shared" si="4"/>
        <v>#REF!</v>
      </c>
      <c r="F32" s="182" t="e">
        <f>SUMIFS(#REF!,#REF!,"FDL",#REF!,"Collège",#REF!,"=1")</f>
        <v>#REF!</v>
      </c>
      <c r="G32" s="182" t="e">
        <f>SUMIFS(#REF!,#REF!,"FDL",#REF!,"Lycée",#REF!,"=1")</f>
        <v>#REF!</v>
      </c>
      <c r="H32" s="202">
        <f>SUMPRODUCT((T_sept_dec[Secteur organisateur]="FDL")*T_sept_dec[Nombre enfants]*T_sept_dec[cptEtablissement])</f>
        <v>29.333333333333332</v>
      </c>
    </row>
    <row r="33" spans="1:8" ht="27" thickBot="1">
      <c r="A33" s="258"/>
      <c r="B33" s="68" t="s">
        <v>148</v>
      </c>
      <c r="C33" s="177" t="e">
        <f>COUNTIFS(#REF!,"FDL",#REF!,"Maternelle")</f>
        <v>#REF!</v>
      </c>
      <c r="D33" s="183" t="e">
        <f>COUNTIFS(#REF!,"FDL",#REF!,"Elémentaire")</f>
        <v>#REF!</v>
      </c>
      <c r="E33" s="180" t="e">
        <f t="shared" si="4"/>
        <v>#REF!</v>
      </c>
      <c r="F33" s="183" t="e">
        <f>COUNTIFS(#REF!,"FDL",#REF!,"Collège")</f>
        <v>#REF!</v>
      </c>
      <c r="G33" s="184" t="e">
        <f>COUNTIFS(#REF!,"FDL",#REF!,"Lycée")</f>
        <v>#REF!</v>
      </c>
      <c r="H33" s="203">
        <f>COUNTIF(Données!B:B,"FDL")</f>
        <v>3</v>
      </c>
    </row>
    <row r="35" spans="1:8" ht="15.75" thickBot="1">
      <c r="B35" s="255"/>
      <c r="C35" s="255"/>
      <c r="D35" s="255"/>
      <c r="E35" s="255"/>
    </row>
    <row r="36" spans="1:8" ht="24" thickBot="1">
      <c r="A36" s="259" t="s">
        <v>156</v>
      </c>
      <c r="B36" s="260"/>
      <c r="C36" s="260"/>
      <c r="D36" s="260"/>
      <c r="E36" s="260"/>
      <c r="F36" s="260"/>
      <c r="G36" s="260"/>
      <c r="H36" s="261"/>
    </row>
    <row r="37" spans="1:8" ht="15.75" thickBot="1">
      <c r="A37" s="17"/>
      <c r="B37" s="195"/>
      <c r="C37" s="222" t="s">
        <v>137</v>
      </c>
      <c r="D37" s="223" t="s">
        <v>138</v>
      </c>
      <c r="E37" s="224" t="s">
        <v>223</v>
      </c>
      <c r="F37" s="225" t="s">
        <v>76</v>
      </c>
      <c r="G37" s="226" t="s">
        <v>77</v>
      </c>
      <c r="H37" s="227" t="s">
        <v>152</v>
      </c>
    </row>
    <row r="38" spans="1:8" ht="27" customHeight="1">
      <c r="A38" s="191" t="s">
        <v>114</v>
      </c>
      <c r="B38" s="293" t="s">
        <v>218</v>
      </c>
      <c r="C38" s="205">
        <f>COUNTIFS(Données!B:B,"MLIS A",Données!K:K,"Maternelle")+COUNTIFS(Données!C:C,"MLIS A",Données!K:K,"Maternelle")</f>
        <v>0</v>
      </c>
      <c r="D38" s="228">
        <f>COUNTIFS(Données!B:B,"MLIS A",Données!K:K,"Elémentaire")+COUNTIFS(Données!C:C,"MLIS A",Données!K:K,"Elémentaire")</f>
        <v>0</v>
      </c>
      <c r="E38" s="229">
        <f>C38+D38</f>
        <v>0</v>
      </c>
      <c r="F38" s="230">
        <f>COUNTIFS(Données!B:B,"MLIS A",Données!K:K,"Collège")+COUNTIFS(Données!C:C,"MLIS A",Données!K:K,"Collège")</f>
        <v>0</v>
      </c>
      <c r="G38" s="231">
        <f>COUNTIFS(Données!B:B,"MLIS A",Données!K:K,"Lycée")+COUNTIFS(Données!C:C,"MLIS A",Données!K:K,"Lycée")</f>
        <v>0</v>
      </c>
      <c r="H38" s="232">
        <f>E38+F38+G38</f>
        <v>0</v>
      </c>
    </row>
    <row r="39" spans="1:8">
      <c r="A39" s="192" t="s">
        <v>157</v>
      </c>
      <c r="B39" s="294"/>
      <c r="C39" s="233">
        <f>COUNTIFS(Données!B:B,"MLIS DV",Données!K:K,"Maternelle")+COUNTIFS(Données!C:C,"MLIS DV",Données!K:K,"Maternelle")</f>
        <v>0</v>
      </c>
      <c r="D39" s="234">
        <f>COUNTIFS(Données!B:B,"MLIS DV",Données!K:K,"Elémentaire")+COUNTIFS(Données!C:C,"MLIS DV",Données!K:K,"Elémentaire")</f>
        <v>0</v>
      </c>
      <c r="E39" s="235">
        <f t="shared" ref="E39:E48" si="5">C39+D39</f>
        <v>0</v>
      </c>
      <c r="F39" s="236">
        <f>COUNTIFS(Données!B:B,"MLIS DV",Données!K:K,"Collège")+COUNTIFS(Données!C:C,"MLIS DV",Données!K:K,"Collège")</f>
        <v>0</v>
      </c>
      <c r="G39" s="237">
        <f>COUNTIFS(Données!B:B,"MLIS DV",Données!K:K,"Lycée")+COUNTIFS(Données!C:C,"MLIS DV",Données!K:K,"Lycée")</f>
        <v>0</v>
      </c>
      <c r="H39" s="238">
        <f t="shared" ref="H39:H48" si="6">E39+F39+G39</f>
        <v>0</v>
      </c>
    </row>
    <row r="40" spans="1:8">
      <c r="A40" s="193" t="s">
        <v>158</v>
      </c>
      <c r="B40" s="294"/>
      <c r="C40" s="233">
        <f>COUNTIFS(Données!B:B,"EMM",Données!K:K,"Maternelle")+COUNTIFS(Données!C:C,"EMM",Données!K:K,"Maternelle")</f>
        <v>0</v>
      </c>
      <c r="D40" s="234">
        <f>COUNTIFS(Données!B:B,"EMM",Données!K:K,"Elémentaire")+COUNTIFS(Données!C:C,"EMM",Données!K:K,"Elémentaire")</f>
        <v>0</v>
      </c>
      <c r="E40" s="235">
        <f t="shared" si="5"/>
        <v>0</v>
      </c>
      <c r="F40" s="236">
        <f>COUNTIFS(Données!B:B,"EMM",Données!K:K,"Collège")+COUNTIFS(Données!C:C,"EMM",Données!K:K,"Collège")</f>
        <v>0</v>
      </c>
      <c r="G40" s="237">
        <f>COUNTIFS(Données!B:B,"EMM",Données!K:K,"Lycée")+COUNTIFS(Données!C:C,"EMM",Données!K:K,"Lycée")</f>
        <v>0</v>
      </c>
      <c r="H40" s="238">
        <f t="shared" si="6"/>
        <v>0</v>
      </c>
    </row>
    <row r="41" spans="1:8" ht="27.75" customHeight="1">
      <c r="A41" s="193" t="s">
        <v>113</v>
      </c>
      <c r="B41" s="294"/>
      <c r="C41" s="233">
        <f>COUNTIFS(Données!B:B,"MLIS J",Données!K:K,"Maternelle")+COUNTIFS(Données!C:C,"MLIS J",Données!K:K,"Maternelle")</f>
        <v>0</v>
      </c>
      <c r="D41" s="234">
        <f>COUNTIFS(Données!B:B,"MLIS J",Données!K:K,"Elémentaire")+COUNTIFS(Données!C:C,"MLIS J",Données!K:K,"Elémentaire")</f>
        <v>0</v>
      </c>
      <c r="E41" s="235">
        <f t="shared" si="5"/>
        <v>0</v>
      </c>
      <c r="F41" s="236">
        <f>COUNTIFS(Données!B:B,"MLIS J",Données!K:K,"Collège")+COUNTIFS(Données!C:C,"MLIS J",Données!K:K,"Collège")</f>
        <v>0</v>
      </c>
      <c r="G41" s="237">
        <f>COUNTIFS(Données!B:B,"MLIS J",Données!K:K,"Lycée")+COUNTIFS(Données!C:C,"MLIS J",Données!K:K,"Lycée")</f>
        <v>0</v>
      </c>
      <c r="H41" s="238">
        <f t="shared" si="6"/>
        <v>0</v>
      </c>
    </row>
    <row r="42" spans="1:8">
      <c r="A42" s="193" t="s">
        <v>173</v>
      </c>
      <c r="B42" s="294"/>
      <c r="C42" s="233">
        <f>COUNTIFS(Données!B:B,"ARTO",Données!K:K,"Maternelle")+COUNTIFS(Données!C:C,"ARTO",Données!K:K,"Maternelle")</f>
        <v>0</v>
      </c>
      <c r="D42" s="234">
        <f>COUNTIFS(Données!B:B,"ARTO",Données!K:K,"Elémentaire")+COUNTIFS(Données!C:C,"ARTO",Données!K:K,"Elémentaire")</f>
        <v>0</v>
      </c>
      <c r="E42" s="235">
        <f t="shared" si="5"/>
        <v>0</v>
      </c>
      <c r="F42" s="236">
        <f>COUNTIFS(Données!B:B,"ARTO",Données!K:K,"Collège")+COUNTIFS(Données!C:C,"ARTO",Données!K:K,"Collège")</f>
        <v>0</v>
      </c>
      <c r="G42" s="237">
        <f>COUNTIFS(Données!B:B,"ARTO",Données!K:K,"Lycée")+COUNTIFS(Données!C:C,"ARTO",Données!K:K,"Lycée")</f>
        <v>0</v>
      </c>
      <c r="H42" s="238">
        <f t="shared" si="6"/>
        <v>0</v>
      </c>
    </row>
    <row r="43" spans="1:8">
      <c r="A43" s="193" t="s">
        <v>174</v>
      </c>
      <c r="B43" s="294"/>
      <c r="C43" s="233">
        <f>COUNTIFS(Données!B:B,"RIZE ARCHI",Données!K:K,"Maternelle")+COUNTIFS(Données!C:C,"RIZE ARCHI",Données!K:K,"Maternelle")</f>
        <v>0</v>
      </c>
      <c r="D43" s="234">
        <f>COUNTIFS(Données!B:B,"RIZE ARCHI",Données!K:K,"Elémentaire")+COUNTIFS(Données!C:C,"RIZE ARCHI",Données!K:K,"Elémentaire")</f>
        <v>0</v>
      </c>
      <c r="E43" s="235">
        <f t="shared" si="5"/>
        <v>0</v>
      </c>
      <c r="F43" s="236">
        <f>COUNTIFS(Données!B:B,"RIZE ARCHI",Données!K:K,"Collège")+COUNTIFS(Données!C:C,"RIZE ARCHI",Données!K:K,"Collège")</f>
        <v>0</v>
      </c>
      <c r="G43" s="237">
        <f>COUNTIFS(Données!B:B,"RIZE ARCHI",Données!K:K,"Lycée")+COUNTIFS(Données!C:C,"RIZE ARCHI",Données!K:K,"Lycée")</f>
        <v>0</v>
      </c>
      <c r="H43" s="238">
        <f t="shared" si="6"/>
        <v>0</v>
      </c>
    </row>
    <row r="44" spans="1:8">
      <c r="A44" s="193" t="s">
        <v>175</v>
      </c>
      <c r="B44" s="294"/>
      <c r="C44" s="233">
        <f>COUNTIFS(Données!B:B,"RIZE MED",Données!K:K,"Maternelle")</f>
        <v>0</v>
      </c>
      <c r="D44" s="234">
        <f>COUNTIFS(Données!B:B,"RIZE MED",Données!K:K,"Elémentaire")</f>
        <v>0</v>
      </c>
      <c r="E44" s="235">
        <f t="shared" si="5"/>
        <v>0</v>
      </c>
      <c r="F44" s="236">
        <f>COUNTIFS(Données!B:B,"RIZE MED",Données!K:K,"Collège")</f>
        <v>0</v>
      </c>
      <c r="G44" s="237">
        <f>COUNTIFS(Données!B:B,"RIZE MED",Données!K:K,"Lycée")</f>
        <v>0</v>
      </c>
      <c r="H44" s="238">
        <f t="shared" si="6"/>
        <v>0</v>
      </c>
    </row>
    <row r="45" spans="1:8" ht="25.5">
      <c r="A45" s="193" t="s">
        <v>176</v>
      </c>
      <c r="B45" s="294"/>
      <c r="C45" s="233">
        <f>COUNTIFS(Données!B:B,"RIZE VALO",Données!K:K,"Maternelle")+COUNTIFS(Données!C:C,"RIZE VALO",Données!K:K,"Maternelle")</f>
        <v>0</v>
      </c>
      <c r="D45" s="234">
        <f>COUNTIFS(Données!B:B,"RIZE VALO",Données!K:K,"Elémentaire")+COUNTIFS(Données!C:C,"RIZE VALO",Données!K:K,"Elémentaire")</f>
        <v>0</v>
      </c>
      <c r="E45" s="235">
        <f t="shared" si="5"/>
        <v>0</v>
      </c>
      <c r="F45" s="236">
        <f>COUNTIFS(Données!B:B,"RIZE VALO",Données!K:K,"Collège")+COUNTIFS(Données!C:C,"RIZE VALO",Données!K:K,"Collège")</f>
        <v>0</v>
      </c>
      <c r="G45" s="237">
        <f>COUNTIFS(Données!B:B,"RIZE VALO",Données!K:K,"Lycée")+COUNTIFS(Données!C:C,"RIZE VALO",Données!K:K,"Lycée")</f>
        <v>0</v>
      </c>
      <c r="H45" s="238">
        <f t="shared" si="6"/>
        <v>0</v>
      </c>
    </row>
    <row r="46" spans="1:8">
      <c r="A46" s="193" t="s">
        <v>155</v>
      </c>
      <c r="B46" s="294"/>
      <c r="C46" s="233">
        <f>COUNTIFS(Données!M:M,"Tonkin",Données!K:K,"Maternelle")</f>
        <v>2</v>
      </c>
      <c r="D46" s="234">
        <f>COUNTIFS(Données!M:M,"Tonkin",Données!K:K,"Elémentaire")</f>
        <v>0</v>
      </c>
      <c r="E46" s="235">
        <f t="shared" si="5"/>
        <v>2</v>
      </c>
      <c r="F46" s="236">
        <f>COUNTIFS(Données!M:M,"Tonkin",Données!K:K,"Collège")</f>
        <v>0</v>
      </c>
      <c r="G46" s="237">
        <f>COUNTIFS(Données!M:M,"Tonkin",Données!K:K,"Lycée")</f>
        <v>0</v>
      </c>
      <c r="H46" s="238">
        <f t="shared" si="6"/>
        <v>2</v>
      </c>
    </row>
    <row r="47" spans="1:8">
      <c r="A47" s="193" t="s">
        <v>159</v>
      </c>
      <c r="B47" s="294"/>
      <c r="C47" s="233">
        <f>COUNTIFS(Données!M:M,"PAC-BUS",Données!K:K,"Maternelle")</f>
        <v>0</v>
      </c>
      <c r="D47" s="234">
        <f>COUNTIFS(Données!M:M,"PAC-BUS",Données!K:K,"Elémentaire")</f>
        <v>0</v>
      </c>
      <c r="E47" s="235">
        <f t="shared" si="5"/>
        <v>0</v>
      </c>
      <c r="F47" s="236">
        <f>COUNTIFS(Données!M:M,"Tonkin",Données!K:K,"Collège")</f>
        <v>0</v>
      </c>
      <c r="G47" s="237">
        <f>COUNTIFS(Données!M:M,"PAC-BUS",Données!K:K,"Lycée")</f>
        <v>0</v>
      </c>
      <c r="H47" s="238">
        <f t="shared" si="6"/>
        <v>0</v>
      </c>
    </row>
    <row r="48" spans="1:8" ht="15.75" thickBot="1">
      <c r="A48" s="194" t="s">
        <v>124</v>
      </c>
      <c r="B48" s="295"/>
      <c r="C48" s="239">
        <f>COUNTIFS(Données!M:M,"FDL",Données!K:K,"Maternelle")</f>
        <v>2</v>
      </c>
      <c r="D48" s="240">
        <f>COUNTIFS(Données!M:M,"FDL",Données!K:K,"Elémentaire")</f>
        <v>1</v>
      </c>
      <c r="E48" s="241">
        <f t="shared" si="5"/>
        <v>3</v>
      </c>
      <c r="F48" s="242">
        <f>COUNTIFS(Données!M:M,"FDL",Données!K:K,"Collège")</f>
        <v>0</v>
      </c>
      <c r="G48" s="243">
        <f>COUNTIFS(Données!M:M,"FDL",Données!K:K,"Lycée")</f>
        <v>0</v>
      </c>
      <c r="H48" s="203">
        <f t="shared" si="6"/>
        <v>3</v>
      </c>
    </row>
    <row r="49" spans="1:22">
      <c r="A49" s="47"/>
      <c r="B49" s="48"/>
      <c r="C49" s="49"/>
      <c r="D49" s="49"/>
      <c r="E49" s="49"/>
      <c r="F49" s="49"/>
      <c r="G49" s="49"/>
      <c r="H49" s="49"/>
    </row>
    <row r="50" spans="1:22" ht="15.75" thickBot="1">
      <c r="B50" s="255"/>
      <c r="C50" s="255"/>
      <c r="D50" s="255"/>
      <c r="E50" s="255"/>
      <c r="I50" s="50"/>
      <c r="J50" s="50"/>
      <c r="K50" s="49"/>
      <c r="L50" s="49"/>
      <c r="M50" s="49"/>
      <c r="N50" s="49"/>
      <c r="O50" s="49"/>
      <c r="P50" s="49"/>
      <c r="Q50" s="49"/>
      <c r="R50" s="53"/>
      <c r="S50" s="53"/>
      <c r="T50" s="53"/>
    </row>
    <row r="51" spans="1:22" ht="24" thickBot="1">
      <c r="A51" s="167" t="s">
        <v>178</v>
      </c>
      <c r="B51" s="168"/>
      <c r="C51" s="169"/>
      <c r="D51" s="169"/>
      <c r="E51" s="169"/>
      <c r="F51" s="169"/>
      <c r="G51" s="169"/>
      <c r="H51" s="169"/>
      <c r="I51" s="169"/>
      <c r="J51" s="169"/>
      <c r="K51" s="169"/>
      <c r="L51" s="169"/>
      <c r="M51" s="169"/>
      <c r="N51" s="169"/>
      <c r="O51" s="169"/>
      <c r="P51" s="169"/>
      <c r="Q51" s="169"/>
      <c r="R51" s="169"/>
      <c r="S51" s="169"/>
      <c r="T51" s="169"/>
      <c r="U51" s="169"/>
      <c r="V51" s="170"/>
    </row>
    <row r="52" spans="1:22">
      <c r="A52" s="17"/>
      <c r="B52" s="5"/>
      <c r="C52" s="282" t="s">
        <v>137</v>
      </c>
      <c r="D52" s="283"/>
      <c r="E52" s="287"/>
      <c r="F52" s="282" t="s">
        <v>138</v>
      </c>
      <c r="G52" s="283"/>
      <c r="H52" s="287"/>
      <c r="I52" s="282" t="s">
        <v>76</v>
      </c>
      <c r="J52" s="283"/>
      <c r="K52" s="287"/>
      <c r="L52" s="282" t="s">
        <v>77</v>
      </c>
      <c r="M52" s="283"/>
      <c r="N52" s="287"/>
      <c r="O52" s="282" t="s">
        <v>180</v>
      </c>
      <c r="P52" s="283"/>
      <c r="Q52" s="283"/>
      <c r="R52" s="283"/>
      <c r="S52" s="283"/>
      <c r="T52" s="284" t="s">
        <v>152</v>
      </c>
      <c r="U52" s="285"/>
      <c r="V52" s="286"/>
    </row>
    <row r="53" spans="1:22" ht="26.25" thickBot="1">
      <c r="A53" s="18"/>
      <c r="B53" s="10" t="s">
        <v>153</v>
      </c>
      <c r="C53" s="58" t="s">
        <v>184</v>
      </c>
      <c r="D53" s="59" t="s">
        <v>183</v>
      </c>
      <c r="E53" s="60" t="s">
        <v>182</v>
      </c>
      <c r="F53" s="58" t="s">
        <v>184</v>
      </c>
      <c r="G53" s="59" t="s">
        <v>183</v>
      </c>
      <c r="H53" s="60" t="s">
        <v>182</v>
      </c>
      <c r="I53" s="58" t="s">
        <v>184</v>
      </c>
      <c r="J53" s="59" t="s">
        <v>183</v>
      </c>
      <c r="K53" s="60" t="s">
        <v>182</v>
      </c>
      <c r="L53" s="58" t="s">
        <v>184</v>
      </c>
      <c r="M53" s="59" t="s">
        <v>183</v>
      </c>
      <c r="N53" s="60" t="s">
        <v>182</v>
      </c>
      <c r="O53" s="61" t="s">
        <v>124</v>
      </c>
      <c r="P53" s="59" t="s">
        <v>105</v>
      </c>
      <c r="Q53" s="62" t="s">
        <v>123</v>
      </c>
      <c r="R53" s="63" t="s">
        <v>110</v>
      </c>
      <c r="S53" s="64" t="s">
        <v>179</v>
      </c>
      <c r="T53" s="65" t="s">
        <v>181</v>
      </c>
      <c r="U53" s="66" t="s">
        <v>183</v>
      </c>
      <c r="V53" s="67" t="s">
        <v>182</v>
      </c>
    </row>
    <row r="54" spans="1:22" ht="26.25">
      <c r="A54" s="256" t="s">
        <v>82</v>
      </c>
      <c r="B54" s="7" t="s">
        <v>150</v>
      </c>
      <c r="C54" s="248" t="e">
        <f>COUNTIFS(Données!K:K,"Maternelle",Données!M:M,"Buers-Croix-Luizet",Données!#REF!,"=1")+COUNTIFS(#REF!,"Maternelle",#REF!,"Buers-Croix-Luizet",#REF!,"=1")</f>
        <v>#REF!</v>
      </c>
      <c r="D54" s="26">
        <v>27</v>
      </c>
      <c r="E54" s="70" t="e">
        <f>C54/D54</f>
        <v>#REF!</v>
      </c>
      <c r="F54" s="23" t="e">
        <f>COUNTIFS(Données!K:K,"Elémentaire",Données!M:M,"Buers-Croix-Luizet",Données!#REF!,"=1")+COUNTIFS(#REF!,"Elémentaire",#REF!,"Buers-Croix-Luizet",#REF!,"=1")</f>
        <v>#REF!</v>
      </c>
      <c r="G54" s="24">
        <v>44</v>
      </c>
      <c r="H54" s="70" t="e">
        <f>F54/G54</f>
        <v>#REF!</v>
      </c>
      <c r="I54" s="23" t="e">
        <f>COUNTIFS(Données!K:K,"Collège",Données!M:M,"Buers-Croix-Luizet",Données!#REF!,"=1")+COUNTIFS(#REF!,"Collège",#REF!,"Buers-Croix-Luizet",#REF!,"=1")</f>
        <v>#REF!</v>
      </c>
      <c r="J54" s="24"/>
      <c r="K54" s="70" t="e">
        <f>I54/J54</f>
        <v>#REF!</v>
      </c>
      <c r="L54" s="23" t="e">
        <f>COUNTIFS(Données!K:K,"Lycée",Données!M:M,"Buers-Croix-Luizet",Données!#REF!,"=1")+COUNTIFS(#REF!,"Lycée",#REF!,"Buers-Croix-Luizet",#REF!,"=1")</f>
        <v>#REF!</v>
      </c>
      <c r="M54" s="24"/>
      <c r="N54" s="70" t="e">
        <f>L54/M54</f>
        <v>#REF!</v>
      </c>
      <c r="O54" s="23" t="e">
        <f>COUNTIFS(Données!N:N,"FDL",Données!M:M,"Buers-Croix-Luizet",Données!#REF!,"=1")+COUNTIFS(#REF!,"FDL",#REF!,"Buers-Croix-Luizet",#REF!,"=1")</f>
        <v>#REF!</v>
      </c>
      <c r="P54" s="24" t="e">
        <f>COUNTIFS(Données!N:N,"MLIS",Données!M:M,"Buers-Croix-Luizet",Données!#REF!,"=1")+COUNTIFS(#REF!,"MLIS",#REF!,"Buers-Croix-Luizet",#REF!,"=1")</f>
        <v>#REF!</v>
      </c>
      <c r="Q54" s="93" t="e">
        <f>COUNTIFS(Données!N:N,"RIZE",Données!M:M,"Buers-Croix-Luizet",Données!#REF!,"=1")+COUNTIFS(#REF!,"RIZE",#REF!,"Buers-Croix-Luizet",#REF!,"=1")</f>
        <v>#REF!</v>
      </c>
      <c r="R54" s="94" t="e">
        <f>COUNTIFS(Données!N:N,"PAC-BUS",Données!M:M,"Buers-Croix-Luizet",Données!#REF!,"=1")+COUNTIFS(#REF!,"PAC-BUS",#REF!,"Buers-Croix-Luizet",#REF!,"=1")</f>
        <v>#REF!</v>
      </c>
      <c r="S54" s="95" t="e">
        <f>COUNTIFS(Données!N:N,"Tonkin",Données!M:M,"Buers-Croix-Luizet",Données!#REF!,"=1")+COUNTIFS(#REF!,"Tonkin",#REF!,"Buers-Croix-Luizet",#REF!,"=1")</f>
        <v>#REF!</v>
      </c>
      <c r="T54" s="54" t="e">
        <f>SUM(O54:S54)</f>
        <v>#REF!</v>
      </c>
      <c r="U54" s="83"/>
      <c r="V54" s="70" t="e">
        <f>T54/U54</f>
        <v>#REF!</v>
      </c>
    </row>
    <row r="55" spans="1:22" ht="26.25">
      <c r="A55" s="257"/>
      <c r="B55" s="8" t="s">
        <v>149</v>
      </c>
      <c r="C55" s="249" t="e">
        <f>SUMIFS(Données!G:G,Données!M:M,"Buers-Croix-Luizet",Données!K:K,"Maternelle",Données!#REF!,"=1")+SUMIFS(#REF!,#REF!,"Buers-Croix-Luizet",#REF!,"Maternelle",#REF!,"=1")</f>
        <v>#REF!</v>
      </c>
      <c r="D55" s="29">
        <v>714</v>
      </c>
      <c r="E55" s="81" t="e">
        <f t="shared" ref="E55:E79" si="7">C55/D55</f>
        <v>#REF!</v>
      </c>
      <c r="F55" s="28" t="e">
        <f>SUMIFS(Données!G:G,Données!M:M,"Buers-Croix-Luizet",Données!K:K,"Elémentaire",Données!#REF!,"=1")+SUMIFS(#REF!,#REF!,"Buers-Croix-Luizet",#REF!,"Elémentaire",#REF!,"=1")</f>
        <v>#REF!</v>
      </c>
      <c r="G55" s="29">
        <v>1008</v>
      </c>
      <c r="H55" s="81" t="e">
        <f t="shared" ref="H55:H79" si="8">F55/G55</f>
        <v>#REF!</v>
      </c>
      <c r="I55" s="28" t="e">
        <f>SUMIFS(Données!G:G,Données!M:M,"Buers-Croix-Luizet",Données!K:K,"Collège",Données!#REF!,"=1")+SUMIFS(#REF!,#REF!,"Buers-Croix-Luizet",#REF!,"Collège",#REF!,"=1")</f>
        <v>#REF!</v>
      </c>
      <c r="J55" s="29"/>
      <c r="K55" s="81" t="e">
        <f t="shared" ref="K55:K79" si="9">I55/J55</f>
        <v>#REF!</v>
      </c>
      <c r="L55" s="28" t="e">
        <f>SUMIFS(Données!G:G,Données!M:M,"Buers-Croix-Luizet",Données!K:K,"Lycée",Données!#REF!,"=1")+SUMIFS(#REF!,#REF!,"Buers-Croix-Luizet",#REF!,"Lycée",#REF!,"=1")</f>
        <v>#REF!</v>
      </c>
      <c r="M55" s="29"/>
      <c r="N55" s="81" t="e">
        <f t="shared" ref="N55:N79" si="10">L55/M55</f>
        <v>#REF!</v>
      </c>
      <c r="O55" s="28" t="e">
        <f>SUMIFS(Données!G:G,Données!M:M,"Buers-Croix-Luizet",Données!N:N,"FDL",Données!#REF!,"=1")+SUMIFS(#REF!,#REF!,"Buers-Croix-Luizet",#REF!,"FDL",#REF!,"=1")</f>
        <v>#REF!</v>
      </c>
      <c r="P55" s="29" t="e">
        <f>SUMIFS(Données!G:G,Données!M:M,"Buers-Croix-Luizet",Données!N:N,"MLIS",Données!#REF!,"=1")+SUMIFS(#REF!,#REF!,"Buers-Croix-Luizet",#REF!,"MLIS",#REF!,"=1")</f>
        <v>#REF!</v>
      </c>
      <c r="Q55" s="96" t="e">
        <f>SUMIFS(Données!G:G,Données!M:M,"Buers-Croix-Luizet",Données!N:N,"RIZE",Données!#REF!,"=1")+SUMIFS(#REF!,#REF!,"Buers-Croix-Luizet",#REF!,"RIZE",#REF!,"=1")</f>
        <v>#REF!</v>
      </c>
      <c r="R55" s="97" t="e">
        <f>SUMIFS(Données!G:G,Données!M:M,"Buers-Croix-Luizet",Données!N:N,"PAC-BUS",Données!#REF!,"=1")+SUMIFS(#REF!,#REF!,"Buers-Croix-Luizet",#REF!,"PAC-BUS",#REF!,"=1")</f>
        <v>#REF!</v>
      </c>
      <c r="S55" s="98" t="e">
        <f>SUMIFS(Données!G:G,Données!M:M,"Buers-Croix-Luizet",Données!N:N,"Tonkin",Données!#REF!,"=1")+SUMIFS(#REF!,#REF!,"Buers-Croix-Luizet",#REF!,"Tonkin",#REF!,"=1")</f>
        <v>#REF!</v>
      </c>
      <c r="T55" s="28" t="e">
        <f t="shared" ref="T55:T83" si="11">SUM(O55:S55)</f>
        <v>#REF!</v>
      </c>
      <c r="U55" s="51"/>
      <c r="V55" s="81" t="e">
        <f t="shared" ref="V55:V79" si="12">T55/U55</f>
        <v>#REF!</v>
      </c>
    </row>
    <row r="56" spans="1:22" ht="27" thickBot="1">
      <c r="A56" s="258"/>
      <c r="B56" s="68" t="s">
        <v>148</v>
      </c>
      <c r="C56" s="30" t="e">
        <f>COUNTIFS(Données!M:M,"Buers-Croix-Luizet",Données!K:K,"Maternelle")+COUNTIFS(#REF!,"Buers-Croix-Luizet",#REF!,"Maternelle")</f>
        <v>#REF!</v>
      </c>
      <c r="D56" s="31" t="s">
        <v>185</v>
      </c>
      <c r="E56" s="31" t="s">
        <v>185</v>
      </c>
      <c r="F56" s="38" t="e">
        <f>COUNTIFS(Données!M:M,"Buers-Croix-Luizet",Données!K:K,"Elémentaire")+COUNTIFS(#REF!,"Buers-Croix-Luizet",#REF!,"Elémentaire")</f>
        <v>#REF!</v>
      </c>
      <c r="G56" s="31" t="s">
        <v>185</v>
      </c>
      <c r="H56" s="31" t="s">
        <v>185</v>
      </c>
      <c r="I56" s="38" t="e">
        <f>COUNTIFS(Données!M:M,"Buers-Croix-Luizet",Données!K:K,"Collège")+COUNTIFS(#REF!,"Buers-Croix-Luizet",#REF!,"Collège")</f>
        <v>#REF!</v>
      </c>
      <c r="J56" s="31" t="s">
        <v>185</v>
      </c>
      <c r="K56" s="31" t="s">
        <v>185</v>
      </c>
      <c r="L56" s="38" t="e">
        <f>COUNTIFS(Données!M:M,"Buers-Croix-Luizet",Données!K:K,"Lycée")+COUNTIFS(#REF!,"Buers-Croix-Luizet",#REF!,"Lycée")</f>
        <v>#REF!</v>
      </c>
      <c r="M56" s="31" t="s">
        <v>185</v>
      </c>
      <c r="N56" s="31" t="s">
        <v>185</v>
      </c>
      <c r="O56" s="38" t="e">
        <f>COUNTIFS(Données!M:M,"Buers-Croix-Luizet",Données!N:N,"FDL")+COUNTIFS(#REF!,"Buers-Croix-Luizet",#REF!,"FDL")</f>
        <v>#REF!</v>
      </c>
      <c r="P56" s="39" t="e">
        <f>COUNTIFS(Données!M:M,"Buers-Croix-Luizet",Données!N:N,"MLIS")+COUNTIFS(#REF!,"Buers-Croix-Luizet",#REF!,"MLIS")</f>
        <v>#REF!</v>
      </c>
      <c r="Q56" s="99" t="e">
        <f>COUNTIFS(Données!M:M,"Buers-Croix-Luizet",Données!N:N,"RIZE")+COUNTIFS(#REF!,"Buers-Croix-Luizet",#REF!,"RIZE")</f>
        <v>#REF!</v>
      </c>
      <c r="R56" s="100" t="e">
        <f>COUNTIFS(Données!M:M,"Buers-Croix-Luizet",Données!N:N,"PAC-BUS")+COUNTIFS(#REF!,"Buers-Croix-Luizet",#REF!,"PAC-BUS")</f>
        <v>#REF!</v>
      </c>
      <c r="S56" s="101" t="e">
        <f>COUNTIFS(Données!M:M,"Buers-Croix-Luizet",Données!N:N,"Tonkin")+COUNTIFS(#REF!,"Buers-Croix-Luizet",#REF!,"Tonkin")</f>
        <v>#REF!</v>
      </c>
      <c r="T56" s="80" t="e">
        <f t="shared" si="11"/>
        <v>#REF!</v>
      </c>
      <c r="U56" s="84" t="s">
        <v>185</v>
      </c>
      <c r="V56" s="85" t="s">
        <v>185</v>
      </c>
    </row>
    <row r="57" spans="1:22" ht="26.25">
      <c r="A57" s="262" t="s">
        <v>83</v>
      </c>
      <c r="B57" s="7" t="s">
        <v>150</v>
      </c>
      <c r="C57" s="25" t="e">
        <f>COUNTIFS(Données!K:K,"Maternelle",Données!M:M,"Charpennes-Tonkin",Données!#REF!,"=1")+COUNTIFS(#REF!,"Maternelle",#REF!,"Charpennes-Tonkin",#REF!,"=1")</f>
        <v>#REF!</v>
      </c>
      <c r="D57" s="26">
        <v>38</v>
      </c>
      <c r="E57" s="73" t="e">
        <f t="shared" si="7"/>
        <v>#REF!</v>
      </c>
      <c r="F57" s="32" t="e">
        <f>COUNTIFS(Données!K:K,"Elémentaire",Données!M:M,"Charpennes-Tonkin",Données!#REF!,"=1")+COUNTIFS(#REF!,"Elémentaire",#REF!,"Charpennes-Tonkin",#REF!,"=1")</f>
        <v>#REF!</v>
      </c>
      <c r="G57" s="33">
        <v>61</v>
      </c>
      <c r="H57" s="73" t="e">
        <f t="shared" si="8"/>
        <v>#REF!</v>
      </c>
      <c r="I57" s="32" t="e">
        <f>COUNTIFS(Données!K:K,"Collège",Données!M:M,"Charpennes-Tonkin",Données!#REF!,"=1")+COUNTIFS(#REF!,"Collège",#REF!,"Charpennes-Tonkin",#REF!,"=1")</f>
        <v>#REF!</v>
      </c>
      <c r="J57" s="33"/>
      <c r="K57" s="73" t="e">
        <f t="shared" si="9"/>
        <v>#REF!</v>
      </c>
      <c r="L57" s="32" t="e">
        <f>COUNTIFS(Données!K:K,"Lycée",Données!M:M,"Charpennes-Tonkin",Données!#REF!,"=1")+COUNTIFS(#REF!,"Lycée",#REF!,"Charpennes-Tonkin",#REF!,"=1")</f>
        <v>#REF!</v>
      </c>
      <c r="M57" s="33"/>
      <c r="N57" s="73" t="e">
        <f t="shared" si="10"/>
        <v>#REF!</v>
      </c>
      <c r="O57" s="32" t="e">
        <f>COUNTIFS(Données!N:N,"FDL",Données!M:M,"Charpennes-Tonkin",Données!#REF!,"=1")+COUNTIFS(#REF!,"FDL",#REF!,"Charpennes-Tonkin",#REF!,"=1")</f>
        <v>#REF!</v>
      </c>
      <c r="P57" s="33" t="e">
        <f>COUNTIFS(Données!N:N,"MLIS",Données!M:M,"Charpennes-Tonkin",Données!#REF!,"=1")+COUNTIFS(#REF!,"MLIS",#REF!,"Charpennes-Tonkin",#REF!,"=1")</f>
        <v>#REF!</v>
      </c>
      <c r="Q57" s="102" t="e">
        <f>COUNTIFS(Données!N:N,"RIZE",Données!M:M,"Charpennes-Tonkin",Données!#REF!,"=1")+COUNTIFS(#REF!,"RIZE",#REF!,"Charpennes-Tonkin",#REF!,"=1")</f>
        <v>#REF!</v>
      </c>
      <c r="R57" s="103" t="e">
        <f>COUNTIFS(Données!N:N,"PAC-BUS",Données!M:M,"Charpennes-Tonkin",Données!#REF!,"=1")+COUNTIFS(#REF!,"PAC-BUS",#REF!,"Charpennes-Tonkin",#REF!,"=1")</f>
        <v>#REF!</v>
      </c>
      <c r="S57" s="104" t="e">
        <f>COUNTIFS(Données!N:N,"Tonkin",Données!M:M,"Charpennes-Tonkin",Données!#REF!,"=1")+COUNTIFS(#REF!,"Tonkin",#REF!,"Charpennes-Tonkin",#REF!,"=1")</f>
        <v>#REF!</v>
      </c>
      <c r="T57" s="56" t="e">
        <f t="shared" si="11"/>
        <v>#REF!</v>
      </c>
      <c r="U57" s="86"/>
      <c r="V57" s="73" t="e">
        <f t="shared" si="12"/>
        <v>#REF!</v>
      </c>
    </row>
    <row r="58" spans="1:22" ht="26.25">
      <c r="A58" s="263"/>
      <c r="B58" s="8" t="s">
        <v>149</v>
      </c>
      <c r="C58" s="28" t="e">
        <f>SUMIFS(Données!G:G,Données!M:M,"Charpennes-Tonkin",Données!K:K,"Maternelle",Données!#REF!,"=1")+SUMIFS(#REF!,#REF!,"Charpennes-Tonkin",#REF!,"Maternelle",#REF!,"=1")</f>
        <v>#REF!</v>
      </c>
      <c r="D58" s="29">
        <v>1081</v>
      </c>
      <c r="E58" s="74" t="e">
        <f t="shared" si="7"/>
        <v>#REF!</v>
      </c>
      <c r="F58" s="16" t="e">
        <f>SUMIFS(Données!G:G,Données!M:M,"Charpennes-Tonkin",Données!K:K,"Elémentaire",Données!#REF!,"=1")+SUMIFS(#REF!,#REF!,"Charpennes-Tonkin",#REF!,"Elémentaire",#REF!,"=1")</f>
        <v>#REF!</v>
      </c>
      <c r="G58" s="34">
        <v>1391</v>
      </c>
      <c r="H58" s="74" t="e">
        <f t="shared" si="8"/>
        <v>#REF!</v>
      </c>
      <c r="I58" s="35" t="e">
        <f>SUMIFS(Données!G:G,Données!M:M,"Charpennes-Tonkin",Données!K:K,"Collège",Données!#REF!,"=1")+SUMIFS(#REF!,#REF!,"Charpennes-Tonkin",#REF!,"Collège",#REF!,"=1")</f>
        <v>#REF!</v>
      </c>
      <c r="J58" s="36"/>
      <c r="K58" s="74" t="e">
        <f t="shared" si="9"/>
        <v>#REF!</v>
      </c>
      <c r="L58" s="35" t="e">
        <f>SUMIFS(Données!G:G,Données!M:M,"Charpennes-Tonkin",Données!K:K,"Lycée",Données!#REF!,"=1")+SUMIFS(#REF!,#REF!,"Charpennes-Tonkin",#REF!,"Lycée",#REF!,"=1")</f>
        <v>#REF!</v>
      </c>
      <c r="M58" s="36"/>
      <c r="N58" s="74" t="e">
        <f t="shared" si="10"/>
        <v>#REF!</v>
      </c>
      <c r="O58" s="16" t="e">
        <f>SUMIFS(Données!G:G,Données!M:M,"Charpennes-Tonkin",Données!N:N,"FDL",Données!#REF!,"=1")+SUMIFS(#REF!,#REF!,"Charpennes-Tonkin",#REF!,"FDL",#REF!,"=1")</f>
        <v>#REF!</v>
      </c>
      <c r="P58" s="34" t="e">
        <f>SUMIFS(Données!G:G,Données!M:M,"Charpennes-Tonkin",Données!N:N,"MLIS",Données!#REF!,"=1")+SUMIFS(#REF!,#REF!,"Charpennes-Tonkin",#REF!,"MLIS",#REF!,"=1")</f>
        <v>#REF!</v>
      </c>
      <c r="Q58" s="105" t="e">
        <f>SUMIFS(Données!G:G,Données!M:M,"Charpennes-Tonkin",Données!N:N,"RIZE",Données!#REF!,"=1")+SUMIFS(#REF!,#REF!,"Charpennes-Tonkin",#REF!,"RIZE",#REF!,"=1")</f>
        <v>#REF!</v>
      </c>
      <c r="R58" s="106" t="e">
        <f>SUMIFS(Données!G:G,Données!M:M,"Charpennes-Tonkin",Données!N:N,"PAC-BUS",Données!#REF!,"=1")+SUMIFS(#REF!,#REF!,"Charpennes-Tonkin",#REF!,"PAC-BUS",#REF!,"=1")</f>
        <v>#REF!</v>
      </c>
      <c r="S58" s="107" t="e">
        <f>SUMIFS(Données!G:G,Données!M:M,"Charpennes-Tonkin",Données!N:N,"Tonkin",Données!#REF!,"=1")+SUMIFS(#REF!,#REF!,"Charpennes-Tonkin",#REF!,"Tonkin",#REF!,"=1")</f>
        <v>#REF!</v>
      </c>
      <c r="T58" s="16" t="e">
        <f t="shared" si="11"/>
        <v>#REF!</v>
      </c>
      <c r="U58" s="52"/>
      <c r="V58" s="74" t="e">
        <f t="shared" si="12"/>
        <v>#REF!</v>
      </c>
    </row>
    <row r="59" spans="1:22" ht="27" thickBot="1">
      <c r="A59" s="264"/>
      <c r="B59" s="68" t="s">
        <v>148</v>
      </c>
      <c r="C59" s="41" t="e">
        <f>COUNTIFS(Données!M:M,"Charpennes-Tonkin",Données!K:K,"Maternelle")+COUNTIFS(#REF!,"Charpennes-Tonkin",#REF!,"Maternelle")</f>
        <v>#REF!</v>
      </c>
      <c r="D59" s="42" t="s">
        <v>185</v>
      </c>
      <c r="E59" s="42" t="s">
        <v>185</v>
      </c>
      <c r="F59" s="6" t="e">
        <f>COUNTIFS(Données!M:M,"Charpennes-Tonkin",Données!K:K,"Elémentaire")+COUNTIFS(#REF!,"Charpennes-Tonkin",#REF!,"Elémentaire")</f>
        <v>#REF!</v>
      </c>
      <c r="G59" s="42" t="s">
        <v>185</v>
      </c>
      <c r="H59" s="42" t="s">
        <v>185</v>
      </c>
      <c r="I59" s="6" t="e">
        <f>COUNTIFS(Données!M:M,"Charpennes-Tonkin",Données!K:K,"Collège")+COUNTIFS(#REF!,"Charpennes-Tonkin",#REF!,"Collège")</f>
        <v>#REF!</v>
      </c>
      <c r="J59" s="42" t="s">
        <v>185</v>
      </c>
      <c r="K59" s="42" t="s">
        <v>185</v>
      </c>
      <c r="L59" s="6" t="e">
        <f>COUNTIFS(Données!M:M,"Charpennes-Tonkin",Données!K:K,"Lycée")+COUNTIFS(#REF!,"Charpennes-Tonkin",#REF!,"Lycée")</f>
        <v>#REF!</v>
      </c>
      <c r="M59" s="42" t="s">
        <v>185</v>
      </c>
      <c r="N59" s="42" t="s">
        <v>185</v>
      </c>
      <c r="O59" s="6" t="e">
        <f>COUNTIFS(Données!M:M,"Charpennes-Tonkin",Données!N:N,"FDL")+COUNTIFS(#REF!,"Charpennes-Tonkin",#REF!,"FDL")</f>
        <v>#REF!</v>
      </c>
      <c r="P59" s="14" t="e">
        <f>COUNTIFS(Données!M:M,"Charpennes-Tonkin",Données!N:N,"MLIS")+COUNTIFS(#REF!,"Charpennes-Tonkin",#REF!,"MLIS")</f>
        <v>#REF!</v>
      </c>
      <c r="Q59" s="108" t="e">
        <f>COUNTIFS(Données!M:M,"Charpennes-Tonkin",Données!N:N,"RIZE")+COUNTIFS(#REF!,"Charpennes-Tonkin",#REF!,"RIZE")</f>
        <v>#REF!</v>
      </c>
      <c r="R59" s="109" t="e">
        <f>COUNTIFS(Données!M:M,"Charpennes-Tonkin",Données!N:N,"PAC-BUS")+COUNTIFS(#REF!,"Charpennes-Tonkin",#REF!,"PAC-BUS")</f>
        <v>#REF!</v>
      </c>
      <c r="S59" s="110" t="e">
        <f>COUNTIFS(Données!M:M,"Charpennes-Tonkin",Données!N:N,"Tonkin")+COUNTIFS(#REF!,"Charpennes-Tonkin",#REF!,"Tonkin")</f>
        <v>#REF!</v>
      </c>
      <c r="T59" s="43" t="e">
        <f t="shared" si="11"/>
        <v>#REF!</v>
      </c>
      <c r="U59" s="87" t="s">
        <v>185</v>
      </c>
      <c r="V59" s="72" t="s">
        <v>185</v>
      </c>
    </row>
    <row r="60" spans="1:22" ht="26.25">
      <c r="A60" s="256" t="s">
        <v>84</v>
      </c>
      <c r="B60" s="7" t="s">
        <v>150</v>
      </c>
      <c r="C60" s="25" t="e">
        <f>COUNTIFS(Données!K:K,"Maternelle",Données!M:M,"Cusset-Bonnevay",Données!#REF!,"=1")+COUNTIFS(#REF!,"Maternelle",#REF!,"Cusset-Bonnevay",#REF!,"=1")</f>
        <v>#REF!</v>
      </c>
      <c r="D60" s="26">
        <v>37</v>
      </c>
      <c r="E60" s="73" t="e">
        <f t="shared" si="7"/>
        <v>#REF!</v>
      </c>
      <c r="F60" s="32" t="e">
        <f>COUNTIFS(Données!K:K,"Elémentaire",Données!M:M,"Cusset-Bonnevay",Données!#REF!,"=1")+COUNTIFS(#REF!,"Elémentaire",#REF!,"Cusset-Bonnevay",#REF!,"=1")</f>
        <v>#REF!</v>
      </c>
      <c r="G60" s="33">
        <v>49</v>
      </c>
      <c r="H60" s="73" t="e">
        <f t="shared" si="8"/>
        <v>#REF!</v>
      </c>
      <c r="I60" s="32" t="e">
        <f>COUNTIFS(Données!K:K,"Collège",Données!M:M,"Cusset-Bonnevay",Données!#REF!,"=1")+COUNTIFS(#REF!,"Collège",#REF!,"Cusset-Bonnevay",#REF!,"=1")</f>
        <v>#REF!</v>
      </c>
      <c r="J60" s="33"/>
      <c r="K60" s="73" t="e">
        <f t="shared" si="9"/>
        <v>#REF!</v>
      </c>
      <c r="L60" s="32" t="e">
        <f>COUNTIFS(Données!K:K,"Lycée",Données!M:M,"Cusset-Bonnevay",Données!#REF!,"=1")+COUNTIFS(#REF!,"Lycée",#REF!,"Cusset-Bonnevay",#REF!,"=1")</f>
        <v>#REF!</v>
      </c>
      <c r="M60" s="33"/>
      <c r="N60" s="73" t="e">
        <f t="shared" si="10"/>
        <v>#REF!</v>
      </c>
      <c r="O60" s="32" t="e">
        <f>COUNTIFS(Données!N:N,"FDL",Données!M:M,"Cusset-Bonnevay",Données!#REF!,"=1")+COUNTIFS(#REF!,"FDL",#REF!,"Cusset-Bonnevay",#REF!,"=1")</f>
        <v>#REF!</v>
      </c>
      <c r="P60" s="33" t="e">
        <f>COUNTIFS(Données!N:N,"MLIS",Données!M:M,"Cusset-Bonnevay",Données!#REF!,"=1")+COUNTIFS(#REF!,"MLIS",#REF!,"Cusset-Bonnevay",#REF!,"=1")</f>
        <v>#REF!</v>
      </c>
      <c r="Q60" s="102" t="e">
        <f>COUNTIFS(Données!N:N,"RIZE",Données!M:M,"Cusset-Bonnevay",Données!#REF!,"=1")+COUNTIFS(#REF!,"RIZE",#REF!,"Cusset-Bonnevay",#REF!,"=1")</f>
        <v>#REF!</v>
      </c>
      <c r="R60" s="103" t="e">
        <f>COUNTIFS(Données!N:N,"PAC-BUS",Données!M:M,"Cusset-Bonnevay",Données!#REF!,"=1")+COUNTIFS(#REF!,"PAC-BUS",#REF!,"Cusset-Bonnevay",#REF!,"=1")</f>
        <v>#REF!</v>
      </c>
      <c r="S60" s="104" t="e">
        <f>COUNTIFS(Données!N:N,"Tonkin",Données!M:M,"Cusset-Bonnevay",Données!#REF!,"=1")+COUNTIFS(#REF!,"Tonkin",#REF!,"Cusset-Bonnevay",#REF!,"=1")</f>
        <v>#REF!</v>
      </c>
      <c r="T60" s="56" t="e">
        <f t="shared" si="11"/>
        <v>#REF!</v>
      </c>
      <c r="U60" s="86"/>
      <c r="V60" s="73" t="e">
        <f t="shared" si="12"/>
        <v>#REF!</v>
      </c>
    </row>
    <row r="61" spans="1:22" ht="26.25">
      <c r="A61" s="257"/>
      <c r="B61" s="8" t="s">
        <v>149</v>
      </c>
      <c r="C61" s="28" t="e">
        <f>SUMIFS(Données!G:G,Données!M:M,"Cusset-Bonnevay",Données!K:K,"Maternelle",Données!#REF!,"=1")+SUMIFS(#REF!,#REF!,"Cusset-Bonnevay",#REF!,"Maternelle",#REF!,"=1")</f>
        <v>#REF!</v>
      </c>
      <c r="D61" s="29">
        <v>883</v>
      </c>
      <c r="E61" s="74" t="e">
        <f t="shared" si="7"/>
        <v>#REF!</v>
      </c>
      <c r="F61" s="16" t="e">
        <f>SUMIFS(Données!G:G,Données!M:M,"Cusset-Bonnevay",Données!K:K,"Elémentaire",Données!#REF!,"=1")+SUMIFS(#REF!,#REF!,"Cusset-Bonnevay",#REF!,"Elémentaire",#REF!,"=1")</f>
        <v>#REF!</v>
      </c>
      <c r="G61" s="34">
        <v>1164</v>
      </c>
      <c r="H61" s="74" t="e">
        <f t="shared" si="8"/>
        <v>#REF!</v>
      </c>
      <c r="I61" s="16" t="e">
        <f>SUMIFS(Données!G:G,Données!M:M,"Cusset-Bonnevay",Données!K:K,"Collège",Données!#REF!,"=1")+SUMIFS(#REF!,#REF!,"Cusset-Bonnevay",#REF!,"Collège",#REF!,"=1")</f>
        <v>#REF!</v>
      </c>
      <c r="J61" s="34"/>
      <c r="K61" s="74" t="e">
        <f t="shared" si="9"/>
        <v>#REF!</v>
      </c>
      <c r="L61" s="16" t="e">
        <f>SUMIFS(Données!G:G,Données!M:M,"Cusset-Bonnevay",Données!K:K,"Lycée",Données!#REF!,"=1")+SUMIFS(#REF!,#REF!,"Cusset-Bonnevay",#REF!,"Lycée",#REF!,"=1")</f>
        <v>#REF!</v>
      </c>
      <c r="M61" s="34"/>
      <c r="N61" s="74" t="e">
        <f t="shared" si="10"/>
        <v>#REF!</v>
      </c>
      <c r="O61" s="16" t="e">
        <f>SUMIFS(Données!G:G,Données!M:M,"Cusset-Bonnevay",Données!N:N,"FDL",Données!#REF!,"=1")+SUMIFS(#REF!,#REF!,"Cusset-Bonnevay",#REF!,"FDL",#REF!,"=1")</f>
        <v>#REF!</v>
      </c>
      <c r="P61" s="34" t="e">
        <f>SUMIFS(Données!G:G,Données!M:M,"Cusset-Bonnevay",Données!N:N,"MLIS",Données!#REF!,"=1")+SUMIFS(#REF!,#REF!,"Cusset-Bonnevay",#REF!,"MLIS",#REF!,"=1")</f>
        <v>#REF!</v>
      </c>
      <c r="Q61" s="105" t="e">
        <f>SUMIFS(Données!G:G,Données!M:M,"Cusset-Bonnevay",Données!N:N,"RIZE",Données!#REF!,"=1")+SUMIFS(#REF!,#REF!,"Cusset-Bonnevay",#REF!,"RIZE",#REF!,"=1")</f>
        <v>#REF!</v>
      </c>
      <c r="R61" s="106" t="e">
        <f>SUMIFS(Données!G:G,Données!M:M,"Cusset-Bonnevay",Données!N:N,"PAC-BUS",Données!#REF!,"=1")+SUMIFS(#REF!,#REF!,"Cusset-Bonnevay",#REF!,"PAC-BUS",#REF!,"=1")</f>
        <v>#REF!</v>
      </c>
      <c r="S61" s="107" t="e">
        <f>SUMIFS(Données!G:G,Données!M:M,"Cusset-Bonnevay",Données!N:N,"Tonkin",Données!#REF!,"=1")+SUMIFS(#REF!,#REF!,"Cusset-Bonnevay",#REF!,"Tonkin",#REF!,"=1")</f>
        <v>#REF!</v>
      </c>
      <c r="T61" s="16" t="e">
        <f t="shared" si="11"/>
        <v>#REF!</v>
      </c>
      <c r="U61" s="52"/>
      <c r="V61" s="74" t="e">
        <f t="shared" si="12"/>
        <v>#REF!</v>
      </c>
    </row>
    <row r="62" spans="1:22" ht="15" customHeight="1" thickBot="1">
      <c r="A62" s="258"/>
      <c r="B62" s="68" t="s">
        <v>148</v>
      </c>
      <c r="C62" s="41" t="e">
        <f>COUNTIFS(Données!M:M,"Cusset-Bonnevay",Données!K:K,"Maternelle")+COUNTIFS(#REF!,"Cusset-Bonnevay",#REF!,"Maternelle")</f>
        <v>#REF!</v>
      </c>
      <c r="D62" s="42" t="s">
        <v>185</v>
      </c>
      <c r="E62" s="42" t="s">
        <v>185</v>
      </c>
      <c r="F62" s="6" t="e">
        <f>COUNTIFS(Données!M:M,"Cusset-Bonnevay",Données!K:K,"Elémentaire")+COUNTIFS(#REF!,"Cusset-Bonnevay",#REF!,"Elémentaire")</f>
        <v>#REF!</v>
      </c>
      <c r="G62" s="42" t="s">
        <v>185</v>
      </c>
      <c r="H62" s="42" t="s">
        <v>185</v>
      </c>
      <c r="I62" s="6" t="e">
        <f>COUNTIFS(Données!M:M,"Cusset-Bonnevay",Données!K:K,"Collège")+COUNTIFS(#REF!,"Cusset-Bonnevay",#REF!,"Collège")</f>
        <v>#REF!</v>
      </c>
      <c r="J62" s="42" t="s">
        <v>185</v>
      </c>
      <c r="K62" s="42" t="s">
        <v>185</v>
      </c>
      <c r="L62" s="6" t="e">
        <f>COUNTIFS(Données!M:M,"Cusset-Bonnevay",Données!K:K,"Lycée")+COUNTIFS(#REF!,"Cusset-Bonnevay",#REF!,"Lycée")</f>
        <v>#REF!</v>
      </c>
      <c r="M62" s="42" t="s">
        <v>185</v>
      </c>
      <c r="N62" s="42" t="s">
        <v>185</v>
      </c>
      <c r="O62" s="6" t="e">
        <f>COUNTIFS(Données!M:M,"Cusset-Bonnevay",Données!N:N,"FDL")+COUNTIFS(#REF!,"Cusset-Bonnevay",#REF!,"FDL")</f>
        <v>#REF!</v>
      </c>
      <c r="P62" s="14" t="e">
        <f>COUNTIFS(Données!M:M,"Cusset-Bonnevay",Données!N:N,"MLIS")+COUNTIFS(#REF!,"Cusset-Bonnevay",#REF!,"MLIS")</f>
        <v>#REF!</v>
      </c>
      <c r="Q62" s="108" t="e">
        <f>COUNTIFS(Données!M:M,"Cusset-Bonnevay",Données!N:N,"RIZE")+COUNTIFS(#REF!,"Cusset-Bonnevay",#REF!,"RIZE")</f>
        <v>#REF!</v>
      </c>
      <c r="R62" s="109" t="e">
        <f>COUNTIFS(Données!M:M,"Cusset-Bonnevay",Données!N:N,"PAC-BUS")+COUNTIFS(#REF!,"Cusset-Bonnevay",#REF!,"PAC-BUS")</f>
        <v>#REF!</v>
      </c>
      <c r="S62" s="110" t="e">
        <f>COUNTIFS(Données!M:M,"Cusset-Bonnevay",Données!N:N,"Tonkin")+COUNTIFS(#REF!,"Cusset-Bonnevay",#REF!,"Tonkin")</f>
        <v>#REF!</v>
      </c>
      <c r="T62" s="43" t="e">
        <f t="shared" si="11"/>
        <v>#REF!</v>
      </c>
      <c r="U62" s="87" t="s">
        <v>185</v>
      </c>
      <c r="V62" s="72" t="s">
        <v>185</v>
      </c>
    </row>
    <row r="63" spans="1:22" ht="26.25">
      <c r="A63" s="256" t="s">
        <v>186</v>
      </c>
      <c r="B63" s="7" t="s">
        <v>150</v>
      </c>
      <c r="C63" s="76" t="e">
        <f>COUNTIFS(Données!K:K,"Maternelle",Données!M:M,"Cyprian-les-Brosses",Données!#REF!,"=1")+COUNTIFS(#REF!,"Maternelle",#REF!,"Cyprian-les-Brosses",#REF!,"=1")</f>
        <v>#REF!</v>
      </c>
      <c r="D63" s="77">
        <v>21</v>
      </c>
      <c r="E63" s="75" t="e">
        <f t="shared" si="7"/>
        <v>#REF!</v>
      </c>
      <c r="F63" s="9" t="e">
        <f>COUNTIFS(Données!K:K,"Elémentaire",Données!M:M,"Cyprian-les-Brosses",Données!#REF!,"=1")+COUNTIFS(#REF!,"Elémentaire",#REF!,"Cyprian-les-Brosses",#REF!,"=1")</f>
        <v>#REF!</v>
      </c>
      <c r="G63" s="40">
        <v>34</v>
      </c>
      <c r="H63" s="75" t="e">
        <f t="shared" si="8"/>
        <v>#REF!</v>
      </c>
      <c r="I63" s="9" t="e">
        <f>COUNTIFS(Données!K:K,"Collège",Données!M:M,"Cyprian-les-Brosses",Données!#REF!,"=1")+COUNTIFS(#REF!,"Collège",#REF!,"Cyprian-les-Brosses",#REF!,"=1")</f>
        <v>#REF!</v>
      </c>
      <c r="J63" s="37"/>
      <c r="K63" s="75" t="e">
        <f t="shared" si="9"/>
        <v>#REF!</v>
      </c>
      <c r="L63" s="9" t="e">
        <f>COUNTIFS(Données!K:K,"Lycée",Données!M:M,"Cyprian-les-Brosses",Données!#REF!,"=1")+COUNTIFS(#REF!,"Lycée",#REF!,"Cyprian-les-Brosses",#REF!,"=1")</f>
        <v>#REF!</v>
      </c>
      <c r="M63" s="37"/>
      <c r="N63" s="75" t="e">
        <f t="shared" si="10"/>
        <v>#REF!</v>
      </c>
      <c r="O63" s="9" t="e">
        <f>COUNTIFS(Données!N:N,"FDL",Données!M:M,"Cyprian-les-Brosses",Données!#REF!,"=1")+COUNTIFS(#REF!,"FDL",#REF!,"Cyprian-les-Brosses",#REF!,"=1")</f>
        <v>#REF!</v>
      </c>
      <c r="P63" s="37" t="e">
        <f>COUNTIFS(Données!N:N,"MLIS",Données!M:M,"Cyprian-les-Brosses",Données!#REF!,"=1")+COUNTIFS(#REF!,"MLIS",#REF!,"Cyprian-les-Brosses",#REF!,"=1")</f>
        <v>#REF!</v>
      </c>
      <c r="Q63" s="111" t="e">
        <f>COUNTIFS(Données!N:N,"RIZE",Données!M:M,"Cyprian-les-Brosses",Données!#REF!,"=1")+COUNTIFS(#REF!,"RIZE",#REF!,"Cyprian-les-Brosses",#REF!,"=1")</f>
        <v>#REF!</v>
      </c>
      <c r="R63" s="112" t="e">
        <f>COUNTIFS(Données!N:N,"PAC-BUS",Données!M:M,"Cyprian-les-Brosses",Données!#REF!,"=1")+COUNTIFS(#REF!,"PAC-BUS",#REF!,"Cyprian-les-Brosses",#REF!,"=1")</f>
        <v>#REF!</v>
      </c>
      <c r="S63" s="113" t="e">
        <f>COUNTIFS(Données!N:N,"Tonkin",Données!M:M,"Cyprian-les-Brosses",Données!#REF!,"=1")+COUNTIFS(#REF!,"Tonkin",#REF!,"Cyprian-les-Brosses",#REF!,"=1")</f>
        <v>#REF!</v>
      </c>
      <c r="T63" s="45" t="e">
        <f t="shared" si="11"/>
        <v>#REF!</v>
      </c>
      <c r="U63" s="88"/>
      <c r="V63" s="75" t="e">
        <f t="shared" si="12"/>
        <v>#REF!</v>
      </c>
    </row>
    <row r="64" spans="1:22" ht="26.25">
      <c r="A64" s="257"/>
      <c r="B64" s="8" t="s">
        <v>149</v>
      </c>
      <c r="C64" s="28" t="e">
        <f>SUMIFS(Données!G:G,Données!M:M,"Cyprian-les-Brosses",Données!K:K,"Maternelle",Données!#REF!,"=1")+SUMIFS(#REF!,#REF!,"Cyprian-les-Brosses",#REF!,"Maternelle",#REF!,"=1")</f>
        <v>#REF!</v>
      </c>
      <c r="D64" s="29">
        <v>573</v>
      </c>
      <c r="E64" s="74" t="e">
        <f t="shared" si="7"/>
        <v>#REF!</v>
      </c>
      <c r="F64" s="16" t="e">
        <f>SUMIFS(Données!G:G,Données!M:M,"Cyprian-les-Brosses",Données!K:K,"Elémentaire",Données!#REF!,"=1")+SUMIFS(#REF!,#REF!,"Cyprian-les-Brosses",#REF!,"Elémentaire",#REF!,"=1")</f>
        <v>#REF!</v>
      </c>
      <c r="G64" s="34">
        <v>747</v>
      </c>
      <c r="H64" s="74" t="e">
        <f t="shared" si="8"/>
        <v>#REF!</v>
      </c>
      <c r="I64" s="16" t="e">
        <f>SUMIFS(Données!G:G,Données!M:M,"Cyprian-les-Brosses",Données!K:K,"Collège",Données!#REF!,"=1")+SUMIFS(#REF!,#REF!,"Cyprian-les-Brosses",#REF!,"Collège",#REF!,"=1")</f>
        <v>#REF!</v>
      </c>
      <c r="J64" s="34"/>
      <c r="K64" s="74" t="e">
        <f t="shared" si="9"/>
        <v>#REF!</v>
      </c>
      <c r="L64" s="16" t="e">
        <f>SUMIFS(Données!G:G,Données!M:M,"Cyprian-les-Brosses",Données!K:K,"Lycée",Données!#REF!,"=1")+SUMIFS(#REF!,#REF!,"Cyprian-les-Brosses",#REF!,"Lycée",#REF!,"=1")</f>
        <v>#REF!</v>
      </c>
      <c r="M64" s="34"/>
      <c r="N64" s="74" t="e">
        <f t="shared" si="10"/>
        <v>#REF!</v>
      </c>
      <c r="O64" s="16" t="e">
        <f>SUMIFS(Données!G:G,Données!M:M,"Cyprian-les-Brosses",Données!N:N,"FDL",Données!#REF!,"=1")+SUMIFS(#REF!,#REF!,"Cyprian-les-Brosses",#REF!,"FDL",#REF!,"=1")</f>
        <v>#REF!</v>
      </c>
      <c r="P64" s="34" t="e">
        <f>SUMIFS(Données!G:G,Données!M:M,"Cyprian-les-Brosses",Données!N:N,"MLIS",Données!#REF!,"=1")+SUMIFS(#REF!,#REF!,"Cyprian-les-Brosses",#REF!,"MLIS",#REF!,"=1")</f>
        <v>#REF!</v>
      </c>
      <c r="Q64" s="105" t="e">
        <f>SUMIFS(Données!G:G,Données!M:M,"Cyprian-les-Brosses",Données!N:N,"RIZE",Données!#REF!,"=1")+SUMIFS(#REF!,#REF!,"Cyprian-les-Brosses",#REF!,"RIZE",#REF!,"=1")</f>
        <v>#REF!</v>
      </c>
      <c r="R64" s="106" t="e">
        <f>SUMIFS(Données!G:G,Données!M:M,"Cyprian-les-Brosses",Données!N:N,"PAC-BUS",Données!#REF!,"=1")+SUMIFS(#REF!,#REF!,"Cyprian-les-Brosses",#REF!,"PAC-BUS",#REF!,"=1")</f>
        <v>#REF!</v>
      </c>
      <c r="S64" s="107" t="e">
        <f>SUMIFS(Données!G:G,Données!M:M,"Cyprian-les-Brosses",Données!N:N,"Tonkin",Données!#REF!,"=1")+SUMIFS(#REF!,#REF!,"Cyprian-les-Brosses",#REF!,"Tonkin",#REF!,"=1")</f>
        <v>#REF!</v>
      </c>
      <c r="T64" s="16" t="e">
        <f t="shared" si="11"/>
        <v>#REF!</v>
      </c>
      <c r="U64" s="52"/>
      <c r="V64" s="74" t="e">
        <f t="shared" si="12"/>
        <v>#REF!</v>
      </c>
    </row>
    <row r="65" spans="1:22" ht="27" thickBot="1">
      <c r="A65" s="258"/>
      <c r="B65" s="68" t="s">
        <v>148</v>
      </c>
      <c r="C65" s="76" t="e">
        <f>COUNTIFS(Données!M:M,"Cyprian-les-Brosses",Données!K:K,"Maternelle")+COUNTIFS(#REF!,"Cyprian-les-Brosses",#REF!,"Maternelle")</f>
        <v>#REF!</v>
      </c>
      <c r="D65" s="77" t="s">
        <v>185</v>
      </c>
      <c r="E65" s="77" t="s">
        <v>185</v>
      </c>
      <c r="F65" s="2" t="e">
        <f>COUNTIFS(Données!M:M,"Cyprian-les-Brosses",Données!K:K,"Elémentaire")+COUNTIFS(#REF!,"Cyprian-les-Brosses",#REF!,"Elémentaire")</f>
        <v>#REF!</v>
      </c>
      <c r="G65" s="77" t="s">
        <v>185</v>
      </c>
      <c r="H65" s="77" t="s">
        <v>185</v>
      </c>
      <c r="I65" s="2" t="e">
        <f>COUNTIFS(Données!M:M,"Cyprian-les-Brosses",Données!K:K,"Collège")+COUNTIFS(#REF!,"Cyprian-les-Brosses",#REF!,"Collège")</f>
        <v>#REF!</v>
      </c>
      <c r="J65" s="77" t="s">
        <v>185</v>
      </c>
      <c r="K65" s="77" t="s">
        <v>185</v>
      </c>
      <c r="L65" s="2" t="e">
        <f>COUNTIFS(Données!M:M,"Cyprian-les-Brosses",Données!K:K,"Lycée")+COUNTIFS(#REF!,"Cyprian-les-Brosses",#REF!,"Lycée")</f>
        <v>#REF!</v>
      </c>
      <c r="M65" s="77" t="s">
        <v>185</v>
      </c>
      <c r="N65" s="77" t="s">
        <v>185</v>
      </c>
      <c r="O65" s="2" t="e">
        <f>COUNTIFS(Données!M:M,"Cyprian-les-Brosses",Données!N:N,"FDL")+COUNTIFS(#REF!,"Cyprian-les-Brosses",#REF!,"FDL")</f>
        <v>#REF!</v>
      </c>
      <c r="P65" s="78" t="e">
        <f>COUNTIFS(Données!M:M,"Cyprian-les-Brosses",Données!N:N,"MLIS")+COUNTIFS(#REF!,"Cyprian-les-Brosses",#REF!,"MLIS")</f>
        <v>#REF!</v>
      </c>
      <c r="Q65" s="114" t="e">
        <f>COUNTIFS(Données!M:M,"Cyprian-les-Brosses",Données!N:N,"RIZE")+COUNTIFS(#REF!,"Cyprian-les-Brosses",#REF!,"RIZE")</f>
        <v>#REF!</v>
      </c>
      <c r="R65" s="115" t="e">
        <f>COUNTIFS(Données!M:M,"Cyprian-les-Brosses",Données!N:N,"PAC-BUS")+COUNTIFS(#REF!,"Cyprian-les-Brosses",#REF!,"PAC-BUS")</f>
        <v>#REF!</v>
      </c>
      <c r="S65" s="116" t="e">
        <f>COUNTIFS(Données!M:M,"Cyprian-les-Brosses",Données!N:N,"Tonkin")+COUNTIFS(#REF!,"Cyprian-les-Brosses",#REF!,"Tonkin")</f>
        <v>#REF!</v>
      </c>
      <c r="T65" s="55" t="e">
        <f t="shared" si="11"/>
        <v>#REF!</v>
      </c>
      <c r="U65" s="89" t="s">
        <v>185</v>
      </c>
      <c r="V65" s="90" t="s">
        <v>185</v>
      </c>
    </row>
    <row r="66" spans="1:22" ht="26.25">
      <c r="A66" s="256" t="s">
        <v>121</v>
      </c>
      <c r="B66" s="7" t="s">
        <v>150</v>
      </c>
      <c r="C66" s="25" t="e">
        <f>COUNTIFS(Données!K:K,"Maternelle",Données!M:M,"Ferrandière-Maisons Neuves",Données!#REF!,"=1")+COUNTIFS(#REF!,"Maternelle",#REF!,"Ferrandière-Maisons Neuves",#REF!,"=1")</f>
        <v>#REF!</v>
      </c>
      <c r="D66" s="26">
        <v>22</v>
      </c>
      <c r="E66" s="73" t="e">
        <f>C66/D66</f>
        <v>#REF!</v>
      </c>
      <c r="F66" s="32" t="e">
        <f>COUNTIFS(Données!K:K,"Elémentaire",Données!M:M,"Ferrandière-Maisons Neuves",Données!#REF!,"=1")+COUNTIFS(#REF!,"Elémentaire",#REF!,"Ferrandière-Maisons Neuves",#REF!,"=1")</f>
        <v>#REF!</v>
      </c>
      <c r="G66" s="33">
        <v>30</v>
      </c>
      <c r="H66" s="73" t="e">
        <f>F66/G66</f>
        <v>#REF!</v>
      </c>
      <c r="I66" s="32" t="e">
        <f>COUNTIFS(Données!K:K,"Collège",Données!M:M,"Ferrandière-Maisons Neuves",Données!#REF!,"=1")+COUNTIFS(#REF!,"Collège",#REF!,"Ferrandière-Maisons Neuves",#REF!,"=1")</f>
        <v>#REF!</v>
      </c>
      <c r="J66" s="33"/>
      <c r="K66" s="73" t="e">
        <f t="shared" si="9"/>
        <v>#REF!</v>
      </c>
      <c r="L66" s="32" t="e">
        <f>COUNTIFS(Données!K:K,"Lycée",Données!M:M,"Ferrandière-Maisons Neuves",Données!#REF!,"=1")+COUNTIFS(#REF!,"Lycée",#REF!,"Ferrandière-Maisons Neuves",#REF!,"=1")</f>
        <v>#REF!</v>
      </c>
      <c r="M66" s="33"/>
      <c r="N66" s="73" t="e">
        <f t="shared" si="10"/>
        <v>#REF!</v>
      </c>
      <c r="O66" s="32" t="e">
        <f>COUNTIFS(Données!N:N,"FDL",Données!M:M,"Ferrandière-Maisons Neuves",Données!#REF!,"=1")+COUNTIFS(#REF!,"FDL",#REF!,"Ferrandière-Maisons Neuves",#REF!,"=1")</f>
        <v>#REF!</v>
      </c>
      <c r="P66" s="33" t="e">
        <f>COUNTIFS(Données!N:N,"MLIS",Données!M:M,"Ferrandière-Maisons Neuves",Données!#REF!,"=1")+COUNTIFS(#REF!,"MLIS",#REF!,"Ferrandière-Maisons Neuves",#REF!,"=1")</f>
        <v>#REF!</v>
      </c>
      <c r="Q66" s="102" t="e">
        <f>COUNTIFS(Données!N:N,"RIZE",Données!M:M,"Ferrandière-Maisons Neuves",Données!#REF!,"=1")+COUNTIFS(#REF!,"RIZE",#REF!,"Ferrandière-Maisons Neuves",#REF!,"=1")</f>
        <v>#REF!</v>
      </c>
      <c r="R66" s="103" t="e">
        <f>COUNTIFS(Données!N:N,"PAC-BUS",Données!M:M,"Ferrandière-Maisons Neuves",Données!#REF!,"=1")+COUNTIFS(#REF!,"PAC-BUS",#REF!,"Ferrandière-Maisons Neuves",#REF!,"=1")</f>
        <v>#REF!</v>
      </c>
      <c r="S66" s="104" t="e">
        <f>COUNTIFS(Données!N:N,"Tonkin",Données!M:M,"Ferrandière-Maisons Neuves",Données!#REF!,"=1")+COUNTIFS(#REF!,"Tonkin",#REF!,"Ferrandière-Maisons Neuves",#REF!,"=1")</f>
        <v>#REF!</v>
      </c>
      <c r="T66" s="56" t="e">
        <f t="shared" si="11"/>
        <v>#REF!</v>
      </c>
      <c r="U66" s="86"/>
      <c r="V66" s="73" t="e">
        <f t="shared" si="12"/>
        <v>#REF!</v>
      </c>
    </row>
    <row r="67" spans="1:22" ht="26.25">
      <c r="A67" s="257"/>
      <c r="B67" s="8" t="s">
        <v>149</v>
      </c>
      <c r="C67" s="28" t="e">
        <f>SUMIFS(Données!G:G,Données!M:M,"Ferrandière-Maisons Neuves",Données!K:K,"Maternelle",Données!#REF!,"=1")+SUMIFS(#REF!,#REF!,"Ferrandière-Maisons Neuves",#REF!,"Maternelle",#REF!,"=1")</f>
        <v>#REF!</v>
      </c>
      <c r="D67" s="29">
        <v>530</v>
      </c>
      <c r="E67" s="74" t="e">
        <f t="shared" si="7"/>
        <v>#REF!</v>
      </c>
      <c r="F67" s="16" t="e">
        <f>SUMIFS(Données!G:G,Données!M:M,"Ferrandière-Maisons Neuves",Données!K:K,"Elémentaire",Données!#REF!,"=1")+SUMIFS(#REF!,#REF!,"Ferrandière-Maisons Neuves",#REF!,"Elémentaire",#REF!,"=1")</f>
        <v>#REF!</v>
      </c>
      <c r="G67" s="34">
        <v>744</v>
      </c>
      <c r="H67" s="74" t="e">
        <f t="shared" si="8"/>
        <v>#REF!</v>
      </c>
      <c r="I67" s="16" t="e">
        <f>SUMIFS(Données!G:G,Données!M:M,"Ferrandière-Maisons Neuves",Données!K:K,"Collège",Données!#REF!,"=1")+SUMIFS(#REF!,#REF!,"Ferrandière-Maisons Neuves",#REF!,"Collège",#REF!,"=1")</f>
        <v>#REF!</v>
      </c>
      <c r="J67" s="34"/>
      <c r="K67" s="74" t="e">
        <f t="shared" si="9"/>
        <v>#REF!</v>
      </c>
      <c r="L67" s="16" t="e">
        <f>SUMIFS(Données!G:G,Données!M:M,"Ferrandière-Maisons Neuves",Données!K:K,"Lycée",Données!#REF!,"=1")+SUMIFS(#REF!,#REF!,"Ferrandière-Maisons Neuves",#REF!,"Lycée",#REF!,"=1")</f>
        <v>#REF!</v>
      </c>
      <c r="M67" s="34"/>
      <c r="N67" s="74" t="e">
        <f t="shared" si="10"/>
        <v>#REF!</v>
      </c>
      <c r="O67" s="16" t="e">
        <f>SUMIFS(Données!G:G,Données!M:M,"Ferrandière-Maisons Neuves",Données!N:N,"FDL",Données!#REF!,"=1")+SUMIFS(#REF!,#REF!,"Ferrandière-Maisons Neuves",#REF!,"FDL",#REF!,"=1")</f>
        <v>#REF!</v>
      </c>
      <c r="P67" s="34" t="e">
        <f>SUMIFS(Données!G:G,Données!M:M,"Ferrandière-Maisons Neuves",Données!N:N,"MLIS",Données!#REF!,"=1")+SUMIFS(#REF!,#REF!,"Ferrandière-Maisons Neuves",#REF!,"MLIS",#REF!,"=1")</f>
        <v>#REF!</v>
      </c>
      <c r="Q67" s="105" t="e">
        <f>SUMIFS(Données!G:G,Données!M:M,"Ferrandière-Maisons Neuves",Données!N:N,"RIZE",Données!#REF!,"=1")+SUMIFS(#REF!,#REF!,"Ferrandière-Maisons Neuves",#REF!,"RIZE",#REF!,"=1")</f>
        <v>#REF!</v>
      </c>
      <c r="R67" s="106" t="e">
        <f>SUMIFS(Données!G:G,Données!M:M,"Ferrandière-Maisons Neuves",Données!N:N,"PAC-BUS",Données!#REF!,"=1")+SUMIFS(#REF!,#REF!,"Ferrandière-Maisons Neuves",#REF!,"PAC-BUS",#REF!,"=1")</f>
        <v>#REF!</v>
      </c>
      <c r="S67" s="107" t="e">
        <f>SUMIFS(Données!G:G,Données!M:M,"Ferrandière-Maisons Neuves",Données!N:N,"Tonkin",Données!#REF!,"=1")+SUMIFS(#REF!,#REF!,"Ferrandière-Maisons Neuves",#REF!,"Tonkin",#REF!,"=1")</f>
        <v>#REF!</v>
      </c>
      <c r="T67" s="16" t="e">
        <f t="shared" si="11"/>
        <v>#REF!</v>
      </c>
      <c r="U67" s="52"/>
      <c r="V67" s="74" t="e">
        <f t="shared" si="12"/>
        <v>#REF!</v>
      </c>
    </row>
    <row r="68" spans="1:22" ht="27" thickBot="1">
      <c r="A68" s="258"/>
      <c r="B68" s="68" t="s">
        <v>148</v>
      </c>
      <c r="C68" s="41" t="e">
        <f>COUNTIFS(Données!M:M,"Ferrandière-Maisons Neuves",Données!K:K,"Maternelle")+COUNTIFS(#REF!,"Ferrandière-Maisons Neuves",#REF!,"Maternelle")</f>
        <v>#REF!</v>
      </c>
      <c r="D68" s="42" t="s">
        <v>185</v>
      </c>
      <c r="E68" s="42" t="s">
        <v>185</v>
      </c>
      <c r="F68" s="6" t="e">
        <f>COUNTIFS(Données!M:M,"Ferrandière-Maisons Neuves",Données!K:K,"Elémentaire")+COUNTIFS(#REF!,"Ferrandière-Maisons Neuves",#REF!,"Elémentaire")</f>
        <v>#REF!</v>
      </c>
      <c r="G68" s="42" t="s">
        <v>185</v>
      </c>
      <c r="H68" s="120" t="s">
        <v>185</v>
      </c>
      <c r="I68" s="6" t="e">
        <f>COUNTIFS(Données!M:M,"Ferrandière-Maisons Neuves",Données!K:K,"Collège")+COUNTIFS(#REF!,"Ferrandière-Maisons Neuves",#REF!,"Collège")</f>
        <v>#REF!</v>
      </c>
      <c r="J68" s="42" t="s">
        <v>185</v>
      </c>
      <c r="K68" s="42" t="s">
        <v>185</v>
      </c>
      <c r="L68" s="6" t="e">
        <f>COUNTIFS(Données!M:M,"Ferrandière-Maisons Neuves",Données!K:K,"Lycée")+COUNTIFS(#REF!,"Ferrandière-Maisons Neuves",#REF!,"Lycée")</f>
        <v>#REF!</v>
      </c>
      <c r="M68" s="42" t="s">
        <v>185</v>
      </c>
      <c r="N68" s="42" t="s">
        <v>185</v>
      </c>
      <c r="O68" s="6" t="e">
        <f>COUNTIFS(Données!M:M,"Ferrandière-Maisons Neuves",Données!N:N,"FDL")+COUNTIFS(#REF!,"Ferrandière-Maisons Neuves",#REF!,"FDL")</f>
        <v>#REF!</v>
      </c>
      <c r="P68" s="14" t="e">
        <f>COUNTIFS(Données!M:M,"Ferrandière-Maisons Neuves",Données!N:N,"MLIS")+COUNTIFS(#REF!,"Ferrandière-Maisons Neuves",#REF!,"MLIS")</f>
        <v>#REF!</v>
      </c>
      <c r="Q68" s="108" t="e">
        <f>COUNTIFS(Données!M:M,"Ferrandière-Maisons Neuves",Données!N:N,"RIZE")+COUNTIFS(#REF!,"Ferrandière-Maisons Neuves",#REF!,"RIZE")</f>
        <v>#REF!</v>
      </c>
      <c r="R68" s="109" t="e">
        <f>COUNTIFS(Données!M:M,"Ferrandière-Maisons Neuves",Données!N:N,"PAC-BUS")+COUNTIFS(#REF!,"Ferrandière-Maisons Neuves",#REF!,"PAC-BUS")</f>
        <v>#REF!</v>
      </c>
      <c r="S68" s="110" t="e">
        <f>COUNTIFS(Données!M:M,"Ferrandière-Maisons Neuves",Données!N:N,"Tonkin")+COUNTIFS(#REF!,"Ferrandière-Maisons Neuves",#REF!,"Tonkin")</f>
        <v>#REF!</v>
      </c>
      <c r="T68" s="43" t="e">
        <f t="shared" si="11"/>
        <v>#REF!</v>
      </c>
      <c r="U68" s="87" t="s">
        <v>185</v>
      </c>
      <c r="V68" s="72" t="s">
        <v>185</v>
      </c>
    </row>
    <row r="69" spans="1:22" ht="26.25">
      <c r="A69" s="256" t="s">
        <v>86</v>
      </c>
      <c r="B69" s="7" t="s">
        <v>150</v>
      </c>
      <c r="C69" s="25" t="e">
        <f>COUNTIFS(Données!K:K,"Maternelle",Données!M:M,"Gratte-ciel-Dedieu-Charmettes",Données!#REF!,"=1")+COUNTIFS(#REF!,"Maternelle",#REF!,"Gratte-ciel-Dedieu-Charmettes",#REF!,"=1")</f>
        <v>#REF!</v>
      </c>
      <c r="D69" s="26">
        <v>62</v>
      </c>
      <c r="E69" s="73" t="e">
        <f t="shared" si="7"/>
        <v>#REF!</v>
      </c>
      <c r="F69" s="32" t="e">
        <f>COUNTIFS(Données!K:K,"Elémentaire",Données!M:M,"Gratte-ciel-Dedieu-Charmettes",Données!#REF!,"=1")+COUNTIFS(#REF!,"Elémentaire",#REF!,"Gratte-ciel-Dedieu-Charmettes",#REF!,"=1")</f>
        <v>#REF!</v>
      </c>
      <c r="G69" s="33">
        <v>102</v>
      </c>
      <c r="H69" s="73" t="e">
        <f t="shared" si="8"/>
        <v>#REF!</v>
      </c>
      <c r="I69" s="32" t="e">
        <f>COUNTIFS(Données!K:K,"Collège",Données!M:M,"Gratte-ciel-Dedieu-Charmettes",Données!#REF!,"=1")+COUNTIFS(#REF!,"Collège",#REF!,"Gratte-ciel-Dedieu-Charmettes",#REF!,"=1")</f>
        <v>#REF!</v>
      </c>
      <c r="J69" s="33"/>
      <c r="K69" s="73" t="e">
        <f t="shared" si="9"/>
        <v>#REF!</v>
      </c>
      <c r="L69" s="32" t="e">
        <f>COUNTIFS(Données!K:K,"Lycée",Données!M:M,"Gratte-ciel-Dedieu-Charmettes",Données!#REF!,"=1")+COUNTIFS(#REF!,"Lycée",#REF!,"Gratte-ciel-Dedieu-Charmettes",#REF!,"=1")</f>
        <v>#REF!</v>
      </c>
      <c r="M69" s="33"/>
      <c r="N69" s="73" t="e">
        <f t="shared" si="10"/>
        <v>#REF!</v>
      </c>
      <c r="O69" s="32" t="e">
        <f>COUNTIFS(Données!N:N,"FDL",Données!M:M,"Gratte-ciel-Dedieu-Charmettes",Données!#REF!,"=1")+COUNTIFS(#REF!,"FDL",#REF!,"Gratte-ciel-Dedieu-Charmettes",#REF!,"=1")</f>
        <v>#REF!</v>
      </c>
      <c r="P69" s="33" t="e">
        <f>COUNTIFS(Données!N:N,"MLIS",Données!M:M,"Gratte-ciel-Dedieu-Charmettes",Données!#REF!,"=1")+COUNTIFS(#REF!,"MLIS",#REF!,"Gratte-ciel-Dedieu-Charmettes",#REF!,"=1")</f>
        <v>#REF!</v>
      </c>
      <c r="Q69" s="102" t="e">
        <f>COUNTIFS(Données!N:N,"RIZE",Données!M:M,"Gratte-ciel-Dedieu-Charmettes",Données!#REF!,"=1")+COUNTIFS(#REF!,"RIZE",#REF!,"Gratte-ciel-Dedieu-Charmettes",#REF!,"=1")</f>
        <v>#REF!</v>
      </c>
      <c r="R69" s="103" t="e">
        <f>COUNTIFS(Données!N:N,"PAC-BUS",Données!M:M,"Gratte-ciel-Dedieu-Charmettes",Données!#REF!,"=1")+COUNTIFS(#REF!,"PAC-BUS",#REF!,"Gratte-ciel-Dedieu-Charmettes",#REF!,"=1")</f>
        <v>#REF!</v>
      </c>
      <c r="S69" s="104" t="e">
        <f>COUNTIFS(Données!N:N,"Tonkin",Données!M:M,"Gratte-ciel-Dedieu-Charmettes",Données!#REF!,"=1")+COUNTIFS(#REF!,"Tonkin",#REF!,"Gratte-ciel-Dedieu-Charmettes",#REF!,"=1")</f>
        <v>#REF!</v>
      </c>
      <c r="T69" s="56" t="e">
        <f t="shared" si="11"/>
        <v>#REF!</v>
      </c>
      <c r="U69" s="86"/>
      <c r="V69" s="73" t="e">
        <f t="shared" si="12"/>
        <v>#REF!</v>
      </c>
    </row>
    <row r="70" spans="1:22" ht="26.25">
      <c r="A70" s="257"/>
      <c r="B70" s="8" t="s">
        <v>149</v>
      </c>
      <c r="C70" s="28" t="e">
        <f>SUMIFS(Données!G:G,Données!M:M,"Gratte-ciel-Dedieu-Charmettes",Données!K:K,"Maternelle",Données!#REF!,"=1")+SUMIFS(#REF!,#REF!,"Gratte-ciel-Dedieu-Charmettes",#REF!,"Maternelle",#REF!,"=1")</f>
        <v>#REF!</v>
      </c>
      <c r="D70" s="29">
        <v>1575</v>
      </c>
      <c r="E70" s="74" t="e">
        <f t="shared" si="7"/>
        <v>#REF!</v>
      </c>
      <c r="F70" s="16" t="e">
        <f>SUMIFS(Données!G:G,Données!M:M,"Gratte-ciel-Dedieu-Charmettes",Données!K:K,"Elémentaire",Données!#REF!,"=1")+SUMIFS(#REF!,#REF!,"Gratte-ciel-Dedieu-Charmettes",#REF!,"Elémentaire",#REF!,"=1")</f>
        <v>#REF!</v>
      </c>
      <c r="G70" s="34">
        <v>2420</v>
      </c>
      <c r="H70" s="74" t="e">
        <f t="shared" si="8"/>
        <v>#REF!</v>
      </c>
      <c r="I70" s="16" t="e">
        <f>SUMIFS(Données!G:G,Données!M:M,"Gratte-ciel-Dedieu-Charmettes",Données!K:K,"Collège",Données!#REF!,"=1")+SUMIFS(#REF!,#REF!,"Gratte-ciel-Dedieu-Charmettes",#REF!,"Collège",#REF!,"=1")</f>
        <v>#REF!</v>
      </c>
      <c r="J70" s="34"/>
      <c r="K70" s="74" t="e">
        <f t="shared" si="9"/>
        <v>#REF!</v>
      </c>
      <c r="L70" s="16" t="e">
        <f>SUMIFS(Données!G:G,Données!M:M,"Gratte-ciel-Dedieu-Charmettes",Données!K:K,"Lycée",Données!#REF!,"=1")+SUMIFS(#REF!,#REF!,"Gratte-ciel-Dedieu-Charmettes",#REF!,"Lycée",#REF!,"=1")</f>
        <v>#REF!</v>
      </c>
      <c r="M70" s="34"/>
      <c r="N70" s="74" t="e">
        <f t="shared" si="10"/>
        <v>#REF!</v>
      </c>
      <c r="O70" s="16" t="e">
        <f>SUMIFS(Données!G:G,Données!M:M,"Gratte-ciel-Dedieu-Charmettes",Données!N:N,"FDL",Données!#REF!,"=1")+SUMIFS(#REF!,#REF!,"Gratte-ciel-Dedieu-Charmettes",#REF!,"FDL",#REF!,"=1")</f>
        <v>#REF!</v>
      </c>
      <c r="P70" s="34" t="e">
        <f>SUMIFS(Données!G:G,Données!M:M,"Gratte-ciel-Dedieu-Charmettes",Données!N:N,"MLIS",Données!#REF!,"=1")+SUMIFS(#REF!,#REF!,"Gratte-ciel-Dedieu-Charmettes",#REF!,"MLIS",#REF!,"=1")</f>
        <v>#REF!</v>
      </c>
      <c r="Q70" s="105" t="e">
        <f>SUMIFS(Données!G:G,Données!M:M,"Gratte-ciel-Dedieu-Charmettes",Données!N:N,"RIZE",Données!#REF!,"=1")+SUMIFS(#REF!,#REF!,"Gratte-ciel-Dedieu-Charmettes",#REF!,"RIZE",#REF!,"=1")</f>
        <v>#REF!</v>
      </c>
      <c r="R70" s="106" t="e">
        <f>SUMIFS(Données!G:G,Données!M:M,"Gratte-ciel-Dedieu-Charmettes",Données!N:N,"PAC-BUS",Données!#REF!,"=1")+SUMIFS(#REF!,#REF!,"Gratte-ciel-Dedieu-Charmettes",#REF!,"PAC-BUS",#REF!,"=1")</f>
        <v>#REF!</v>
      </c>
      <c r="S70" s="107" t="e">
        <f>SUMIFS(Données!G:G,Données!M:M,"Gratte-ciel-Dedieu-Charmettes",Données!N:N,"Tonkin",Données!#REF!,"=1")+SUMIFS(#REF!,#REF!,"Gratte-ciel-Dedieu-Charmettes",#REF!,"Tonkin",#REF!,"=1")</f>
        <v>#REF!</v>
      </c>
      <c r="T70" s="16" t="e">
        <f t="shared" si="11"/>
        <v>#REF!</v>
      </c>
      <c r="U70" s="52"/>
      <c r="V70" s="74" t="e">
        <f t="shared" si="12"/>
        <v>#REF!</v>
      </c>
    </row>
    <row r="71" spans="1:22" ht="27" thickBot="1">
      <c r="A71" s="258"/>
      <c r="B71" s="68" t="s">
        <v>148</v>
      </c>
      <c r="C71" s="41" t="e">
        <f>COUNTIFS(Données!M:M,"Gratte-ciel-Dedieu-Charmettes",Données!K:K,"Maternelle")+COUNTIFS(#REF!,"Gratte-ciel-Dedieu-Charmettes",#REF!,"Maternelle")</f>
        <v>#REF!</v>
      </c>
      <c r="D71" s="42" t="s">
        <v>185</v>
      </c>
      <c r="E71" s="42" t="s">
        <v>185</v>
      </c>
      <c r="F71" s="6" t="e">
        <f>COUNTIFS(Données!M:M,"Gratte-ciel-Dedieu-Charmettes",Données!K:K,"Elémentaire")+COUNTIFS(#REF!,"Gratte-ciel-Dedieu-Charmettes",#REF!,"Elémentaire")</f>
        <v>#REF!</v>
      </c>
      <c r="G71" s="42" t="s">
        <v>185</v>
      </c>
      <c r="H71" s="42" t="s">
        <v>185</v>
      </c>
      <c r="I71" s="6" t="e">
        <f>COUNTIFS(Données!M:M,"Gratte-ciel-Dedieu-Charmettes",Données!K:K,"Collège")+COUNTIFS(#REF!,"Gratte-ciel-Dedieu-Charmettes",#REF!,"Collège")</f>
        <v>#REF!</v>
      </c>
      <c r="J71" s="42" t="s">
        <v>185</v>
      </c>
      <c r="K71" s="42" t="s">
        <v>185</v>
      </c>
      <c r="L71" s="6" t="e">
        <f>COUNTIFS(Données!M:M,"Gratte-ciel-Dedieu-Charmettes",Données!K:K,"Lycée")+COUNTIFS(#REF!,"Gratte-ciel-Dedieu-Charmettes",#REF!,"Lycée")</f>
        <v>#REF!</v>
      </c>
      <c r="M71" s="42" t="s">
        <v>185</v>
      </c>
      <c r="N71" s="42" t="s">
        <v>185</v>
      </c>
      <c r="O71" s="6" t="e">
        <f>COUNTIFS(Données!M:M,"Gratte-ciel-Dedieu-Charmettes",Données!N:N,"FDL")+COUNTIFS(#REF!,"Gratte-ciel-Dedieu-Charmettes",#REF!,"FDL")</f>
        <v>#REF!</v>
      </c>
      <c r="P71" s="14" t="e">
        <f>COUNTIFS(Données!M:M,"Gratte-ciel-Dedieu-Charmettes",Données!N:N,"MLIS")+COUNTIFS(#REF!,"Gratte-ciel-Dedieu-Charmettes",#REF!,"MLIS")</f>
        <v>#REF!</v>
      </c>
      <c r="Q71" s="108" t="e">
        <f>COUNTIFS(Données!M:M,"Gratte-ciel-Dedieu-Charmettes",Données!N:N,"RIZE")+COUNTIFS(#REF!,"Gratte-ciel-Dedieu-Charmettes",#REF!,"RIZE")</f>
        <v>#REF!</v>
      </c>
      <c r="R71" s="109" t="e">
        <f>COUNTIFS(Données!M:M,"Gratte-ciel-Dedieu-Charmettes",Données!N:N,"PAC-BUS")+COUNTIFS(#REF!,"Gratte-ciel-Dedieu-Charmettes",#REF!,"PAC-BUS")</f>
        <v>#REF!</v>
      </c>
      <c r="S71" s="110" t="e">
        <f>COUNTIFS(Données!M:M,"Gratte-ciel-Dedieu-Charmettes",Données!N:N,"Tonkin")+COUNTIFS(#REF!,"Gratte-ciel-Dedieu-Charmettes",#REF!,"Tonkin")</f>
        <v>#REF!</v>
      </c>
      <c r="T71" s="43" t="e">
        <f t="shared" si="11"/>
        <v>#REF!</v>
      </c>
      <c r="U71" s="87" t="s">
        <v>185</v>
      </c>
      <c r="V71" s="72" t="s">
        <v>185</v>
      </c>
    </row>
    <row r="72" spans="1:22" ht="26.25">
      <c r="A72" s="256" t="s">
        <v>187</v>
      </c>
      <c r="B72" s="7" t="s">
        <v>150</v>
      </c>
      <c r="C72" s="76" t="e">
        <f>COUNTIFS(Données!K:K,"Maternelle",Données!M:M,"Perralière-Grandclément",Données!#REF!,"=1")+COUNTIFS(#REF!,"Maternelle",#REF!,"Perralière-Grandclément",#REF!,"=1")</f>
        <v>#REF!</v>
      </c>
      <c r="D72" s="77">
        <v>28</v>
      </c>
      <c r="E72" s="79" t="e">
        <f t="shared" si="7"/>
        <v>#REF!</v>
      </c>
      <c r="F72" s="30" t="e">
        <f>COUNTIFS(Données!K:K,"Elémentaire",Données!M:M,"Perralière-Grandclément",Données!#REF!,"=1")+COUNTIFS(#REF!,"Elémentaire",#REF!,"Perralière-Grandclément",#REF!,"=1")</f>
        <v>#REF!</v>
      </c>
      <c r="G72" s="31">
        <v>50</v>
      </c>
      <c r="H72" s="79" t="e">
        <f t="shared" si="8"/>
        <v>#REF!</v>
      </c>
      <c r="I72" s="30" t="e">
        <f>COUNTIFS(Données!K:K,"Collège",Données!M:M,"Perralière-Grandclément",Données!#REF!,"=1")+COUNTIFS(#REF!,"Collège",#REF!,"Perralière-Grandclément",#REF!,"=1")</f>
        <v>#REF!</v>
      </c>
      <c r="J72" s="31"/>
      <c r="K72" s="79" t="e">
        <f t="shared" si="9"/>
        <v>#REF!</v>
      </c>
      <c r="L72" s="30" t="e">
        <f>COUNTIFS(Données!K:K,"Lycée",Données!M:M,"Perralière-Grandclément",Données!#REF!,"=1")+COUNTIFS(#REF!,"Lycée",#REF!,"Perralière-Grandclément",#REF!,"=1")</f>
        <v>#REF!</v>
      </c>
      <c r="M72" s="31"/>
      <c r="N72" s="79" t="e">
        <f t="shared" si="10"/>
        <v>#REF!</v>
      </c>
      <c r="O72" s="30" t="e">
        <f>COUNTIFS(Données!N:N,"FDL",Données!M:M,"Perralière-Grandclément",Données!#REF!,"=1")+COUNTIFS(#REF!,"FDL",#REF!,"Perralière-Grandclément",#REF!,"=1")</f>
        <v>#REF!</v>
      </c>
      <c r="P72" s="31" t="e">
        <f>COUNTIFS(Données!N:N,"MLIS",Données!M:M,"Perralière-Grandclément",Données!#REF!,"=1")+COUNTIFS(#REF!,"MLIS",#REF!,"Perralière-Grandclément",#REF!,"=1")</f>
        <v>#REF!</v>
      </c>
      <c r="Q72" s="117" t="e">
        <f>COUNTIFS(Données!N:N,"RIZE",Données!M:M,"Perralière-Grandclément",Données!#REF!,"=1")+COUNTIFS(#REF!,"RIZE",#REF!,"Perralière-Grandclément",#REF!,"=1")</f>
        <v>#REF!</v>
      </c>
      <c r="R72" s="118" t="e">
        <f>COUNTIFS(Données!N:N,"PAC-BUS",Données!M:M,"Perralière-Grandclément",Données!#REF!,"=1")+COUNTIFS(#REF!,"PAC-BUS",#REF!,"Perralière-Grandclément",#REF!,"=1")</f>
        <v>#REF!</v>
      </c>
      <c r="S72" s="119" t="e">
        <f>COUNTIFS(Données!N:N,"Tonkin",Données!M:M,"Perralière-Grandclément",Données!#REF!,"=1")+COUNTIFS(#REF!,"Tonkin",#REF!,"Perralière-Grandclément",#REF!,"=1")</f>
        <v>#REF!</v>
      </c>
      <c r="T72" s="54" t="e">
        <f t="shared" si="11"/>
        <v>#REF!</v>
      </c>
      <c r="U72" s="83"/>
      <c r="V72" s="79" t="e">
        <f t="shared" si="12"/>
        <v>#REF!</v>
      </c>
    </row>
    <row r="73" spans="1:22" ht="26.25">
      <c r="A73" s="257"/>
      <c r="B73" s="8" t="s">
        <v>149</v>
      </c>
      <c r="C73" s="28" t="e">
        <f>SUMIFS(Données!G:G,Données!M:M,"Perralière-Grandclément",Données!K:K,"Maternelle",Données!#REF!,"=1")+SUMIFS(#REF!,#REF!,"Perralière-Grandclément",#REF!,"Maternelle",#REF!,"=1")</f>
        <v>#REF!</v>
      </c>
      <c r="D73" s="29">
        <v>783</v>
      </c>
      <c r="E73" s="81" t="e">
        <f t="shared" si="7"/>
        <v>#REF!</v>
      </c>
      <c r="F73" s="28" t="e">
        <f>SUMIFS(Données!G:G,Données!M:M,"Perralière-Grandclément",Données!K:K,"Elémentaire",Données!#REF!,"=1")+SUMIFS(#REF!,#REF!,"Perralière-Grandclément",#REF!,"Elémentaire",#REF!,"=1")</f>
        <v>#REF!</v>
      </c>
      <c r="G73" s="29">
        <v>1219</v>
      </c>
      <c r="H73" s="81" t="e">
        <f t="shared" si="8"/>
        <v>#REF!</v>
      </c>
      <c r="I73" s="28" t="e">
        <f>SUMIFS(Données!G:G,Données!M:M,"Perralière-Grandclément",Données!K:K,"Collège",Données!#REF!,"=1")+SUMIFS(#REF!,#REF!,"Perralière-Grandclément",#REF!,"Collège",#REF!,"=1")</f>
        <v>#REF!</v>
      </c>
      <c r="J73" s="29"/>
      <c r="K73" s="81" t="e">
        <f t="shared" si="9"/>
        <v>#REF!</v>
      </c>
      <c r="L73" s="28" t="e">
        <f>SUMIFS(Données!G:G,Données!M:M,"Perralière-Grandclément",Données!K:K,"Lycée",Données!#REF!,"=1")+SUMIFS(#REF!,#REF!,"Perralière-Grandclément",#REF!,"Lycée",#REF!,"=1")</f>
        <v>#REF!</v>
      </c>
      <c r="M73" s="29"/>
      <c r="N73" s="81" t="e">
        <f t="shared" si="10"/>
        <v>#REF!</v>
      </c>
      <c r="O73" s="28" t="e">
        <f>SUMIFS(Données!G:G,Données!M:M,"Perralière-Grandclément",Données!N:N,"FDL",Données!#REF!,"=1")+SUMIFS(#REF!,#REF!,"Perralière-Grandclément",#REF!,"FDL",#REF!,"=1")</f>
        <v>#REF!</v>
      </c>
      <c r="P73" s="29" t="e">
        <f>SUMIFS(Données!G:G,Données!M:M,"Perralière-Grandclément",Données!N:N,"MLIS",Données!#REF!,"=1")+SUMIFS(#REF!,#REF!,"Perralière-Grandclément",#REF!,"MLIS",#REF!,"=1")</f>
        <v>#REF!</v>
      </c>
      <c r="Q73" s="96" t="e">
        <f>SUMIFS(Données!G:G,Données!M:M,"Perralière-Grandclément",Données!N:N,"RIZE",Données!#REF!,"=1")+SUMIFS(#REF!,#REF!,"Perralière-Grandclément",#REF!,"RIZE",#REF!,"=1")</f>
        <v>#REF!</v>
      </c>
      <c r="R73" s="97" t="e">
        <f>SUMIFS(Données!G:G,Données!M:M,"Perralière-Grandclément",Données!N:N,"PAC-BUS",Données!#REF!,"=1")+SUMIFS(#REF!,#REF!,"Perralière-Grandclément",#REF!,"PAC-BUS",#REF!,"=1")</f>
        <v>#REF!</v>
      </c>
      <c r="S73" s="98" t="e">
        <f>SUMIFS(Données!G:G,Données!M:M,"Perralière-Grandclément",Données!N:N,"Tonkin",Données!#REF!,"=1")+SUMIFS(#REF!,#REF!,"Perralière-Grandclément",#REF!,"Tonkin",#REF!,"=1")</f>
        <v>#REF!</v>
      </c>
      <c r="T73" s="28" t="e">
        <f t="shared" si="11"/>
        <v>#REF!</v>
      </c>
      <c r="U73" s="51"/>
      <c r="V73" s="71" t="e">
        <f t="shared" si="12"/>
        <v>#REF!</v>
      </c>
    </row>
    <row r="74" spans="1:22" ht="27" thickBot="1">
      <c r="A74" s="258"/>
      <c r="B74" s="68" t="s">
        <v>148</v>
      </c>
      <c r="C74" s="30" t="e">
        <f>COUNTIFS(Données!M:M,"Perralière-Grandclément",Données!K:K,"Maternelle")+COUNTIFS(#REF!,"Perralière-Grandclément",#REF!,"Maternelle")</f>
        <v>#REF!</v>
      </c>
      <c r="D74" s="31" t="s">
        <v>185</v>
      </c>
      <c r="E74" s="31" t="s">
        <v>185</v>
      </c>
      <c r="F74" s="38" t="e">
        <f>COUNTIFS(Données!M:M,"Perralière-Grandclément",Données!K:K,"Elémentaire")+COUNTIFS(#REF!,"Perralière-Grandclément",#REF!,"Elémentaire")</f>
        <v>#REF!</v>
      </c>
      <c r="G74" s="31" t="s">
        <v>185</v>
      </c>
      <c r="H74" s="31" t="s">
        <v>185</v>
      </c>
      <c r="I74" s="38" t="e">
        <f>COUNTIFS(Données!M:M,"Perralière-Grandclément",Données!K:K,"Collège")+COUNTIFS(#REF!,"Perralière-Grandclément",#REF!,"Collège")</f>
        <v>#REF!</v>
      </c>
      <c r="J74" s="31" t="s">
        <v>185</v>
      </c>
      <c r="K74" s="31" t="s">
        <v>185</v>
      </c>
      <c r="L74" s="38" t="e">
        <f>COUNTIFS(Données!M:M,"Perralière-Grandclément",Données!K:K,"Lycée")+COUNTIFS(#REF!,"Perralière-Grandclément",#REF!,"Lycée")</f>
        <v>#REF!</v>
      </c>
      <c r="M74" s="31" t="s">
        <v>185</v>
      </c>
      <c r="N74" s="31" t="s">
        <v>185</v>
      </c>
      <c r="O74" s="38" t="e">
        <f>COUNTIFS(Données!M:M,"Perralière-Grandclément",Données!N:N,"FDL")+COUNTIFS(#REF!,"Perralière-Grandclément",#REF!,"FDL")</f>
        <v>#REF!</v>
      </c>
      <c r="P74" s="39" t="e">
        <f>COUNTIFS(Données!M:M,"Perralière-Grandclément",Données!N:N,"MLIS")+COUNTIFS(#REF!,"Perralière-Grandclément",#REF!,"MLIS")</f>
        <v>#REF!</v>
      </c>
      <c r="Q74" s="99" t="e">
        <f>COUNTIFS(Données!M:M,"Perralière-Grandclément",Données!N:N,"RIZE")+COUNTIFS(#REF!,"Perralière-Grandclément",#REF!,"RIZE")</f>
        <v>#REF!</v>
      </c>
      <c r="R74" s="100" t="e">
        <f>COUNTIFS(Données!M:M,"Perralière-Grandclément",Données!N:N,"PAC-BUS")+COUNTIFS(#REF!,"Perralière-Grandclément",#REF!,"PAC-BUS")</f>
        <v>#REF!</v>
      </c>
      <c r="S74" s="101" t="e">
        <f>COUNTIFS(Données!M:M,"Perralière-Grandclément",Données!N:N,"Tonkin")+COUNTIFS(#REF!,"Perralière-Grandclément",#REF!,"Tonkin")</f>
        <v>#REF!</v>
      </c>
      <c r="T74" s="80" t="e">
        <f t="shared" si="11"/>
        <v>#REF!</v>
      </c>
      <c r="U74" s="84"/>
      <c r="V74" s="72"/>
    </row>
    <row r="75" spans="1:22" ht="26.25">
      <c r="A75" s="256" t="s">
        <v>85</v>
      </c>
      <c r="B75" s="7" t="s">
        <v>150</v>
      </c>
      <c r="C75" s="25" t="e">
        <f>COUNTIFS(Données!K:K,"Maternelle",Données!M:M,"Saint Jean",Données!#REF!,"=1")+COUNTIFS(#REF!,"Maternelle",#REF!,"Saint Jean",#REF!,"=1")</f>
        <v>#REF!</v>
      </c>
      <c r="D75" s="26">
        <v>8</v>
      </c>
      <c r="E75" s="70" t="e">
        <f t="shared" si="7"/>
        <v>#REF!</v>
      </c>
      <c r="F75" s="23" t="e">
        <f>COUNTIFS(Données!K:K,"Elémentaire",Données!M:M,"Saint Jean",Données!#REF!,"=1")+COUNTIFS(#REF!,"Elémentaire",#REF!,"Saint Jean",#REF!,"=1")</f>
        <v>#REF!</v>
      </c>
      <c r="G75" s="24">
        <v>13</v>
      </c>
      <c r="H75" s="70" t="e">
        <f t="shared" si="8"/>
        <v>#REF!</v>
      </c>
      <c r="I75" s="23" t="e">
        <f>COUNTIFS(Données!K:K,"Collège",Données!M:M,"Saint Jean",Données!#REF!,"=1")+COUNTIFS(#REF!,"Collège",#REF!,"Saint Jean",#REF!,"=1")</f>
        <v>#REF!</v>
      </c>
      <c r="J75" s="24"/>
      <c r="K75" s="70" t="e">
        <f t="shared" si="9"/>
        <v>#REF!</v>
      </c>
      <c r="L75" s="23" t="e">
        <f>COUNTIFS(Données!K:K,"Lycée",Données!M:M,"Saint Jean",Données!#REF!,"=1")+COUNTIFS(#REF!,"Lycée",#REF!,"Saint Jean",#REF!,"=1")</f>
        <v>#REF!</v>
      </c>
      <c r="M75" s="24">
        <v>0</v>
      </c>
      <c r="N75" s="70" t="e">
        <f t="shared" si="10"/>
        <v>#REF!</v>
      </c>
      <c r="O75" s="23" t="e">
        <f>COUNTIFS(Données!N:N,"FDL",Données!M:M,"Saint Jean",Données!#REF!,"=1")+COUNTIFS(#REF!,"FDL",#REF!,"Saint Jean",#REF!,"=1")</f>
        <v>#REF!</v>
      </c>
      <c r="P75" s="24" t="e">
        <f>COUNTIFS(Données!N:N,"MLIS",Données!M:M,"Saint Jean",Données!#REF!,"=1")+COUNTIFS(#REF!,"MLIS",#REF!,"Saint Jean",#REF!,"=1")</f>
        <v>#REF!</v>
      </c>
      <c r="Q75" s="93" t="e">
        <f>COUNTIFS(Données!N:N,"RIZE",Données!M:M,"Saint Jean",Données!#REF!,"=1")+COUNTIFS(#REF!,"RIZE",#REF!,"Saint Jean",#REF!,"=1")</f>
        <v>#REF!</v>
      </c>
      <c r="R75" s="94" t="e">
        <f>COUNTIFS(Données!N:N,"PAC-BUS",Données!M:M,"Saint Jean",Données!#REF!,"=1")+COUNTIFS(#REF!,"PAC-BUS",#REF!,"Saint Jean",#REF!,"=1")</f>
        <v>#REF!</v>
      </c>
      <c r="S75" s="95" t="e">
        <f>COUNTIFS(Données!N:N,"Tonkin",Données!M:M,"Saint Jean",Données!#REF!,"=1")+COUNTIFS(#REF!,"Tonkin",#REF!,"Saint Jean",#REF!,"=1")</f>
        <v>#REF!</v>
      </c>
      <c r="T75" s="57" t="e">
        <f t="shared" si="11"/>
        <v>#REF!</v>
      </c>
      <c r="U75" s="91"/>
      <c r="V75" s="70" t="e">
        <f t="shared" si="12"/>
        <v>#REF!</v>
      </c>
    </row>
    <row r="76" spans="1:22" ht="26.25">
      <c r="A76" s="257"/>
      <c r="B76" s="8" t="s">
        <v>149</v>
      </c>
      <c r="C76" s="28" t="e">
        <f>SUMIFS(Données!G:G,Données!M:M,"Saint Jean",Données!K:K,"Maternelle",Données!#REF!,"=1")+SUMIFS(#REF!,#REF!,"Saint Jean",#REF!,"Maternelle",#REF!,"=1")</f>
        <v>#REF!</v>
      </c>
      <c r="D76" s="29">
        <v>220</v>
      </c>
      <c r="E76" s="81" t="e">
        <f t="shared" si="7"/>
        <v>#REF!</v>
      </c>
      <c r="F76" s="28" t="e">
        <f>SUMIFS(Données!G:G,Données!M:M,"Saint Jean",Données!K:K,"Elémentaire",Données!#REF!,"=1")+SUMIFS(#REF!,#REF!,"Saint Jean",#REF!,"Elémentaire",#REF!,"=1")</f>
        <v>#REF!</v>
      </c>
      <c r="G76" s="29">
        <v>290</v>
      </c>
      <c r="H76" s="81" t="e">
        <f t="shared" si="8"/>
        <v>#REF!</v>
      </c>
      <c r="I76" s="28" t="e">
        <f>SUMIFS(Données!G:G,Données!M:M,"Saint Jean",Données!K:K,"Collège",Données!#REF!,"=1")+SUMIFS(#REF!,#REF!,"Saint Jean",#REF!,"Collège",#REF!,"=1")</f>
        <v>#REF!</v>
      </c>
      <c r="J76" s="29"/>
      <c r="K76" s="81" t="e">
        <f t="shared" si="9"/>
        <v>#REF!</v>
      </c>
      <c r="L76" s="28" t="e">
        <f>SUMIFS(Données!G:G,Données!M:M,"Saint Jean",Données!K:K,"Lycée",Données!#REF!,"=1")+SUMIFS(#REF!,#REF!,"Saint Jean",#REF!,"Lycée",#REF!,"=1")</f>
        <v>#REF!</v>
      </c>
      <c r="M76" s="29">
        <v>0</v>
      </c>
      <c r="N76" s="81" t="e">
        <f t="shared" si="10"/>
        <v>#REF!</v>
      </c>
      <c r="O76" s="28" t="e">
        <f>SUMIFS(Données!G:G,Données!M:M,"Saint Jean",Données!N:N,"FDL",Données!#REF!,"=1")+SUMIFS(#REF!,#REF!,"Saint Jean",#REF!,"FDL",#REF!,"=1")</f>
        <v>#REF!</v>
      </c>
      <c r="P76" s="29" t="e">
        <f>SUMIFS(Données!G:G,Données!M:M,"Saint Jean",Données!N:N,"MLIS",Données!#REF!,"=1")+SUMIFS(#REF!,#REF!,"Saint Jean",#REF!,"MLIS",#REF!,"=1")</f>
        <v>#REF!</v>
      </c>
      <c r="Q76" s="96" t="e">
        <f>SUMIFS(Données!G:G,Données!M:M,"Saint Jean",Données!N:N,"RIZE",Données!#REF!,"=1")+SUMIFS(#REF!,#REF!,"Saint Jean",#REF!,"RIZE",#REF!,"=1")</f>
        <v>#REF!</v>
      </c>
      <c r="R76" s="97" t="e">
        <f>SUMIFS(Données!G:G,Données!M:M,"Saint Jean",Données!N:N,"PAC-BUS",Données!#REF!,"=1")+SUMIFS(#REF!,#REF!,"Saint Jean",#REF!,"PAC-BUS",#REF!,"=1")</f>
        <v>#REF!</v>
      </c>
      <c r="S76" s="98" t="e">
        <f>SUMIFS(Données!G:G,Données!M:M,"Saint Jean",Données!N:N,"Tonkin",Données!#REF!,"=1")+SUMIFS(#REF!,#REF!,"Saint Jean",#REF!,"Tonkin",#REF!,"=1")</f>
        <v>#REF!</v>
      </c>
      <c r="T76" s="28" t="e">
        <f t="shared" si="11"/>
        <v>#REF!</v>
      </c>
      <c r="U76" s="51"/>
      <c r="V76" s="81" t="e">
        <f t="shared" si="12"/>
        <v>#REF!</v>
      </c>
    </row>
    <row r="77" spans="1:22" ht="27" thickBot="1">
      <c r="A77" s="258"/>
      <c r="B77" s="68" t="s">
        <v>148</v>
      </c>
      <c r="C77" s="41" t="e">
        <f>COUNTIFS(Données!M:M,"Saint Jean",Données!K:K,"Maternelle")+COUNTIFS(#REF!,"Saint Jean",#REF!,"Maternelle")</f>
        <v>#REF!</v>
      </c>
      <c r="D77" s="42" t="s">
        <v>185</v>
      </c>
      <c r="E77" s="42" t="s">
        <v>185</v>
      </c>
      <c r="F77" s="38" t="e">
        <f>COUNTIFS(Données!M:M,"Saint Jean",Données!K:K,"Elémentaire")+COUNTIFS(#REF!,"Saint Jean",#REF!,"Elémentaire")</f>
        <v>#REF!</v>
      </c>
      <c r="G77" s="42" t="s">
        <v>185</v>
      </c>
      <c r="H77" s="42" t="s">
        <v>185</v>
      </c>
      <c r="I77" s="38" t="e">
        <f>COUNTIFS(Données!M:M,"Saint Jean",Données!K:K,"Collège")+COUNTIFS(#REF!,"Saint Jean",#REF!,"Collège")</f>
        <v>#REF!</v>
      </c>
      <c r="J77" s="42" t="s">
        <v>185</v>
      </c>
      <c r="K77" s="42" t="s">
        <v>185</v>
      </c>
      <c r="L77" s="38" t="e">
        <f>COUNTIFS(Données!M:M,"Saint Jean",Données!K:K,"Lycée")+COUNTIFS(#REF!,"Saint Jean",#REF!,"Lycée")</f>
        <v>#REF!</v>
      </c>
      <c r="M77" s="42" t="s">
        <v>185</v>
      </c>
      <c r="N77" s="42" t="s">
        <v>185</v>
      </c>
      <c r="O77" s="38" t="e">
        <f>COUNTIFS(Données!M:M,"Saint Jean",Données!N:N,"FDL")+COUNTIFS(#REF!,"Saint Jean",#REF!,"FDL")</f>
        <v>#REF!</v>
      </c>
      <c r="P77" s="39" t="e">
        <f>COUNTIFS(Données!M:M,"Saint Jean",Données!N:N,"MLIS")+COUNTIFS(#REF!,"Saint Jean",#REF!,"MLIS")</f>
        <v>#REF!</v>
      </c>
      <c r="Q77" s="99" t="e">
        <f>COUNTIFS(Données!M:M,"Saint Jean",Données!N:N,"RIZE")+COUNTIFS(#REF!,"Saint Jean",#REF!,"RIZE")</f>
        <v>#REF!</v>
      </c>
      <c r="R77" s="100" t="e">
        <f>COUNTIFS(Données!M:M,"Saint Jean",Données!N:N,"PAC-BUS")+COUNTIFS(#REF!,"Saint Jean",#REF!,"PAC-BUS")</f>
        <v>#REF!</v>
      </c>
      <c r="S77" s="101" t="e">
        <f>COUNTIFS(Données!M:M,"Saint Jean",Données!N:N,"Tonkin")+COUNTIFS(#REF!,"Saint Jean",#REF!,"Tonkin")</f>
        <v>#REF!</v>
      </c>
      <c r="T77" s="82" t="e">
        <f t="shared" si="11"/>
        <v>#REF!</v>
      </c>
      <c r="U77" s="92" t="s">
        <v>185</v>
      </c>
      <c r="V77" s="85" t="s">
        <v>185</v>
      </c>
    </row>
    <row r="78" spans="1:22" ht="30.75" customHeight="1">
      <c r="A78" s="256" t="s">
        <v>57</v>
      </c>
      <c r="B78" s="7" t="s">
        <v>150</v>
      </c>
      <c r="C78" s="25" t="e">
        <f>COUNTIFS(Données!K:K,"Maternelle",Données!M:M,"Hors Villeurbanne",Données!#REF!,"=1")+COUNTIFS(#REF!,"Maternelle",#REF!,"Hors Villeurbanne",#REF!,"=1")</f>
        <v>#REF!</v>
      </c>
      <c r="D78" s="26"/>
      <c r="E78" s="73" t="e">
        <f t="shared" si="7"/>
        <v>#REF!</v>
      </c>
      <c r="F78" s="32" t="e">
        <f>COUNTIFS(Données!K:K,"Elémentaire",Données!M:M,"Hors Villeurbanne",Données!#REF!,"=1")+COUNTIFS(#REF!,"Elémentaire",#REF!,"Hors Villeurbanne",#REF!,"=1")</f>
        <v>#REF!</v>
      </c>
      <c r="G78" s="33"/>
      <c r="H78" s="73" t="e">
        <f t="shared" si="8"/>
        <v>#REF!</v>
      </c>
      <c r="I78" s="32" t="e">
        <f>COUNTIFS(Données!K:K,"Collège",Données!M:M,"Hors Villeurbanne",Données!#REF!,"=1")+COUNTIFS(#REF!,"Collège",#REF!,"Hors Villeurbanne",#REF!,"=1")</f>
        <v>#REF!</v>
      </c>
      <c r="J78" s="33"/>
      <c r="K78" s="73" t="e">
        <f t="shared" si="9"/>
        <v>#REF!</v>
      </c>
      <c r="L78" s="32" t="e">
        <f>COUNTIFS(Données!K:K,"Lycée",Données!M:M,"Hors Villeurbanne",Données!#REF!,"=1")+COUNTIFS(#REF!,"Lycée",#REF!,"Hors Villeurbanne",#REF!,"=1")</f>
        <v>#REF!</v>
      </c>
      <c r="M78" s="33"/>
      <c r="N78" s="73" t="e">
        <f t="shared" si="10"/>
        <v>#REF!</v>
      </c>
      <c r="O78" s="32" t="e">
        <f>COUNTIFS(Données!N:N,"FDL",Données!M:M,"Hors Villeurbanne",Données!#REF!,"=1")+COUNTIFS(#REF!,"FDL",#REF!,"Hors Villeurbanne",#REF!,"=1")</f>
        <v>#REF!</v>
      </c>
      <c r="P78" s="33" t="e">
        <f>COUNTIFS(Données!N:N,"MLIS",Données!M:M,"Hors Villeurbanne",Données!#REF!,"=1")+COUNTIFS(#REF!,"MLIS",#REF!,"Hors Villeurbanne",#REF!,"=1")</f>
        <v>#REF!</v>
      </c>
      <c r="Q78" s="102" t="e">
        <f>COUNTIFS(Données!N:N,"RIZE",Données!M:M,"Hors Villeurbanne",Données!#REF!,"=1")+COUNTIFS(#REF!,"RIZE",#REF!,"Hors Villeurbanne",#REF!,"=1")</f>
        <v>#REF!</v>
      </c>
      <c r="R78" s="103" t="e">
        <f>COUNTIFS(Données!N:N,"PAC-BUS",Données!M:M,"Hors Villeurbanne",Données!#REF!,"=1")+COUNTIFS(#REF!,"PAC-BUS",#REF!,"Hors Villeurbanne",#REF!,"=1")</f>
        <v>#REF!</v>
      </c>
      <c r="S78" s="104" t="e">
        <f>COUNTIFS(Données!N:N,"Tonkin",Données!M:M,"Hors Villeurbanne",Données!#REF!,"=1")+COUNTIFS(#REF!,"Tonkin",#REF!,"Hors Villeurbanne",#REF!,"=1")</f>
        <v>#REF!</v>
      </c>
      <c r="T78" s="56" t="e">
        <f>SUM(O78:S78)</f>
        <v>#REF!</v>
      </c>
      <c r="U78" s="86"/>
      <c r="V78" s="73" t="e">
        <f t="shared" si="12"/>
        <v>#REF!</v>
      </c>
    </row>
    <row r="79" spans="1:22" ht="26.25">
      <c r="A79" s="257"/>
      <c r="B79" s="8" t="s">
        <v>149</v>
      </c>
      <c r="C79" s="28" t="e">
        <f>SUMIFS(Données!G:G,Données!M:M,"Hors Villeurbanne",Données!K:K,"Maternelle",Données!#REF!,"=1")+SUMIFS(#REF!,#REF!,"Hors Villeurbanne",#REF!,"Maternelle",#REF!,"=1")</f>
        <v>#REF!</v>
      </c>
      <c r="D79" s="29"/>
      <c r="E79" s="74" t="e">
        <f t="shared" si="7"/>
        <v>#REF!</v>
      </c>
      <c r="F79" s="16" t="e">
        <f>SUMIFS(Données!G:G,Données!M:M,"Hors Villeurbanne",Données!K:K,"Elémentaire",Données!#REF!,"=1")+SUMIFS(#REF!,#REF!,"Hors Villeurbanne",#REF!,"Elémentaire",#REF!,"=1")</f>
        <v>#REF!</v>
      </c>
      <c r="G79" s="34"/>
      <c r="H79" s="74" t="e">
        <f t="shared" si="8"/>
        <v>#REF!</v>
      </c>
      <c r="I79" s="16" t="e">
        <f>SUMIFS(Données!G:G,Données!M:M,"Hors Villeurbanne",Données!K:K,"Collège",Données!#REF!,"=1")+SUMIFS(#REF!,#REF!,"Hors Villeurbanne",#REF!,"Collège",#REF!,"=1")</f>
        <v>#REF!</v>
      </c>
      <c r="J79" s="34"/>
      <c r="K79" s="74" t="e">
        <f t="shared" si="9"/>
        <v>#REF!</v>
      </c>
      <c r="L79" s="16" t="e">
        <f>SUMIFS(Données!G:G,Données!M:M,"Hors Villeurbanne",Données!K:K,"Lycée",Données!#REF!,"=1")+SUMIFS(#REF!,#REF!,"Hors Villeurbanne",#REF!,"Lycée",#REF!,"=1")</f>
        <v>#REF!</v>
      </c>
      <c r="M79" s="34"/>
      <c r="N79" s="74" t="e">
        <f t="shared" si="10"/>
        <v>#REF!</v>
      </c>
      <c r="O79" s="16" t="e">
        <f>SUMIFS(Données!G:G,Données!M:M,"Hors Villeurbanne",Données!N:N,"FDL",Données!#REF!,"=1")+SUMIFS(#REF!,#REF!,"Hors Villeurbanne",#REF!,"FDL",#REF!,"=1")</f>
        <v>#REF!</v>
      </c>
      <c r="P79" s="34" t="e">
        <f>SUMIFS(Données!G:G,Données!M:M,"Hors Villeurbanne",Données!N:N,"MLIS",Données!#REF!,"=1")+SUMIFS(#REF!,#REF!,"Hors Villeurbanne",#REF!,"MLIS",#REF!,"=1")</f>
        <v>#REF!</v>
      </c>
      <c r="Q79" s="105" t="e">
        <f>SUMIFS(Données!G:G,Données!M:M,"Hors Villeurbanne",Données!N:N,"RIZE",Données!#REF!,"=1")+SUMIFS(#REF!,#REF!,"Hors Villeurbanne",#REF!,"RIZE",#REF!,"=1")</f>
        <v>#REF!</v>
      </c>
      <c r="R79" s="106" t="e">
        <f>SUMIFS(Données!G:G,Données!M:M,"Hors Villeurbanne",Données!N:N,"PAC-BUS",Données!#REF!,"=1")+SUMIFS(#REF!,#REF!,"Hors Villeurbanne",#REF!,"PAC-BUS",#REF!,"=1")</f>
        <v>#REF!</v>
      </c>
      <c r="S79" s="107" t="e">
        <f>SUMIFS(Données!G:G,Données!M:M,"Hors Villeurbanne",Données!N:N,"Tonkin",Données!#REF!,"=1")+SUMIFS(#REF!,#REF!,"Hors Villeurbanne",#REF!,"Tonkin",#REF!,"=1")</f>
        <v>#REF!</v>
      </c>
      <c r="T79" s="16" t="e">
        <f t="shared" si="11"/>
        <v>#REF!</v>
      </c>
      <c r="U79" s="52"/>
      <c r="V79" s="74" t="e">
        <f t="shared" si="12"/>
        <v>#REF!</v>
      </c>
    </row>
    <row r="80" spans="1:22" ht="27" thickBot="1">
      <c r="A80" s="258"/>
      <c r="B80" s="68" t="s">
        <v>148</v>
      </c>
      <c r="C80" s="41" t="e">
        <f>COUNTIFS(Données!M:M,"Hors Villeurbanne",Données!K:K,"Maternelle")+COUNTIFS(#REF!,"Hors Villeurbanne",#REF!,"Maternelle")</f>
        <v>#REF!</v>
      </c>
      <c r="D80" s="42" t="s">
        <v>185</v>
      </c>
      <c r="E80" s="42" t="s">
        <v>185</v>
      </c>
      <c r="F80" s="6" t="e">
        <f>COUNTIFS(Données!M:M,"Hors Villeurbanne",Données!K:K,"Elémentaire")+COUNTIFS(#REF!,"Hors Villeurbanne",#REF!,"Elémentaire")</f>
        <v>#REF!</v>
      </c>
      <c r="G80" s="42" t="s">
        <v>185</v>
      </c>
      <c r="H80" s="42" t="s">
        <v>185</v>
      </c>
      <c r="I80" s="6" t="e">
        <f>COUNTIFS(Données!M:M,"Hors Villeurbanne",Données!K:K,"Collège")+COUNTIFS(#REF!,"Hors Villeurbanne",#REF!,"Collège")</f>
        <v>#REF!</v>
      </c>
      <c r="J80" s="42" t="s">
        <v>185</v>
      </c>
      <c r="K80" s="42" t="s">
        <v>185</v>
      </c>
      <c r="L80" s="6" t="e">
        <f>COUNTIFS(Données!M:M,"Hors Villeurbanne",Données!K:K,"Lycée")+COUNTIFS(#REF!,"Hors Villeurbanne",#REF!,"Lycée")</f>
        <v>#REF!</v>
      </c>
      <c r="M80" s="42" t="s">
        <v>185</v>
      </c>
      <c r="N80" s="42" t="s">
        <v>185</v>
      </c>
      <c r="O80" s="6" t="e">
        <f>COUNTIFS(Données!M:M,"Hors Villeurbanne",Données!N:N,"FDL")+COUNTIFS(#REF!,"Hors Villeurbanne",#REF!,"FDL")</f>
        <v>#REF!</v>
      </c>
      <c r="P80" s="14" t="e">
        <f>COUNTIFS(Données!M:M,"Hors Villeurbanne",Données!N:N,"MLIS")+COUNTIFS(#REF!,"Hors Villeurbanne",#REF!,"MLIS")</f>
        <v>#REF!</v>
      </c>
      <c r="Q80" s="108" t="e">
        <f>COUNTIFS(Données!M:M,"Hors Villeurbanne",Données!N:N,"RIZE")+COUNTIFS(#REF!,"Hors Villeurbanne",#REF!,"RIZE")</f>
        <v>#REF!</v>
      </c>
      <c r="R80" s="109" t="e">
        <f>COUNTIFS(Données!M:M,"Hors Villeurbanne",Données!N:N,"PAC-BUS")+COUNTIFS(#REF!,"Hors Villeurbanne",#REF!,"PAC-BUS")</f>
        <v>#REF!</v>
      </c>
      <c r="S80" s="110" t="e">
        <f>COUNTIFS(Données!M:M,"Hors Villeurbanne",Données!N:N,"Tonkin")+COUNTIFS(#REF!,"Hors Villeurbanne",#REF!,"Tonkin")</f>
        <v>#REF!</v>
      </c>
      <c r="T80" s="43" t="e">
        <f t="shared" si="11"/>
        <v>#REF!</v>
      </c>
      <c r="U80" s="87" t="s">
        <v>185</v>
      </c>
      <c r="V80" s="72" t="s">
        <v>185</v>
      </c>
    </row>
    <row r="81" spans="1:22" ht="26.25">
      <c r="A81" s="256" t="s">
        <v>152</v>
      </c>
      <c r="B81" s="7" t="s">
        <v>150</v>
      </c>
      <c r="C81" s="25" t="e">
        <f>C54+C57+C60+C63+C66+C69+C72+C75+C78</f>
        <v>#REF!</v>
      </c>
      <c r="D81" s="26">
        <f>D54+D57+D60+D63+D66+D69+D72+D75+D78</f>
        <v>243</v>
      </c>
      <c r="E81" s="73" t="e">
        <f t="shared" ref="E81:E82" si="13">C81/D81</f>
        <v>#REF!</v>
      </c>
      <c r="F81" s="25" t="e">
        <f>F54+F57+F60+F63+F66+F69+F72+F75+F78</f>
        <v>#REF!</v>
      </c>
      <c r="G81" s="26">
        <f>G54+G57+G60+G63+G66+G69+G72+G75+G78</f>
        <v>383</v>
      </c>
      <c r="H81" s="73" t="e">
        <f t="shared" ref="H81:H82" si="14">F81/G81</f>
        <v>#REF!</v>
      </c>
      <c r="I81" s="25" t="e">
        <f>I54+I57+I60+I63+I66+I69+I72+I75+I78</f>
        <v>#REF!</v>
      </c>
      <c r="J81" s="26">
        <f>J54+J57+J60+J63+J66+J69+J72+J75+J78</f>
        <v>0</v>
      </c>
      <c r="K81" s="73" t="e">
        <f t="shared" ref="K81:K82" si="15">I81/J81</f>
        <v>#REF!</v>
      </c>
      <c r="L81" s="25" t="e">
        <f>L54+L57+L60+L63+L66+L69+L72+L75+L78</f>
        <v>#REF!</v>
      </c>
      <c r="M81" s="26">
        <f>M54+M57+M60+M63+M66+M69+M72+M75+M78</f>
        <v>0</v>
      </c>
      <c r="N81" s="73" t="e">
        <f t="shared" ref="N81:N82" si="16">L81/M81</f>
        <v>#REF!</v>
      </c>
      <c r="O81" s="32" t="e">
        <f>O54+O57+O60+O63+O66+O69+O72+O75+O78</f>
        <v>#REF!</v>
      </c>
      <c r="P81" s="33" t="e">
        <f t="shared" ref="P81:S81" si="17">P54+P57+P60+P63+P66+P69+P72+P75+P78</f>
        <v>#REF!</v>
      </c>
      <c r="Q81" s="102" t="e">
        <f t="shared" si="17"/>
        <v>#REF!</v>
      </c>
      <c r="R81" s="103" t="e">
        <f t="shared" si="17"/>
        <v>#REF!</v>
      </c>
      <c r="S81" s="104" t="e">
        <f t="shared" si="17"/>
        <v>#REF!</v>
      </c>
      <c r="T81" s="164" t="e">
        <f>T54+T57+T60+T63+T66+T69+T72+T75+T78</f>
        <v>#REF!</v>
      </c>
      <c r="U81" s="159"/>
      <c r="V81" s="157" t="e">
        <f t="shared" ref="V81:V82" si="18">T81/U81</f>
        <v>#REF!</v>
      </c>
    </row>
    <row r="82" spans="1:22" ht="26.25">
      <c r="A82" s="257"/>
      <c r="B82" s="8" t="s">
        <v>149</v>
      </c>
      <c r="C82" s="28" t="e">
        <f>C55+C58+C61+C64+C67+C70+C73+C76+C79</f>
        <v>#REF!</v>
      </c>
      <c r="D82" s="29">
        <f>D55+D58+D61+D64+D67+D70+D73+D76+D79</f>
        <v>6359</v>
      </c>
      <c r="E82" s="74" t="e">
        <f t="shared" si="13"/>
        <v>#REF!</v>
      </c>
      <c r="F82" s="28" t="e">
        <f>F55+F58+F61+F64+F67+F70+F73+F76+F79</f>
        <v>#REF!</v>
      </c>
      <c r="G82" s="29">
        <f>G55+G58+G61+G64+G67+G70+G73+G76+G79</f>
        <v>8983</v>
      </c>
      <c r="H82" s="74" t="e">
        <f t="shared" si="14"/>
        <v>#REF!</v>
      </c>
      <c r="I82" s="28" t="e">
        <f>I55+I58+I61+I64+I67+I70+I73+I76+I79</f>
        <v>#REF!</v>
      </c>
      <c r="J82" s="29">
        <f>J55+J58+J61+J64+J67+J70+J73+J76+J79</f>
        <v>0</v>
      </c>
      <c r="K82" s="74" t="e">
        <f t="shared" si="15"/>
        <v>#REF!</v>
      </c>
      <c r="L82" s="28" t="e">
        <f>L55+L58+L61+L64+L67+L70+L73+L76+L79</f>
        <v>#REF!</v>
      </c>
      <c r="M82" s="29">
        <f>M55+M58+M61+M64+M67+M70+M73+M76+M79</f>
        <v>0</v>
      </c>
      <c r="N82" s="74" t="e">
        <f t="shared" si="16"/>
        <v>#REF!</v>
      </c>
      <c r="O82" s="16" t="e">
        <f>O55+O58+O61+O64+O67+O70+O73+O76+O79</f>
        <v>#REF!</v>
      </c>
      <c r="P82" s="34" t="e">
        <f t="shared" ref="P82:S82" si="19">P55+P58+P61+P64+P67+P70+P73+P76+P79</f>
        <v>#REF!</v>
      </c>
      <c r="Q82" s="105" t="e">
        <f t="shared" si="19"/>
        <v>#REF!</v>
      </c>
      <c r="R82" s="106" t="e">
        <f t="shared" si="19"/>
        <v>#REF!</v>
      </c>
      <c r="S82" s="107" t="e">
        <f t="shared" si="19"/>
        <v>#REF!</v>
      </c>
      <c r="T82" s="165" t="e">
        <f t="shared" si="11"/>
        <v>#REF!</v>
      </c>
      <c r="U82" s="160"/>
      <c r="V82" s="161" t="e">
        <f t="shared" si="18"/>
        <v>#REF!</v>
      </c>
    </row>
    <row r="83" spans="1:22" ht="27" thickBot="1">
      <c r="A83" s="258"/>
      <c r="B83" s="68" t="s">
        <v>148</v>
      </c>
      <c r="C83" s="41" t="e">
        <f>C56+C59+C62+C65+C68+C71+C74+C77+C80</f>
        <v>#REF!</v>
      </c>
      <c r="D83" s="42" t="s">
        <v>185</v>
      </c>
      <c r="E83" s="42" t="s">
        <v>185</v>
      </c>
      <c r="F83" s="41" t="e">
        <f>F56+F59+F62+F65+F68+F71+F74+F77+F80</f>
        <v>#REF!</v>
      </c>
      <c r="G83" s="42" t="s">
        <v>185</v>
      </c>
      <c r="H83" s="42" t="s">
        <v>185</v>
      </c>
      <c r="I83" s="41" t="e">
        <f>I56+I59+I62+I65+I68+I71+I74+I77+I80</f>
        <v>#REF!</v>
      </c>
      <c r="J83" s="42" t="s">
        <v>185</v>
      </c>
      <c r="K83" s="42" t="s">
        <v>185</v>
      </c>
      <c r="L83" s="41" t="e">
        <f>L56+L59+L62+L65+L68+L71+L74+L77+L80</f>
        <v>#REF!</v>
      </c>
      <c r="M83" s="42" t="s">
        <v>185</v>
      </c>
      <c r="N83" s="42" t="s">
        <v>185</v>
      </c>
      <c r="O83" s="6" t="e">
        <f t="shared" ref="O83" si="20">O56+O59+O62+O65+O68+O71+O74+O77+O80</f>
        <v>#REF!</v>
      </c>
      <c r="P83" s="14" t="e">
        <f t="shared" ref="P83:S83" si="21">P56+P59+P62+P65+P68+P71+P74+P77+P80</f>
        <v>#REF!</v>
      </c>
      <c r="Q83" s="108" t="e">
        <f t="shared" si="21"/>
        <v>#REF!</v>
      </c>
      <c r="R83" s="109" t="e">
        <f t="shared" si="21"/>
        <v>#REF!</v>
      </c>
      <c r="S83" s="110" t="e">
        <f t="shared" si="21"/>
        <v>#REF!</v>
      </c>
      <c r="T83" s="166" t="e">
        <f t="shared" si="11"/>
        <v>#REF!</v>
      </c>
      <c r="U83" s="162" t="s">
        <v>185</v>
      </c>
      <c r="V83" s="158" t="s">
        <v>185</v>
      </c>
    </row>
    <row r="84" spans="1:22" ht="15.75" thickBot="1">
      <c r="A84" s="11"/>
      <c r="B84" s="12"/>
      <c r="C84" s="13"/>
      <c r="D84" s="13"/>
      <c r="E84" s="190"/>
      <c r="F84" s="190"/>
      <c r="G84" s="12"/>
      <c r="H84" s="12"/>
      <c r="I84" s="12"/>
      <c r="J84" s="12"/>
      <c r="K84" s="12"/>
      <c r="L84" s="12"/>
      <c r="M84" s="12"/>
      <c r="N84" s="12"/>
      <c r="O84" s="12"/>
      <c r="P84" s="12"/>
      <c r="Q84" s="12"/>
      <c r="R84" s="12"/>
      <c r="S84" s="12"/>
      <c r="T84" s="12"/>
      <c r="U84" s="12"/>
      <c r="V84" s="12"/>
    </row>
    <row r="85" spans="1:22" ht="54" customHeight="1" thickBot="1">
      <c r="A85" s="290" t="s">
        <v>188</v>
      </c>
      <c r="B85" s="291"/>
      <c r="C85" s="291"/>
      <c r="D85" s="292"/>
      <c r="E85" s="3"/>
      <c r="F85" s="3"/>
      <c r="J85" s="156"/>
    </row>
    <row r="86" spans="1:22" ht="15.75" customHeight="1" thickBot="1">
      <c r="A86" s="17"/>
      <c r="B86" s="5"/>
      <c r="C86" s="188" t="s">
        <v>102</v>
      </c>
      <c r="D86" s="189" t="s">
        <v>103</v>
      </c>
    </row>
    <row r="87" spans="1:22" ht="30" customHeight="1">
      <c r="A87" s="269" t="s">
        <v>105</v>
      </c>
      <c r="B87" s="270"/>
      <c r="C87" s="206">
        <f>C88+C89+C90+C91+C92</f>
        <v>0</v>
      </c>
      <c r="D87" s="207">
        <f>D88+D89+D90+D91+D92</f>
        <v>0</v>
      </c>
    </row>
    <row r="88" spans="1:22" ht="30.75" customHeight="1">
      <c r="A88" s="271" t="s">
        <v>106</v>
      </c>
      <c r="B88" s="272"/>
      <c r="C88" s="208">
        <f>COUNTIFS(Données!B:B,"MLIS j",Données!H:H,"In situ")</f>
        <v>0</v>
      </c>
      <c r="D88" s="209">
        <f>COUNTIFS(Données!B:B,"MLIS j",Données!H:H,"Hors les murs")</f>
        <v>0</v>
      </c>
    </row>
    <row r="89" spans="1:22">
      <c r="A89" s="271" t="s">
        <v>87</v>
      </c>
      <c r="B89" s="272"/>
      <c r="C89" s="210">
        <f>COUNTIFS(Données!B:B,"ARTO",Données!H:H,"In situ")</f>
        <v>0</v>
      </c>
      <c r="D89" s="211">
        <f>COUNTIFS(Données!B:B,"Arto",Données!H:H,"Hors les murs")</f>
        <v>0</v>
      </c>
    </row>
    <row r="90" spans="1:22" ht="15" customHeight="1">
      <c r="A90" s="275" t="s">
        <v>115</v>
      </c>
      <c r="B90" s="276"/>
      <c r="C90" s="210">
        <f>COUNTIFS(Données!B:B,"MLIS DV",Données!H:H,"In situ")</f>
        <v>0</v>
      </c>
      <c r="D90" s="211">
        <f>COUNTIFS(Données!B:B,"MLIS DV",Données!H:H,"Hors les murs")</f>
        <v>0</v>
      </c>
    </row>
    <row r="91" spans="1:22" ht="25.5" customHeight="1">
      <c r="A91" s="271" t="s">
        <v>116</v>
      </c>
      <c r="B91" s="272"/>
      <c r="C91" s="210">
        <f>COUNTIFS(Données!B:B,"EMM",Données!H:H,"In situ")</f>
        <v>0</v>
      </c>
      <c r="D91" s="211">
        <f>COUNTIFS(Données!B:B,"EMM",Données!H:H,"Hors les murs")</f>
        <v>0</v>
      </c>
    </row>
    <row r="92" spans="1:22" ht="15.75" thickBot="1">
      <c r="A92" s="253" t="s">
        <v>107</v>
      </c>
      <c r="B92" s="254"/>
      <c r="C92" s="210">
        <f>COUNTIFS(Données!B:B,"mlis A",Données!H:H,"In situ")</f>
        <v>0</v>
      </c>
      <c r="D92" s="211">
        <f>COUNTIFS(Données!B:B,"mlis A",Données!H:H,"Hors les murs")</f>
        <v>0</v>
      </c>
    </row>
    <row r="93" spans="1:22" ht="15.75" thickBot="1">
      <c r="A93" s="273" t="s">
        <v>29</v>
      </c>
      <c r="B93" s="274"/>
      <c r="C93" s="212">
        <f>COUNTIFS(Données!B:B,"MTK",Données!H:H,"In situ")</f>
        <v>0</v>
      </c>
      <c r="D93" s="213">
        <f>COUNTIFS(Données!B:B,"MTK",Données!H:H,"Hors les murs")</f>
        <v>0</v>
      </c>
    </row>
    <row r="94" spans="1:22" ht="15" customHeight="1" thickBot="1">
      <c r="A94" s="273" t="s">
        <v>30</v>
      </c>
      <c r="B94" s="274"/>
      <c r="C94" s="214">
        <f>COUNTIFS(Données!N:N,"Rize",Données!H:H,"In situ")</f>
        <v>0</v>
      </c>
      <c r="D94" s="215">
        <f>COUNTIFS(Données!N:N,"Rize",Données!H:H,"Hors les murs")</f>
        <v>0</v>
      </c>
    </row>
    <row r="95" spans="1:22" ht="15.75" thickBot="1">
      <c r="A95" s="267" t="s">
        <v>117</v>
      </c>
      <c r="B95" s="268"/>
      <c r="C95" s="212">
        <f>COUNTIFS(Données!B:B,"PAC-BUS",Données!H:H,"In situ")</f>
        <v>0</v>
      </c>
      <c r="D95" s="213">
        <f>COUNTIFS(Données!B:B,"PAC-BUS",Données!H:H,"Hors les murs")</f>
        <v>0</v>
      </c>
    </row>
    <row r="96" spans="1:22" ht="15.75" thickBot="1">
      <c r="A96" s="267" t="s">
        <v>124</v>
      </c>
      <c r="B96" s="268"/>
      <c r="C96" s="214">
        <f>COUNTIFS(Données!B:B,"FDL",Données!H:H,"In situ")</f>
        <v>0</v>
      </c>
      <c r="D96" s="215">
        <f>COUNTIFS(Données!B:B,"FDL",Données!H:H,"Hors les murs")</f>
        <v>0</v>
      </c>
    </row>
    <row r="97" spans="1:4" ht="15.75" thickBot="1">
      <c r="A97" s="265" t="s">
        <v>189</v>
      </c>
      <c r="B97" s="266"/>
      <c r="C97" s="216">
        <f>C88+C89+C90+C93+C94+C95+C91+C92+C96</f>
        <v>0</v>
      </c>
      <c r="D97" s="217">
        <f>D88+D89+D90+D93+D94+D95+D91+D92+D96</f>
        <v>0</v>
      </c>
    </row>
    <row r="98" spans="1:4">
      <c r="A98" s="4"/>
    </row>
  </sheetData>
  <mergeCells count="47">
    <mergeCell ref="L3:L7"/>
    <mergeCell ref="L8:L10"/>
    <mergeCell ref="A31:A33"/>
    <mergeCell ref="A85:D85"/>
    <mergeCell ref="B38:B48"/>
    <mergeCell ref="A17:H17"/>
    <mergeCell ref="O52:S52"/>
    <mergeCell ref="T52:V52"/>
    <mergeCell ref="B50:C50"/>
    <mergeCell ref="D50:E50"/>
    <mergeCell ref="C52:E52"/>
    <mergeCell ref="F52:H52"/>
    <mergeCell ref="I52:K52"/>
    <mergeCell ref="L52:N52"/>
    <mergeCell ref="A1:H1"/>
    <mergeCell ref="A25:A27"/>
    <mergeCell ref="A28:A30"/>
    <mergeCell ref="A3:A5"/>
    <mergeCell ref="A6:A8"/>
    <mergeCell ref="A9:A11"/>
    <mergeCell ref="A19:A21"/>
    <mergeCell ref="A22:A24"/>
    <mergeCell ref="A12:A14"/>
    <mergeCell ref="A97:B97"/>
    <mergeCell ref="A60:A62"/>
    <mergeCell ref="A69:A71"/>
    <mergeCell ref="A72:A74"/>
    <mergeCell ref="A75:A77"/>
    <mergeCell ref="A78:A80"/>
    <mergeCell ref="A66:A68"/>
    <mergeCell ref="A96:B96"/>
    <mergeCell ref="A87:B87"/>
    <mergeCell ref="A88:B88"/>
    <mergeCell ref="A89:B89"/>
    <mergeCell ref="A93:B93"/>
    <mergeCell ref="A94:B94"/>
    <mergeCell ref="A90:B90"/>
    <mergeCell ref="A95:B95"/>
    <mergeCell ref="A91:B91"/>
    <mergeCell ref="A92:B92"/>
    <mergeCell ref="D35:E35"/>
    <mergeCell ref="A63:A65"/>
    <mergeCell ref="A81:A83"/>
    <mergeCell ref="A36:H36"/>
    <mergeCell ref="B35:C35"/>
    <mergeCell ref="A54:A56"/>
    <mergeCell ref="A57:A59"/>
  </mergeCells>
  <pageMargins left="0.25" right="0.25" top="0.75" bottom="0.75" header="0.3" footer="0.3"/>
  <pageSetup paperSize="8" scale="29" fitToHeight="0" orientation="portrait" r:id="rId1"/>
  <ignoredErrors>
    <ignoredError sqref="P54:P56 P57:P69 P71:P74 P76:P80 E3:E5 H6" formula="1"/>
    <ignoredError sqref="V81:V82"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pageSetUpPr fitToPage="1"/>
  </sheetPr>
  <dimension ref="A1:W52"/>
  <sheetViews>
    <sheetView topLeftCell="A6" zoomScale="70" zoomScaleNormal="70" zoomScalePageLayoutView="70" workbookViewId="0">
      <selection sqref="A1:A36"/>
    </sheetView>
  </sheetViews>
  <sheetFormatPr baseColWidth="10" defaultRowHeight="15"/>
  <cols>
    <col min="1" max="1" width="19.42578125" customWidth="1"/>
    <col min="2" max="2" width="12.7109375" bestFit="1" customWidth="1"/>
    <col min="3" max="4" width="12.7109375" customWidth="1"/>
    <col min="5" max="5" width="33.28515625" customWidth="1"/>
    <col min="6" max="6" width="33.42578125" customWidth="1"/>
    <col min="7" max="7" width="21.28515625" customWidth="1"/>
    <col min="8" max="8" width="13.85546875" customWidth="1"/>
    <col min="9" max="9" width="12.28515625" customWidth="1"/>
    <col min="10" max="10" width="17.85546875" customWidth="1"/>
    <col min="11" max="11" width="22" customWidth="1"/>
    <col min="12" max="12" width="21.42578125" customWidth="1"/>
    <col min="13" max="13" width="12.140625" customWidth="1"/>
    <col min="14" max="14" width="13.140625" customWidth="1"/>
    <col min="15" max="15" width="19.42578125" customWidth="1"/>
    <col min="16" max="16" width="14.42578125" customWidth="1"/>
    <col min="18" max="18" width="12.85546875" customWidth="1"/>
    <col min="19" max="19" width="20.42578125" customWidth="1"/>
    <col min="21" max="22" width="12.7109375" customWidth="1"/>
    <col min="23" max="23" width="13" customWidth="1"/>
  </cols>
  <sheetData>
    <row r="1" spans="1:23" s="1" customFormat="1" ht="45">
      <c r="A1" s="145" t="s">
        <v>206</v>
      </c>
      <c r="B1" s="145" t="s">
        <v>118</v>
      </c>
      <c r="C1" s="146" t="s">
        <v>224</v>
      </c>
      <c r="D1" s="146" t="s">
        <v>228</v>
      </c>
      <c r="E1" s="146" t="s">
        <v>204</v>
      </c>
      <c r="F1" s="145" t="s">
        <v>205</v>
      </c>
      <c r="G1" s="146" t="s">
        <v>101</v>
      </c>
      <c r="H1" s="145" t="s">
        <v>140</v>
      </c>
      <c r="I1" s="147" t="s">
        <v>136</v>
      </c>
      <c r="J1" s="145" t="s">
        <v>82</v>
      </c>
      <c r="K1" s="145" t="s">
        <v>83</v>
      </c>
      <c r="L1" s="145" t="s">
        <v>84</v>
      </c>
      <c r="M1" s="145" t="s">
        <v>186</v>
      </c>
      <c r="N1" s="145" t="s">
        <v>121</v>
      </c>
      <c r="O1" s="145" t="s">
        <v>86</v>
      </c>
      <c r="P1" s="145" t="s">
        <v>187</v>
      </c>
      <c r="Q1" s="148" t="s">
        <v>85</v>
      </c>
      <c r="R1" s="145" t="s">
        <v>57</v>
      </c>
      <c r="S1" s="149" t="s">
        <v>4</v>
      </c>
      <c r="T1" s="150" t="s">
        <v>137</v>
      </c>
      <c r="U1" s="150" t="s">
        <v>138</v>
      </c>
      <c r="V1" s="150" t="s">
        <v>76</v>
      </c>
      <c r="W1" s="150" t="s">
        <v>77</v>
      </c>
    </row>
    <row r="2" spans="1:23" ht="30">
      <c r="A2" s="130" t="s">
        <v>27</v>
      </c>
      <c r="B2" s="132" t="s">
        <v>124</v>
      </c>
      <c r="C2" s="132" t="s">
        <v>119</v>
      </c>
      <c r="D2" s="132" t="s">
        <v>161</v>
      </c>
      <c r="E2" s="134" t="s">
        <v>33</v>
      </c>
      <c r="F2" s="135" t="s">
        <v>241</v>
      </c>
      <c r="G2" s="134" t="s">
        <v>102</v>
      </c>
      <c r="H2" s="133">
        <v>1</v>
      </c>
      <c r="J2" s="131" t="s">
        <v>58</v>
      </c>
      <c r="K2" s="131" t="s">
        <v>67</v>
      </c>
      <c r="L2" s="143" t="s">
        <v>98</v>
      </c>
      <c r="M2" s="136" t="s">
        <v>40</v>
      </c>
      <c r="N2" s="136" t="s">
        <v>53</v>
      </c>
      <c r="O2" s="136" t="s">
        <v>45</v>
      </c>
      <c r="P2" s="136" t="s">
        <v>39</v>
      </c>
      <c r="Q2" s="140" t="s">
        <v>60</v>
      </c>
      <c r="R2" s="144" t="s">
        <v>57</v>
      </c>
      <c r="T2" s="130" t="s">
        <v>27</v>
      </c>
      <c r="U2" s="130" t="s">
        <v>126</v>
      </c>
      <c r="V2" s="130" t="s">
        <v>28</v>
      </c>
      <c r="W2" s="130" t="s">
        <v>78</v>
      </c>
    </row>
    <row r="3" spans="1:23" ht="30">
      <c r="A3" s="130" t="s">
        <v>126</v>
      </c>
      <c r="B3" s="132" t="s">
        <v>119</v>
      </c>
      <c r="C3" s="132" t="s">
        <v>112</v>
      </c>
      <c r="D3" s="132" t="s">
        <v>169</v>
      </c>
      <c r="E3" s="134" t="s">
        <v>165</v>
      </c>
      <c r="F3" s="136" t="s">
        <v>40</v>
      </c>
      <c r="G3" s="134" t="s">
        <v>103</v>
      </c>
      <c r="H3" s="133">
        <v>2</v>
      </c>
      <c r="J3" s="131" t="s">
        <v>42</v>
      </c>
      <c r="K3" s="143" t="s">
        <v>43</v>
      </c>
      <c r="L3" s="131" t="s">
        <v>99</v>
      </c>
      <c r="M3" s="136" t="s">
        <v>47</v>
      </c>
      <c r="N3" s="138" t="s">
        <v>66</v>
      </c>
      <c r="O3" s="136" t="s">
        <v>214</v>
      </c>
      <c r="P3" s="138" t="s">
        <v>52</v>
      </c>
      <c r="Q3" s="136" t="s">
        <v>134</v>
      </c>
      <c r="T3" s="130" t="s">
        <v>8</v>
      </c>
      <c r="U3" s="130" t="s">
        <v>11</v>
      </c>
      <c r="V3" s="130" t="s">
        <v>20</v>
      </c>
      <c r="W3" s="130" t="s">
        <v>24</v>
      </c>
    </row>
    <row r="4" spans="1:23" ht="45">
      <c r="A4" s="130" t="s">
        <v>28</v>
      </c>
      <c r="B4" s="132" t="s">
        <v>112</v>
      </c>
      <c r="C4" s="132" t="s">
        <v>114</v>
      </c>
      <c r="D4" s="132"/>
      <c r="E4" s="134" t="s">
        <v>166</v>
      </c>
      <c r="F4" s="136" t="s">
        <v>45</v>
      </c>
      <c r="H4" s="130">
        <v>3</v>
      </c>
      <c r="J4" s="131" t="s">
        <v>50</v>
      </c>
      <c r="K4" s="143" t="s">
        <v>61</v>
      </c>
      <c r="L4" s="131" t="s">
        <v>44</v>
      </c>
      <c r="M4" s="136" t="s">
        <v>219</v>
      </c>
      <c r="N4" s="140" t="s">
        <v>108</v>
      </c>
      <c r="O4" s="136" t="s">
        <v>55</v>
      </c>
      <c r="P4" s="138" t="s">
        <v>51</v>
      </c>
      <c r="Q4" s="136" t="s">
        <v>217</v>
      </c>
      <c r="T4" s="130" t="s">
        <v>5</v>
      </c>
      <c r="U4" s="130" t="s">
        <v>12</v>
      </c>
      <c r="V4" s="130" t="s">
        <v>21</v>
      </c>
      <c r="W4" s="130" t="s">
        <v>91</v>
      </c>
    </row>
    <row r="5" spans="1:23" ht="30">
      <c r="A5" s="130" t="s">
        <v>78</v>
      </c>
      <c r="B5" s="132" t="s">
        <v>114</v>
      </c>
      <c r="C5" s="132" t="s">
        <v>111</v>
      </c>
      <c r="D5" s="132"/>
      <c r="E5" s="134" t="s">
        <v>70</v>
      </c>
      <c r="F5" s="136" t="s">
        <v>53</v>
      </c>
      <c r="H5" s="130">
        <v>4</v>
      </c>
      <c r="J5" s="136" t="s">
        <v>41</v>
      </c>
      <c r="K5" s="143" t="s">
        <v>49</v>
      </c>
      <c r="L5" s="131" t="s">
        <v>46</v>
      </c>
      <c r="M5" s="136" t="s">
        <v>62</v>
      </c>
      <c r="N5" s="140" t="s">
        <v>64</v>
      </c>
      <c r="O5" s="136" t="s">
        <v>59</v>
      </c>
      <c r="P5" s="138" t="s">
        <v>130</v>
      </c>
      <c r="T5" s="130" t="s">
        <v>6</v>
      </c>
      <c r="U5" s="130" t="s">
        <v>13</v>
      </c>
      <c r="V5" s="130" t="s">
        <v>22</v>
      </c>
      <c r="W5" s="130" t="s">
        <v>25</v>
      </c>
    </row>
    <row r="6" spans="1:23" ht="45">
      <c r="A6" s="130" t="s">
        <v>8</v>
      </c>
      <c r="B6" s="132" t="s">
        <v>111</v>
      </c>
      <c r="C6" s="132" t="s">
        <v>113</v>
      </c>
      <c r="D6" s="132"/>
      <c r="E6" s="134" t="s">
        <v>141</v>
      </c>
      <c r="F6" s="136" t="s">
        <v>39</v>
      </c>
      <c r="H6" s="130">
        <v>5</v>
      </c>
      <c r="K6" s="141" t="s">
        <v>38</v>
      </c>
      <c r="L6" s="135" t="s">
        <v>120</v>
      </c>
      <c r="M6" s="140" t="s">
        <v>94</v>
      </c>
      <c r="O6" s="136" t="s">
        <v>54</v>
      </c>
      <c r="P6" s="142" t="s">
        <v>129</v>
      </c>
      <c r="T6" s="130" t="s">
        <v>7</v>
      </c>
      <c r="U6" s="130" t="s">
        <v>14</v>
      </c>
      <c r="V6" s="130" t="s">
        <v>23</v>
      </c>
      <c r="W6" s="130" t="s">
        <v>92</v>
      </c>
    </row>
    <row r="7" spans="1:23" ht="30">
      <c r="A7" s="130" t="s">
        <v>5</v>
      </c>
      <c r="B7" s="132" t="s">
        <v>113</v>
      </c>
      <c r="C7" s="132" t="s">
        <v>109</v>
      </c>
      <c r="D7" s="132"/>
      <c r="E7" s="134" t="s">
        <v>74</v>
      </c>
      <c r="F7" s="137" t="s">
        <v>127</v>
      </c>
      <c r="H7" s="130">
        <v>6</v>
      </c>
      <c r="K7" s="130" t="s">
        <v>131</v>
      </c>
      <c r="L7" s="137" t="s">
        <v>127</v>
      </c>
      <c r="O7" s="136" t="s">
        <v>48</v>
      </c>
      <c r="P7" s="142" t="s">
        <v>95</v>
      </c>
      <c r="T7" s="130" t="s">
        <v>9</v>
      </c>
      <c r="U7" s="130" t="s">
        <v>15</v>
      </c>
      <c r="V7" s="130" t="s">
        <v>80</v>
      </c>
      <c r="W7" s="130" t="s">
        <v>26</v>
      </c>
    </row>
    <row r="8" spans="1:23">
      <c r="A8" s="130" t="s">
        <v>6</v>
      </c>
      <c r="B8" s="132" t="s">
        <v>109</v>
      </c>
      <c r="C8" s="132" t="s">
        <v>110</v>
      </c>
      <c r="D8" s="132"/>
      <c r="E8" s="134" t="s">
        <v>145</v>
      </c>
      <c r="F8" s="136" t="s">
        <v>41</v>
      </c>
      <c r="H8" s="130">
        <v>7</v>
      </c>
      <c r="K8" s="130" t="s">
        <v>216</v>
      </c>
      <c r="L8" s="136" t="s">
        <v>56</v>
      </c>
      <c r="O8" s="136" t="s">
        <v>97</v>
      </c>
      <c r="T8" s="130" t="s">
        <v>10</v>
      </c>
      <c r="U8" s="130" t="s">
        <v>16</v>
      </c>
      <c r="W8" s="130" t="s">
        <v>93</v>
      </c>
    </row>
    <row r="9" spans="1:23">
      <c r="A9" s="130" t="s">
        <v>7</v>
      </c>
      <c r="B9" s="132" t="s">
        <v>110</v>
      </c>
      <c r="C9" s="132" t="s">
        <v>160</v>
      </c>
      <c r="D9" s="132"/>
      <c r="E9" s="134" t="s">
        <v>32</v>
      </c>
      <c r="F9" s="136" t="s">
        <v>42</v>
      </c>
      <c r="H9" s="130">
        <v>8</v>
      </c>
      <c r="K9" s="141" t="s">
        <v>63</v>
      </c>
      <c r="O9" s="138" t="s">
        <v>133</v>
      </c>
      <c r="T9" s="130" t="s">
        <v>89</v>
      </c>
      <c r="U9" s="130" t="s">
        <v>17</v>
      </c>
      <c r="W9" s="130" t="s">
        <v>81</v>
      </c>
    </row>
    <row r="10" spans="1:23" ht="30">
      <c r="A10" s="130" t="s">
        <v>9</v>
      </c>
      <c r="B10" s="132" t="s">
        <v>161</v>
      </c>
      <c r="C10" s="132"/>
      <c r="D10" s="132"/>
      <c r="E10" s="134" t="s">
        <v>104</v>
      </c>
      <c r="F10" s="138" t="s">
        <v>43</v>
      </c>
      <c r="H10" s="130">
        <v>9</v>
      </c>
      <c r="O10" s="136" t="s">
        <v>128</v>
      </c>
      <c r="U10" s="130" t="s">
        <v>18</v>
      </c>
    </row>
    <row r="11" spans="1:23" ht="30">
      <c r="A11" s="130" t="s">
        <v>10</v>
      </c>
      <c r="B11" s="132" t="s">
        <v>160</v>
      </c>
      <c r="C11" s="132"/>
      <c r="D11" s="132"/>
      <c r="E11" s="134" t="s">
        <v>36</v>
      </c>
      <c r="F11" s="138" t="s">
        <v>216</v>
      </c>
      <c r="H11" s="130">
        <v>10</v>
      </c>
      <c r="O11" s="136" t="s">
        <v>88</v>
      </c>
      <c r="U11" s="130" t="s">
        <v>19</v>
      </c>
    </row>
    <row r="12" spans="1:23" ht="30">
      <c r="A12" s="130" t="s">
        <v>89</v>
      </c>
      <c r="B12" s="132" t="s">
        <v>169</v>
      </c>
      <c r="C12" s="132"/>
      <c r="D12" s="132"/>
      <c r="E12" s="134" t="s">
        <v>144</v>
      </c>
      <c r="F12" s="136" t="s">
        <v>128</v>
      </c>
      <c r="H12" s="130">
        <v>11</v>
      </c>
      <c r="O12" s="142" t="s">
        <v>96</v>
      </c>
      <c r="U12" s="130" t="s">
        <v>79</v>
      </c>
    </row>
    <row r="13" spans="1:23">
      <c r="A13" s="130" t="s">
        <v>11</v>
      </c>
      <c r="E13" s="134" t="s">
        <v>35</v>
      </c>
      <c r="F13" s="136" t="s">
        <v>214</v>
      </c>
      <c r="H13" s="130">
        <v>12</v>
      </c>
      <c r="O13" s="142" t="s">
        <v>100</v>
      </c>
    </row>
    <row r="14" spans="1:23">
      <c r="A14" s="130" t="s">
        <v>12</v>
      </c>
      <c r="E14" s="134" t="s">
        <v>171</v>
      </c>
      <c r="F14" s="136" t="s">
        <v>55</v>
      </c>
      <c r="H14" s="130">
        <v>13</v>
      </c>
      <c r="O14" s="138" t="s">
        <v>132</v>
      </c>
    </row>
    <row r="15" spans="1:23">
      <c r="A15" s="130" t="s">
        <v>13</v>
      </c>
      <c r="E15" s="134" t="s">
        <v>170</v>
      </c>
      <c r="F15" s="136" t="s">
        <v>98</v>
      </c>
      <c r="H15" s="130">
        <v>14</v>
      </c>
    </row>
    <row r="16" spans="1:23">
      <c r="A16" s="130" t="s">
        <v>14</v>
      </c>
      <c r="E16" s="134" t="s">
        <v>71</v>
      </c>
      <c r="F16" s="136" t="s">
        <v>99</v>
      </c>
      <c r="H16" s="130">
        <v>15</v>
      </c>
    </row>
    <row r="17" spans="1:8">
      <c r="A17" s="130" t="s">
        <v>15</v>
      </c>
      <c r="E17" s="134" t="s">
        <v>142</v>
      </c>
      <c r="F17" s="138" t="s">
        <v>61</v>
      </c>
      <c r="H17" s="130">
        <v>16</v>
      </c>
    </row>
    <row r="18" spans="1:8">
      <c r="A18" s="130" t="s">
        <v>16</v>
      </c>
      <c r="E18" s="134" t="s">
        <v>34</v>
      </c>
      <c r="F18" s="135" t="s">
        <v>129</v>
      </c>
    </row>
    <row r="19" spans="1:8">
      <c r="A19" s="130" t="s">
        <v>17</v>
      </c>
      <c r="E19" s="134" t="s">
        <v>146</v>
      </c>
      <c r="F19" s="139" t="s">
        <v>59</v>
      </c>
    </row>
    <row r="20" spans="1:8">
      <c r="A20" s="130" t="s">
        <v>18</v>
      </c>
      <c r="E20" s="134" t="s">
        <v>37</v>
      </c>
      <c r="F20" s="138" t="s">
        <v>66</v>
      </c>
    </row>
    <row r="21" spans="1:8">
      <c r="A21" s="130" t="s">
        <v>19</v>
      </c>
      <c r="E21" s="134" t="s">
        <v>31</v>
      </c>
      <c r="F21" s="136" t="s">
        <v>50</v>
      </c>
    </row>
    <row r="22" spans="1:8">
      <c r="A22" s="130" t="s">
        <v>79</v>
      </c>
      <c r="E22" s="134" t="s">
        <v>69</v>
      </c>
      <c r="F22" s="136" t="s">
        <v>54</v>
      </c>
    </row>
    <row r="23" spans="1:8">
      <c r="A23" s="130" t="s">
        <v>220</v>
      </c>
      <c r="E23" s="134" t="s">
        <v>3</v>
      </c>
      <c r="F23" s="136" t="s">
        <v>44</v>
      </c>
    </row>
    <row r="24" spans="1:8">
      <c r="A24" s="130" t="s">
        <v>20</v>
      </c>
      <c r="E24" s="134" t="s">
        <v>168</v>
      </c>
      <c r="F24" s="136" t="s">
        <v>47</v>
      </c>
    </row>
    <row r="25" spans="1:8">
      <c r="A25" s="130" t="s">
        <v>21</v>
      </c>
      <c r="E25" s="134" t="s">
        <v>68</v>
      </c>
      <c r="F25" s="138" t="s">
        <v>130</v>
      </c>
    </row>
    <row r="26" spans="1:8">
      <c r="A26" s="130" t="s">
        <v>22</v>
      </c>
      <c r="E26" s="134" t="s">
        <v>122</v>
      </c>
      <c r="F26" s="135" t="s">
        <v>49</v>
      </c>
    </row>
    <row r="27" spans="1:8">
      <c r="A27" s="130" t="s">
        <v>23</v>
      </c>
      <c r="E27" s="134" t="s">
        <v>215</v>
      </c>
      <c r="F27" s="136" t="s">
        <v>46</v>
      </c>
    </row>
    <row r="28" spans="1:8">
      <c r="A28" s="130" t="s">
        <v>80</v>
      </c>
      <c r="E28" s="134" t="s">
        <v>65</v>
      </c>
      <c r="F28" s="136" t="s">
        <v>48</v>
      </c>
    </row>
    <row r="29" spans="1:8">
      <c r="A29" s="130" t="s">
        <v>221</v>
      </c>
      <c r="E29" s="134" t="s">
        <v>73</v>
      </c>
      <c r="F29" s="136" t="s">
        <v>38</v>
      </c>
    </row>
    <row r="30" spans="1:8">
      <c r="A30" s="130" t="s">
        <v>24</v>
      </c>
      <c r="E30" s="134" t="s">
        <v>72</v>
      </c>
      <c r="F30" s="138" t="s">
        <v>52</v>
      </c>
    </row>
    <row r="31" spans="1:8">
      <c r="A31" s="130" t="s">
        <v>91</v>
      </c>
      <c r="E31" s="134" t="s">
        <v>75</v>
      </c>
      <c r="F31" s="136" t="s">
        <v>131</v>
      </c>
    </row>
    <row r="32" spans="1:8">
      <c r="A32" s="130" t="s">
        <v>25</v>
      </c>
      <c r="E32" s="134" t="s">
        <v>172</v>
      </c>
      <c r="F32" s="137" t="s">
        <v>132</v>
      </c>
    </row>
    <row r="33" spans="1:6">
      <c r="A33" s="130" t="s">
        <v>92</v>
      </c>
      <c r="E33" s="134" t="s">
        <v>143</v>
      </c>
      <c r="F33" s="137" t="s">
        <v>51</v>
      </c>
    </row>
    <row r="34" spans="1:6">
      <c r="A34" s="130" t="s">
        <v>26</v>
      </c>
      <c r="E34" s="134" t="s">
        <v>167</v>
      </c>
      <c r="F34" s="136" t="s">
        <v>97</v>
      </c>
    </row>
    <row r="35" spans="1:6">
      <c r="A35" s="130" t="s">
        <v>93</v>
      </c>
      <c r="F35" s="140" t="s">
        <v>60</v>
      </c>
    </row>
    <row r="36" spans="1:6">
      <c r="A36" s="130" t="s">
        <v>81</v>
      </c>
      <c r="F36" s="140" t="s">
        <v>219</v>
      </c>
    </row>
    <row r="37" spans="1:6">
      <c r="F37" s="138" t="s">
        <v>133</v>
      </c>
    </row>
    <row r="38" spans="1:6">
      <c r="F38" s="139" t="s">
        <v>67</v>
      </c>
    </row>
    <row r="39" spans="1:6" ht="30">
      <c r="F39" s="136" t="s">
        <v>88</v>
      </c>
    </row>
    <row r="40" spans="1:6">
      <c r="F40" s="136" t="s">
        <v>56</v>
      </c>
    </row>
    <row r="41" spans="1:6">
      <c r="F41" s="136" t="s">
        <v>63</v>
      </c>
    </row>
    <row r="42" spans="1:6">
      <c r="F42" s="140" t="s">
        <v>108</v>
      </c>
    </row>
    <row r="43" spans="1:6">
      <c r="F43" s="136" t="s">
        <v>58</v>
      </c>
    </row>
    <row r="44" spans="1:6">
      <c r="F44" s="136" t="s">
        <v>134</v>
      </c>
    </row>
    <row r="45" spans="1:6">
      <c r="F45" s="136" t="s">
        <v>62</v>
      </c>
    </row>
    <row r="46" spans="1:6">
      <c r="F46" s="140" t="s">
        <v>64</v>
      </c>
    </row>
    <row r="47" spans="1:6">
      <c r="F47" s="140" t="s">
        <v>217</v>
      </c>
    </row>
    <row r="48" spans="1:6">
      <c r="F48" s="140" t="s">
        <v>94</v>
      </c>
    </row>
    <row r="49" spans="6:6">
      <c r="F49" s="135" t="s">
        <v>120</v>
      </c>
    </row>
    <row r="50" spans="6:6">
      <c r="F50" s="135" t="s">
        <v>95</v>
      </c>
    </row>
    <row r="51" spans="6:6">
      <c r="F51" s="135" t="s">
        <v>96</v>
      </c>
    </row>
    <row r="52" spans="6:6">
      <c r="F52" s="135" t="s">
        <v>100</v>
      </c>
    </row>
  </sheetData>
  <sortState ref="B1:B9">
    <sortCondition ref="B1"/>
  </sortState>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R36"/>
  <sheetViews>
    <sheetView tabSelected="1" workbookViewId="0">
      <selection activeCell="R1" sqref="R1"/>
    </sheetView>
  </sheetViews>
  <sheetFormatPr baseColWidth="10" defaultRowHeight="15"/>
  <cols>
    <col min="2" max="9" width="5.28515625" customWidth="1"/>
    <col min="11" max="11" width="19.5703125" bestFit="1" customWidth="1"/>
    <col min="12" max="16" width="5" style="309" customWidth="1"/>
    <col min="19" max="23" width="5.28515625" customWidth="1"/>
  </cols>
  <sheetData>
    <row r="1" spans="1:18" s="297" customFormat="1" ht="129" customHeight="1" thickBot="1">
      <c r="A1" s="296" t="s">
        <v>118</v>
      </c>
      <c r="B1" s="297" t="s">
        <v>164</v>
      </c>
      <c r="C1" s="297" t="s">
        <v>163</v>
      </c>
      <c r="D1" s="306" t="s">
        <v>124</v>
      </c>
      <c r="E1" s="297" t="s">
        <v>105</v>
      </c>
      <c r="F1" s="297" t="s">
        <v>123</v>
      </c>
      <c r="G1" s="297" t="s">
        <v>155</v>
      </c>
      <c r="H1" s="297" t="s">
        <v>110</v>
      </c>
      <c r="I1" s="297" t="s">
        <v>124</v>
      </c>
      <c r="K1" s="307" t="s">
        <v>206</v>
      </c>
      <c r="L1" s="308" t="s">
        <v>137</v>
      </c>
      <c r="M1" s="308" t="s">
        <v>138</v>
      </c>
      <c r="N1" s="308" t="s">
        <v>151</v>
      </c>
      <c r="O1" s="308" t="s">
        <v>76</v>
      </c>
      <c r="P1" s="308" t="s">
        <v>77</v>
      </c>
      <c r="R1" s="310" t="s">
        <v>244</v>
      </c>
    </row>
    <row r="2" spans="1:18">
      <c r="A2" s="132" t="s">
        <v>124</v>
      </c>
      <c r="B2" s="298"/>
      <c r="C2" s="299"/>
      <c r="D2" s="300" t="s">
        <v>243</v>
      </c>
      <c r="E2" s="298"/>
      <c r="F2" s="299"/>
      <c r="G2" s="299"/>
      <c r="H2" s="299"/>
      <c r="I2" s="300"/>
      <c r="K2" s="132" t="s">
        <v>27</v>
      </c>
      <c r="L2" s="250" t="s">
        <v>243</v>
      </c>
      <c r="M2" s="250"/>
      <c r="N2" s="250"/>
      <c r="O2" s="250"/>
      <c r="P2" s="250"/>
    </row>
    <row r="3" spans="1:18">
      <c r="A3" s="132" t="s">
        <v>119</v>
      </c>
      <c r="B3" s="301" t="s">
        <v>243</v>
      </c>
      <c r="C3" s="250"/>
      <c r="D3" s="302"/>
      <c r="E3" s="301"/>
      <c r="F3" s="250"/>
      <c r="G3" s="250"/>
      <c r="H3" s="250"/>
      <c r="I3" s="302"/>
      <c r="K3" s="132" t="s">
        <v>126</v>
      </c>
      <c r="L3" s="250"/>
      <c r="M3" s="250"/>
      <c r="N3" s="250"/>
      <c r="O3" s="250"/>
      <c r="P3" s="250"/>
    </row>
    <row r="4" spans="1:18">
      <c r="A4" s="132" t="s">
        <v>112</v>
      </c>
      <c r="B4" s="301" t="s">
        <v>243</v>
      </c>
      <c r="C4" s="250"/>
      <c r="D4" s="302"/>
      <c r="E4" s="301"/>
      <c r="F4" s="250"/>
      <c r="G4" s="250"/>
      <c r="H4" s="250"/>
      <c r="I4" s="302"/>
      <c r="K4" s="132" t="s">
        <v>28</v>
      </c>
      <c r="L4" s="250"/>
      <c r="M4" s="250"/>
      <c r="N4" s="250"/>
      <c r="O4" s="250"/>
      <c r="P4" s="250"/>
    </row>
    <row r="5" spans="1:18">
      <c r="A5" s="132" t="s">
        <v>114</v>
      </c>
      <c r="B5" s="301" t="s">
        <v>243</v>
      </c>
      <c r="C5" s="250"/>
      <c r="D5" s="302"/>
      <c r="E5" s="301" t="s">
        <v>243</v>
      </c>
      <c r="F5" s="250"/>
      <c r="G5" s="250"/>
      <c r="H5" s="250"/>
      <c r="I5" s="302"/>
      <c r="K5" s="132" t="s">
        <v>78</v>
      </c>
      <c r="L5" s="250"/>
      <c r="M5" s="250"/>
      <c r="N5" s="250"/>
      <c r="O5" s="250"/>
      <c r="P5" s="250"/>
    </row>
    <row r="6" spans="1:18">
      <c r="A6" s="132" t="s">
        <v>111</v>
      </c>
      <c r="B6" s="301" t="s">
        <v>243</v>
      </c>
      <c r="C6" s="250"/>
      <c r="D6" s="302"/>
      <c r="E6" s="301" t="s">
        <v>243</v>
      </c>
      <c r="F6" s="250"/>
      <c r="G6" s="250"/>
      <c r="H6" s="250"/>
      <c r="I6" s="302"/>
      <c r="K6" s="132" t="s">
        <v>8</v>
      </c>
      <c r="L6" s="250"/>
      <c r="M6" s="250"/>
      <c r="N6" s="250"/>
      <c r="O6" s="250"/>
      <c r="P6" s="250"/>
    </row>
    <row r="7" spans="1:18">
      <c r="A7" s="132" t="s">
        <v>113</v>
      </c>
      <c r="B7" s="301" t="s">
        <v>243</v>
      </c>
      <c r="C7" s="250"/>
      <c r="D7" s="302"/>
      <c r="E7" s="301" t="s">
        <v>243</v>
      </c>
      <c r="F7" s="250"/>
      <c r="G7" s="250"/>
      <c r="H7" s="250"/>
      <c r="I7" s="302"/>
      <c r="K7" s="132" t="s">
        <v>5</v>
      </c>
      <c r="L7" s="250"/>
      <c r="M7" s="250"/>
      <c r="N7" s="250"/>
      <c r="O7" s="250"/>
      <c r="P7" s="250"/>
    </row>
    <row r="8" spans="1:18">
      <c r="A8" s="132" t="s">
        <v>109</v>
      </c>
      <c r="B8" s="301" t="s">
        <v>243</v>
      </c>
      <c r="C8" s="250"/>
      <c r="D8" s="302"/>
      <c r="E8" s="301"/>
      <c r="F8" s="250"/>
      <c r="G8" s="250"/>
      <c r="H8" s="250"/>
      <c r="I8" s="302"/>
      <c r="K8" s="132" t="s">
        <v>6</v>
      </c>
      <c r="L8" s="250"/>
      <c r="M8" s="250"/>
      <c r="N8" s="250"/>
      <c r="O8" s="250"/>
      <c r="P8" s="250"/>
    </row>
    <row r="9" spans="1:18">
      <c r="A9" s="132" t="s">
        <v>110</v>
      </c>
      <c r="B9" s="301" t="s">
        <v>243</v>
      </c>
      <c r="C9" s="250"/>
      <c r="D9" s="302"/>
      <c r="E9" s="301"/>
      <c r="F9" s="250"/>
      <c r="G9" s="250"/>
      <c r="H9" s="250"/>
      <c r="I9" s="302"/>
      <c r="K9" s="132" t="s">
        <v>7</v>
      </c>
      <c r="L9" s="250"/>
      <c r="M9" s="250"/>
      <c r="N9" s="250"/>
      <c r="O9" s="250"/>
      <c r="P9" s="250"/>
    </row>
    <row r="10" spans="1:18">
      <c r="A10" s="132" t="s">
        <v>161</v>
      </c>
      <c r="B10" s="301"/>
      <c r="C10" s="250" t="s">
        <v>243</v>
      </c>
      <c r="D10" s="302"/>
      <c r="E10" s="301"/>
      <c r="F10" s="250" t="s">
        <v>243</v>
      </c>
      <c r="G10" s="250"/>
      <c r="H10" s="250"/>
      <c r="I10" s="302"/>
      <c r="K10" s="132" t="s">
        <v>9</v>
      </c>
      <c r="L10" s="250"/>
      <c r="M10" s="250"/>
      <c r="N10" s="250"/>
      <c r="O10" s="250"/>
      <c r="P10" s="250"/>
    </row>
    <row r="11" spans="1:18">
      <c r="A11" s="132" t="s">
        <v>160</v>
      </c>
      <c r="B11" s="301" t="s">
        <v>243</v>
      </c>
      <c r="C11" s="250" t="s">
        <v>243</v>
      </c>
      <c r="D11" s="302"/>
      <c r="E11" s="301"/>
      <c r="F11" s="250" t="s">
        <v>243</v>
      </c>
      <c r="G11" s="250"/>
      <c r="H11" s="250"/>
      <c r="I11" s="302"/>
      <c r="K11" s="132" t="s">
        <v>10</v>
      </c>
      <c r="L11" s="250"/>
      <c r="M11" s="250"/>
      <c r="N11" s="250"/>
      <c r="O11" s="250"/>
      <c r="P11" s="250"/>
    </row>
    <row r="12" spans="1:18" ht="15.75" thickBot="1">
      <c r="A12" s="132" t="s">
        <v>169</v>
      </c>
      <c r="B12" s="303"/>
      <c r="C12" s="304" t="s">
        <v>243</v>
      </c>
      <c r="D12" s="305"/>
      <c r="E12" s="303"/>
      <c r="F12" s="304" t="s">
        <v>243</v>
      </c>
      <c r="G12" s="304"/>
      <c r="H12" s="304"/>
      <c r="I12" s="305"/>
      <c r="K12" s="132" t="s">
        <v>89</v>
      </c>
      <c r="L12" s="250"/>
      <c r="M12" s="250"/>
      <c r="N12" s="250"/>
      <c r="O12" s="250"/>
      <c r="P12" s="250"/>
    </row>
    <row r="13" spans="1:18">
      <c r="K13" s="132" t="s">
        <v>11</v>
      </c>
      <c r="L13" s="250"/>
      <c r="M13" s="250"/>
      <c r="N13" s="250"/>
      <c r="O13" s="250"/>
      <c r="P13" s="250"/>
    </row>
    <row r="14" spans="1:18">
      <c r="K14" s="132" t="s">
        <v>12</v>
      </c>
      <c r="L14" s="250"/>
      <c r="M14" s="250"/>
      <c r="N14" s="250"/>
      <c r="O14" s="250"/>
      <c r="P14" s="250"/>
    </row>
    <row r="15" spans="1:18">
      <c r="K15" s="132" t="s">
        <v>13</v>
      </c>
      <c r="L15" s="250"/>
      <c r="M15" s="250"/>
      <c r="N15" s="250"/>
      <c r="O15" s="250"/>
      <c r="P15" s="250"/>
    </row>
    <row r="16" spans="1:18">
      <c r="K16" s="132" t="s">
        <v>14</v>
      </c>
      <c r="L16" s="250"/>
      <c r="M16" s="250"/>
      <c r="N16" s="250"/>
      <c r="O16" s="250"/>
      <c r="P16" s="250"/>
    </row>
    <row r="17" spans="11:16">
      <c r="K17" s="132" t="s">
        <v>15</v>
      </c>
      <c r="L17" s="250"/>
      <c r="M17" s="250"/>
      <c r="N17" s="250"/>
      <c r="O17" s="250"/>
      <c r="P17" s="250"/>
    </row>
    <row r="18" spans="11:16">
      <c r="K18" s="132" t="s">
        <v>16</v>
      </c>
      <c r="L18" s="250"/>
      <c r="M18" s="250"/>
      <c r="N18" s="250"/>
      <c r="O18" s="250"/>
      <c r="P18" s="250"/>
    </row>
    <row r="19" spans="11:16">
      <c r="K19" s="132" t="s">
        <v>17</v>
      </c>
      <c r="L19" s="250"/>
      <c r="M19" s="250"/>
      <c r="N19" s="250"/>
      <c r="O19" s="250"/>
      <c r="P19" s="250"/>
    </row>
    <row r="20" spans="11:16">
      <c r="K20" s="132" t="s">
        <v>18</v>
      </c>
      <c r="L20" s="250"/>
      <c r="M20" s="250"/>
      <c r="N20" s="250"/>
      <c r="O20" s="250"/>
      <c r="P20" s="250"/>
    </row>
    <row r="21" spans="11:16">
      <c r="K21" s="132" t="s">
        <v>19</v>
      </c>
      <c r="L21" s="250"/>
      <c r="M21" s="250"/>
      <c r="N21" s="250"/>
      <c r="O21" s="250"/>
      <c r="P21" s="250"/>
    </row>
    <row r="22" spans="11:16">
      <c r="K22" s="132" t="s">
        <v>79</v>
      </c>
      <c r="L22" s="250"/>
      <c r="M22" s="250"/>
      <c r="N22" s="250"/>
      <c r="O22" s="250"/>
      <c r="P22" s="250"/>
    </row>
    <row r="23" spans="11:16">
      <c r="K23" s="132" t="s">
        <v>220</v>
      </c>
      <c r="L23" s="250"/>
      <c r="M23" s="250"/>
      <c r="N23" s="250"/>
      <c r="O23" s="250"/>
      <c r="P23" s="250"/>
    </row>
    <row r="24" spans="11:16">
      <c r="K24" s="132" t="s">
        <v>20</v>
      </c>
      <c r="L24" s="250"/>
      <c r="M24" s="250"/>
      <c r="N24" s="250"/>
      <c r="O24" s="250"/>
      <c r="P24" s="250"/>
    </row>
    <row r="25" spans="11:16">
      <c r="K25" s="132" t="s">
        <v>21</v>
      </c>
      <c r="L25" s="250"/>
      <c r="M25" s="250"/>
      <c r="N25" s="250"/>
      <c r="O25" s="250"/>
      <c r="P25" s="250"/>
    </row>
    <row r="26" spans="11:16">
      <c r="K26" s="132" t="s">
        <v>22</v>
      </c>
      <c r="L26" s="250"/>
      <c r="M26" s="250"/>
      <c r="N26" s="250"/>
      <c r="O26" s="250"/>
      <c r="P26" s="250"/>
    </row>
    <row r="27" spans="11:16">
      <c r="K27" s="132" t="s">
        <v>23</v>
      </c>
      <c r="L27" s="250"/>
      <c r="M27" s="250"/>
      <c r="N27" s="250"/>
      <c r="O27" s="250"/>
      <c r="P27" s="250"/>
    </row>
    <row r="28" spans="11:16">
      <c r="K28" s="132" t="s">
        <v>80</v>
      </c>
      <c r="L28" s="250"/>
      <c r="M28" s="250"/>
      <c r="N28" s="250"/>
      <c r="O28" s="250"/>
      <c r="P28" s="250"/>
    </row>
    <row r="29" spans="11:16">
      <c r="K29" s="132" t="s">
        <v>221</v>
      </c>
      <c r="L29" s="250"/>
      <c r="M29" s="250"/>
      <c r="N29" s="250"/>
      <c r="O29" s="250"/>
      <c r="P29" s="250"/>
    </row>
    <row r="30" spans="11:16">
      <c r="K30" s="132" t="s">
        <v>24</v>
      </c>
      <c r="L30" s="250"/>
      <c r="M30" s="250"/>
      <c r="N30" s="250"/>
      <c r="O30" s="250"/>
      <c r="P30" s="250"/>
    </row>
    <row r="31" spans="11:16">
      <c r="K31" s="132" t="s">
        <v>91</v>
      </c>
      <c r="L31" s="250"/>
      <c r="M31" s="250"/>
      <c r="N31" s="250"/>
      <c r="O31" s="250"/>
      <c r="P31" s="250"/>
    </row>
    <row r="32" spans="11:16">
      <c r="K32" s="132" t="s">
        <v>25</v>
      </c>
      <c r="L32" s="250"/>
      <c r="M32" s="250"/>
      <c r="N32" s="250"/>
      <c r="O32" s="250"/>
      <c r="P32" s="250"/>
    </row>
    <row r="33" spans="11:16">
      <c r="K33" s="132" t="s">
        <v>92</v>
      </c>
      <c r="L33" s="250"/>
      <c r="M33" s="250"/>
      <c r="N33" s="250"/>
      <c r="O33" s="250"/>
      <c r="P33" s="250"/>
    </row>
    <row r="34" spans="11:16">
      <c r="K34" s="132" t="s">
        <v>26</v>
      </c>
      <c r="L34" s="250"/>
      <c r="M34" s="250"/>
      <c r="N34" s="250"/>
      <c r="O34" s="250"/>
      <c r="P34" s="250"/>
    </row>
    <row r="35" spans="11:16">
      <c r="K35" s="132" t="s">
        <v>93</v>
      </c>
      <c r="L35" s="250"/>
      <c r="M35" s="250"/>
      <c r="N35" s="250"/>
      <c r="O35" s="250"/>
      <c r="P35" s="250"/>
    </row>
    <row r="36" spans="11:16">
      <c r="K36" s="132" t="s">
        <v>81</v>
      </c>
      <c r="L36" s="250"/>
      <c r="M36" s="250"/>
      <c r="N36" s="250"/>
      <c r="O36" s="250"/>
      <c r="P36" s="250"/>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21</vt:i4>
      </vt:variant>
    </vt:vector>
  </HeadingPairs>
  <TitlesOfParts>
    <vt:vector size="26" baseType="lpstr">
      <vt:lpstr>mémo pour remplir le tableau</vt:lpstr>
      <vt:lpstr>Données</vt:lpstr>
      <vt:lpstr>Bilans</vt:lpstr>
      <vt:lpstr>listes</vt:lpstr>
      <vt:lpstr>Regroupements</vt:lpstr>
      <vt:lpstr>Buers</vt:lpstr>
      <vt:lpstr>Charpennes</vt:lpstr>
      <vt:lpstr>Collège</vt:lpstr>
      <vt:lpstr>Cusset</vt:lpstr>
      <vt:lpstr>Cyprien</vt:lpstr>
      <vt:lpstr>Elémentaire</vt:lpstr>
      <vt:lpstr>FDL</vt:lpstr>
      <vt:lpstr>Ferrandière</vt:lpstr>
      <vt:lpstr>Gratteciel</vt:lpstr>
      <vt:lpstr>horsvilleurbanne</vt:lpstr>
      <vt:lpstr>Lycée</vt:lpstr>
      <vt:lpstr>Maternelle</vt:lpstr>
      <vt:lpstr>MLIS</vt:lpstr>
      <vt:lpstr>PACBUS</vt:lpstr>
      <vt:lpstr>Perralière</vt:lpstr>
      <vt:lpstr>Réseau</vt:lpstr>
      <vt:lpstr>RIZE</vt:lpstr>
      <vt:lpstr>Rizehorsmed</vt:lpstr>
      <vt:lpstr>Saintjean</vt:lpstr>
      <vt:lpstr>Tonkin</vt:lpstr>
      <vt:lpstr>Total</vt:lpstr>
    </vt:vector>
  </TitlesOfParts>
  <Company>Ville de Villeurbanne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Camille</dc:creator>
  <cp:lastModifiedBy>Eric</cp:lastModifiedBy>
  <cp:lastPrinted>2018-05-31T16:20:07Z</cp:lastPrinted>
  <dcterms:created xsi:type="dcterms:W3CDTF">2016-06-09T07:52:05Z</dcterms:created>
  <dcterms:modified xsi:type="dcterms:W3CDTF">2018-08-03T17:46:15Z</dcterms:modified>
</cp:coreProperties>
</file>