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340" yWindow="465" windowWidth="20745" windowHeight="11460" tabRatio="858" activeTab="4"/>
  </bookViews>
  <sheets>
    <sheet name="mémo pour remplir le tableau" sheetId="19" r:id="rId1"/>
    <sheet name="Données" sheetId="15" r:id="rId2"/>
    <sheet name="Bilans" sheetId="16" r:id="rId3"/>
    <sheet name="listes" sheetId="6" r:id="rId4"/>
    <sheet name="Regroupements" sheetId="20" r:id="rId5"/>
  </sheets>
  <externalReferences>
    <externalReference r:id="rId6"/>
  </externalReferences>
  <definedNames>
    <definedName name="_xlnm._FilterDatabase" localSheetId="1" hidden="1">Données!$A$1:$M$316</definedName>
    <definedName name="Buers">listes!$J$2:$J$8</definedName>
    <definedName name="Charpennes">listes!$K$2:$K$12</definedName>
    <definedName name="Collège">listes!$V$2:$V$12</definedName>
    <definedName name="Cusset">listes!$L$2:$L$11</definedName>
    <definedName name="Cyprien">listes!$M$2:$M$9</definedName>
    <definedName name="Elémentaire">listes!$U$2:$U$14</definedName>
    <definedName name="FDL">listes!$B$2</definedName>
    <definedName name="Ferrandière">listes!$N$2:$N$8</definedName>
    <definedName name="Gratteciel">listes!$O$2:$O$17</definedName>
    <definedName name="horsvilleurbanne">listes!$R$2</definedName>
    <definedName name="Lycée">listes!$W$2:$W$11</definedName>
    <definedName name="Maternelle">listes!$T$2:$T$11</definedName>
    <definedName name="MLIS">listes!$B$3:$B$7</definedName>
    <definedName name="PACBUS">listes!$B$9</definedName>
    <definedName name="Perralière">listes!$P$2:$P$10</definedName>
    <definedName name="Réseau">listes!$C$2:$C$9</definedName>
    <definedName name="RIZE">listes!$B$10:$B$12</definedName>
    <definedName name="Rizehorsmed">listes!$D$2:$D$3</definedName>
    <definedName name="Saintjean">listes!$Q$2:$Q$7</definedName>
    <definedName name="Tonkin">listes!$B$8</definedName>
    <definedName name="Total">listes!$B$2:$B$12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4" i="15" l="1"/>
  <c r="M5" i="15"/>
  <c r="M7" i="15"/>
  <c r="G47" i="16"/>
  <c r="G46" i="16"/>
  <c r="F47" i="16"/>
  <c r="F46" i="16"/>
  <c r="D47" i="16"/>
  <c r="D46" i="16"/>
  <c r="C46" i="16"/>
  <c r="C47" i="16"/>
  <c r="K4" i="15"/>
  <c r="K5" i="15"/>
  <c r="K8" i="15"/>
  <c r="G48" i="16"/>
  <c r="F48" i="16"/>
  <c r="D48" i="16"/>
  <c r="C48" i="16"/>
  <c r="N7" i="15"/>
  <c r="N2" i="15"/>
  <c r="N3" i="15"/>
  <c r="N6" i="15"/>
  <c r="N11" i="15"/>
  <c r="O4" i="15"/>
  <c r="O5" i="15"/>
  <c r="C31" i="16"/>
  <c r="C28" i="16"/>
  <c r="N4" i="15"/>
  <c r="N5" i="15"/>
  <c r="O2" i="15"/>
  <c r="O3" i="15"/>
  <c r="K2" i="15"/>
  <c r="K3" i="15"/>
  <c r="H8" i="16"/>
  <c r="H33" i="16"/>
  <c r="H5" i="16"/>
  <c r="H11" i="16"/>
  <c r="H14" i="16"/>
  <c r="H30" i="16"/>
  <c r="H27" i="16"/>
  <c r="H21" i="16"/>
  <c r="H24" i="16"/>
  <c r="T2" i="15"/>
  <c r="T3" i="15"/>
  <c r="T4" i="15"/>
  <c r="T5" i="15"/>
  <c r="T6" i="15"/>
  <c r="T7" i="15"/>
  <c r="T8" i="15"/>
  <c r="T9" i="15"/>
  <c r="T10" i="15"/>
  <c r="T11" i="15"/>
  <c r="T12" i="15"/>
  <c r="T13" i="15"/>
  <c r="T14" i="15"/>
  <c r="T15" i="15"/>
  <c r="T16" i="15"/>
  <c r="T17" i="15"/>
  <c r="T18" i="15"/>
  <c r="T19" i="15"/>
  <c r="T20" i="15"/>
  <c r="T21" i="15"/>
  <c r="T22" i="15"/>
  <c r="T23" i="15"/>
  <c r="T24" i="15"/>
  <c r="T25" i="15"/>
  <c r="T26" i="15"/>
  <c r="T27" i="15"/>
  <c r="T28" i="15"/>
  <c r="T29" i="15"/>
  <c r="T30" i="15"/>
  <c r="T31" i="15"/>
  <c r="T32" i="15"/>
  <c r="T33" i="15"/>
  <c r="T34" i="15"/>
  <c r="T35" i="15"/>
  <c r="T36" i="15"/>
  <c r="T37" i="15"/>
  <c r="T38" i="15"/>
  <c r="T39" i="15"/>
  <c r="T40" i="15"/>
  <c r="T41" i="15"/>
  <c r="T42" i="15"/>
  <c r="T43" i="15"/>
  <c r="T44" i="15"/>
  <c r="T45" i="15"/>
  <c r="T46" i="15"/>
  <c r="T47" i="15"/>
  <c r="T48" i="15"/>
  <c r="T49" i="15"/>
  <c r="T50" i="15"/>
  <c r="T51" i="15"/>
  <c r="T52" i="15"/>
  <c r="T53" i="15"/>
  <c r="T54" i="15"/>
  <c r="T55" i="15"/>
  <c r="T56" i="15"/>
  <c r="T57" i="15"/>
  <c r="T58" i="15"/>
  <c r="T59" i="15"/>
  <c r="T60" i="15"/>
  <c r="T61" i="15"/>
  <c r="T62" i="15"/>
  <c r="T63" i="15"/>
  <c r="T64" i="15"/>
  <c r="T65" i="15"/>
  <c r="T66" i="15"/>
  <c r="T67" i="15"/>
  <c r="T68" i="15"/>
  <c r="T69" i="15"/>
  <c r="T70" i="15"/>
  <c r="T71" i="15"/>
  <c r="T72" i="15"/>
  <c r="T73" i="15"/>
  <c r="T74" i="15"/>
  <c r="T75" i="15"/>
  <c r="T76" i="15"/>
  <c r="T77" i="15"/>
  <c r="T78" i="15"/>
  <c r="T79" i="15"/>
  <c r="T80" i="15"/>
  <c r="T81" i="15"/>
  <c r="T82" i="15"/>
  <c r="T83" i="15"/>
  <c r="T84" i="15"/>
  <c r="T85" i="15"/>
  <c r="T86" i="15"/>
  <c r="T87" i="15"/>
  <c r="T88" i="15"/>
  <c r="T89" i="15"/>
  <c r="T90" i="15"/>
  <c r="T91" i="15"/>
  <c r="T92" i="15"/>
  <c r="T93" i="15"/>
  <c r="T94" i="15"/>
  <c r="T95" i="15"/>
  <c r="T96" i="15"/>
  <c r="T97" i="15"/>
  <c r="T98" i="15"/>
  <c r="T99" i="15"/>
  <c r="T100" i="15"/>
  <c r="T101" i="15"/>
  <c r="T102" i="15"/>
  <c r="T103" i="15"/>
  <c r="T104" i="15"/>
  <c r="T105" i="15"/>
  <c r="T106" i="15"/>
  <c r="T107" i="15"/>
  <c r="T108" i="15"/>
  <c r="T109" i="15"/>
  <c r="T110" i="15"/>
  <c r="T111" i="15"/>
  <c r="T112" i="15"/>
  <c r="T113" i="15"/>
  <c r="T114" i="15"/>
  <c r="T115" i="15"/>
  <c r="T116" i="15"/>
  <c r="T117" i="15"/>
  <c r="T118" i="15"/>
  <c r="T119" i="15"/>
  <c r="T120" i="15"/>
  <c r="T121" i="15"/>
  <c r="T122" i="15"/>
  <c r="T123" i="15"/>
  <c r="T124" i="15"/>
  <c r="T125" i="15"/>
  <c r="T126" i="15"/>
  <c r="T127" i="15"/>
  <c r="T128" i="15"/>
  <c r="T129" i="15"/>
  <c r="T130" i="15"/>
  <c r="T131" i="15"/>
  <c r="T132" i="15"/>
  <c r="T133" i="15"/>
  <c r="T134" i="15"/>
  <c r="T135" i="15"/>
  <c r="T136" i="15"/>
  <c r="T137" i="15"/>
  <c r="T138" i="15"/>
  <c r="T139" i="15"/>
  <c r="T140" i="15"/>
  <c r="T141" i="15"/>
  <c r="T142" i="15"/>
  <c r="T143" i="15"/>
  <c r="T144" i="15"/>
  <c r="T145" i="15"/>
  <c r="T146" i="15"/>
  <c r="T147" i="15"/>
  <c r="T148" i="15"/>
  <c r="T149" i="15"/>
  <c r="T150" i="15"/>
  <c r="T151" i="15"/>
  <c r="T152" i="15"/>
  <c r="T153" i="15"/>
  <c r="T154" i="15"/>
  <c r="T155" i="15"/>
  <c r="T156" i="15"/>
  <c r="T157" i="15"/>
  <c r="T158" i="15"/>
  <c r="T159" i="15"/>
  <c r="T160" i="15"/>
  <c r="T161" i="15"/>
  <c r="T162" i="15"/>
  <c r="T163" i="15"/>
  <c r="T164" i="15"/>
  <c r="T165" i="15"/>
  <c r="T166" i="15"/>
  <c r="T167" i="15"/>
  <c r="T168" i="15"/>
  <c r="T169" i="15"/>
  <c r="T170" i="15"/>
  <c r="T171" i="15"/>
  <c r="T172" i="15"/>
  <c r="T173" i="15"/>
  <c r="T174" i="15"/>
  <c r="T175" i="15"/>
  <c r="T176" i="15"/>
  <c r="T177" i="15"/>
  <c r="T178" i="15"/>
  <c r="T179" i="15"/>
  <c r="T180" i="15"/>
  <c r="T181" i="15"/>
  <c r="T182" i="15"/>
  <c r="T183" i="15"/>
  <c r="T184" i="15"/>
  <c r="T185" i="15"/>
  <c r="T186" i="15"/>
  <c r="T187" i="15"/>
  <c r="T188" i="15"/>
  <c r="T189" i="15"/>
  <c r="T190" i="15"/>
  <c r="T191" i="15"/>
  <c r="T192" i="15"/>
  <c r="T193" i="15"/>
  <c r="T194" i="15"/>
  <c r="T195" i="15"/>
  <c r="T196" i="15"/>
  <c r="T197" i="15"/>
  <c r="T198" i="15"/>
  <c r="T199" i="15"/>
  <c r="T200" i="15"/>
  <c r="T201" i="15"/>
  <c r="T202" i="15"/>
  <c r="T203" i="15"/>
  <c r="T204" i="15"/>
  <c r="T205" i="15"/>
  <c r="T206" i="15"/>
  <c r="T207" i="15"/>
  <c r="T208" i="15"/>
  <c r="T209" i="15"/>
  <c r="T210" i="15"/>
  <c r="T211" i="15"/>
  <c r="T212" i="15"/>
  <c r="T213" i="15"/>
  <c r="T214" i="15"/>
  <c r="T215" i="15"/>
  <c r="T216" i="15"/>
  <c r="T217" i="15"/>
  <c r="T218" i="15"/>
  <c r="T219" i="15"/>
  <c r="T220" i="15"/>
  <c r="T221" i="15"/>
  <c r="T222" i="15"/>
  <c r="T223" i="15"/>
  <c r="T224" i="15"/>
  <c r="T225" i="15"/>
  <c r="T226" i="15"/>
  <c r="T227" i="15"/>
  <c r="T228" i="15"/>
  <c r="T229" i="15"/>
  <c r="T230" i="15"/>
  <c r="T231" i="15"/>
  <c r="T232" i="15"/>
  <c r="T233" i="15"/>
  <c r="T234" i="15"/>
  <c r="T235" i="15"/>
  <c r="T236" i="15"/>
  <c r="T237" i="15"/>
  <c r="T238" i="15"/>
  <c r="T239" i="15"/>
  <c r="T240" i="15"/>
  <c r="T241" i="15"/>
  <c r="T242" i="15"/>
  <c r="T243" i="15"/>
  <c r="T244" i="15"/>
  <c r="T245" i="15"/>
  <c r="T246" i="15"/>
  <c r="T247" i="15"/>
  <c r="T248" i="15"/>
  <c r="T249" i="15"/>
  <c r="T250" i="15"/>
  <c r="R2" i="15"/>
  <c r="U94" i="15"/>
  <c r="U5" i="15"/>
  <c r="U2" i="15"/>
  <c r="U4" i="15"/>
  <c r="U6" i="15"/>
  <c r="U8" i="15"/>
  <c r="U10" i="15"/>
  <c r="U12" i="15"/>
  <c r="U14" i="15"/>
  <c r="U16" i="15"/>
  <c r="U18" i="15"/>
  <c r="U20" i="15"/>
  <c r="U22" i="15"/>
  <c r="U24" i="15"/>
  <c r="U26" i="15"/>
  <c r="U28" i="15"/>
  <c r="U30" i="15"/>
  <c r="U32" i="15"/>
  <c r="U34" i="15"/>
  <c r="U36" i="15"/>
  <c r="U38" i="15"/>
  <c r="U40" i="15"/>
  <c r="U42" i="15"/>
  <c r="U44" i="15"/>
  <c r="U46" i="15"/>
  <c r="U48" i="15"/>
  <c r="U50" i="15"/>
  <c r="U52" i="15"/>
  <c r="U54" i="15"/>
  <c r="U56" i="15"/>
  <c r="U58" i="15"/>
  <c r="U60" i="15"/>
  <c r="U62" i="15"/>
  <c r="U64" i="15"/>
  <c r="U66" i="15"/>
  <c r="U68" i="15"/>
  <c r="U70" i="15"/>
  <c r="U72" i="15"/>
  <c r="U74" i="15"/>
  <c r="U76" i="15"/>
  <c r="U78" i="15"/>
  <c r="U80" i="15"/>
  <c r="U82" i="15"/>
  <c r="U86" i="15"/>
  <c r="U90" i="15"/>
  <c r="U250" i="15"/>
  <c r="U248" i="15"/>
  <c r="U246" i="15"/>
  <c r="U244" i="15"/>
  <c r="U242" i="15"/>
  <c r="U240" i="15"/>
  <c r="U238" i="15"/>
  <c r="U236" i="15"/>
  <c r="U234" i="15"/>
  <c r="U232" i="15"/>
  <c r="U230" i="15"/>
  <c r="U228" i="15"/>
  <c r="U226" i="15"/>
  <c r="U224" i="15"/>
  <c r="U222" i="15"/>
  <c r="U220" i="15"/>
  <c r="U218" i="15"/>
  <c r="U216" i="15"/>
  <c r="U214" i="15"/>
  <c r="U212" i="15"/>
  <c r="U210" i="15"/>
  <c r="U208" i="15"/>
  <c r="U206" i="15"/>
  <c r="U204" i="15"/>
  <c r="U202" i="15"/>
  <c r="U200" i="15"/>
  <c r="U198" i="15"/>
  <c r="U196" i="15"/>
  <c r="U194" i="15"/>
  <c r="U192" i="15"/>
  <c r="U190" i="15"/>
  <c r="U188" i="15"/>
  <c r="U186" i="15"/>
  <c r="U184" i="15"/>
  <c r="U182" i="15"/>
  <c r="U180" i="15"/>
  <c r="U178" i="15"/>
  <c r="U176" i="15"/>
  <c r="U174" i="15"/>
  <c r="U172" i="15"/>
  <c r="U170" i="15"/>
  <c r="U168" i="15"/>
  <c r="U166" i="15"/>
  <c r="U164" i="15"/>
  <c r="U162" i="15"/>
  <c r="U160" i="15"/>
  <c r="U158" i="15"/>
  <c r="U156" i="15"/>
  <c r="U154" i="15"/>
  <c r="U152" i="15"/>
  <c r="U150" i="15"/>
  <c r="U148" i="15"/>
  <c r="U146" i="15"/>
  <c r="U144" i="15"/>
  <c r="U142" i="15"/>
  <c r="U140" i="15"/>
  <c r="U138" i="15"/>
  <c r="U136" i="15"/>
  <c r="U134" i="15"/>
  <c r="U132" i="15"/>
  <c r="U130" i="15"/>
  <c r="U128" i="15"/>
  <c r="U126" i="15"/>
  <c r="U124" i="15"/>
  <c r="U122" i="15"/>
  <c r="U120" i="15"/>
  <c r="U118" i="15"/>
  <c r="U116" i="15"/>
  <c r="U114" i="15"/>
  <c r="U112" i="15"/>
  <c r="U110" i="15"/>
  <c r="U108" i="15"/>
  <c r="U106" i="15"/>
  <c r="U104" i="15"/>
  <c r="U102" i="15"/>
  <c r="U100" i="15"/>
  <c r="U98" i="15"/>
  <c r="U96" i="15"/>
  <c r="U249" i="15"/>
  <c r="U247" i="15"/>
  <c r="U245" i="15"/>
  <c r="U243" i="15"/>
  <c r="U241" i="15"/>
  <c r="U239" i="15"/>
  <c r="U237" i="15"/>
  <c r="U235" i="15"/>
  <c r="U233" i="15"/>
  <c r="U231" i="15"/>
  <c r="U229" i="15"/>
  <c r="U227" i="15"/>
  <c r="U225" i="15"/>
  <c r="U223" i="15"/>
  <c r="U221" i="15"/>
  <c r="U219" i="15"/>
  <c r="U217" i="15"/>
  <c r="U215" i="15"/>
  <c r="U213" i="15"/>
  <c r="U211" i="15"/>
  <c r="U209" i="15"/>
  <c r="U207" i="15"/>
  <c r="U205" i="15"/>
  <c r="U203" i="15"/>
  <c r="U201" i="15"/>
  <c r="U199" i="15"/>
  <c r="U197" i="15"/>
  <c r="U195" i="15"/>
  <c r="U193" i="15"/>
  <c r="U191" i="15"/>
  <c r="U189" i="15"/>
  <c r="U187" i="15"/>
  <c r="U185" i="15"/>
  <c r="U183" i="15"/>
  <c r="U181" i="15"/>
  <c r="U179" i="15"/>
  <c r="U177" i="15"/>
  <c r="U175" i="15"/>
  <c r="U173" i="15"/>
  <c r="U171" i="15"/>
  <c r="U169" i="15"/>
  <c r="U167" i="15"/>
  <c r="U165" i="15"/>
  <c r="U163" i="15"/>
  <c r="U161" i="15"/>
  <c r="U159" i="15"/>
  <c r="U157" i="15"/>
  <c r="U155" i="15"/>
  <c r="U153" i="15"/>
  <c r="U151" i="15"/>
  <c r="U149" i="15"/>
  <c r="U147" i="15"/>
  <c r="U145" i="15"/>
  <c r="U143" i="15"/>
  <c r="U141" i="15"/>
  <c r="U139" i="15"/>
  <c r="U137" i="15"/>
  <c r="U135" i="15"/>
  <c r="U133" i="15"/>
  <c r="U131" i="15"/>
  <c r="U129" i="15"/>
  <c r="U127" i="15"/>
  <c r="U125" i="15"/>
  <c r="U123" i="15"/>
  <c r="U121" i="15"/>
  <c r="U119" i="15"/>
  <c r="U117" i="15"/>
  <c r="U115" i="15"/>
  <c r="U113" i="15"/>
  <c r="U111" i="15"/>
  <c r="U109" i="15"/>
  <c r="U107" i="15"/>
  <c r="U105" i="15"/>
  <c r="U103" i="15"/>
  <c r="U101" i="15"/>
  <c r="U99" i="15"/>
  <c r="U97" i="15"/>
  <c r="U95" i="15"/>
  <c r="U93" i="15"/>
  <c r="U91" i="15"/>
  <c r="U89" i="15"/>
  <c r="U87" i="15"/>
  <c r="U85" i="15"/>
  <c r="U83" i="15"/>
  <c r="U3" i="15"/>
  <c r="U7" i="15"/>
  <c r="U9" i="15"/>
  <c r="U11" i="15"/>
  <c r="U13" i="15"/>
  <c r="U15" i="15"/>
  <c r="U17" i="15"/>
  <c r="U19" i="15"/>
  <c r="U21" i="15"/>
  <c r="U23" i="15"/>
  <c r="U25" i="15"/>
  <c r="U27" i="15"/>
  <c r="U29" i="15"/>
  <c r="U31" i="15"/>
  <c r="U33" i="15"/>
  <c r="U35" i="15"/>
  <c r="U37" i="15"/>
  <c r="U39" i="15"/>
  <c r="U41" i="15"/>
  <c r="U43" i="15"/>
  <c r="U45" i="15"/>
  <c r="U47" i="15"/>
  <c r="U49" i="15"/>
  <c r="U51" i="15"/>
  <c r="U53" i="15"/>
  <c r="U55" i="15"/>
  <c r="U57" i="15"/>
  <c r="U59" i="15"/>
  <c r="U61" i="15"/>
  <c r="U63" i="15"/>
  <c r="U65" i="15"/>
  <c r="U67" i="15"/>
  <c r="U69" i="15"/>
  <c r="U71" i="15"/>
  <c r="U73" i="15"/>
  <c r="U75" i="15"/>
  <c r="U77" i="15"/>
  <c r="U79" i="15"/>
  <c r="U81" i="15"/>
  <c r="U84" i="15"/>
  <c r="U88" i="15"/>
  <c r="U92" i="15"/>
  <c r="P2" i="15"/>
  <c r="P3" i="15"/>
  <c r="P4" i="15"/>
  <c r="P5" i="15"/>
  <c r="P6"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P66" i="15"/>
  <c r="P67" i="15"/>
  <c r="P68" i="15"/>
  <c r="P69" i="15"/>
  <c r="P70" i="15"/>
  <c r="P71" i="15"/>
  <c r="P72" i="15"/>
  <c r="P73" i="15"/>
  <c r="P74" i="15"/>
  <c r="P75" i="15"/>
  <c r="P76" i="15"/>
  <c r="P77" i="15"/>
  <c r="P78" i="15"/>
  <c r="P79" i="15"/>
  <c r="P80" i="15"/>
  <c r="P81" i="15"/>
  <c r="P82" i="15"/>
  <c r="P83" i="15"/>
  <c r="P84" i="15"/>
  <c r="P85" i="15"/>
  <c r="P86" i="15"/>
  <c r="P87" i="15"/>
  <c r="P88" i="15"/>
  <c r="P89" i="15"/>
  <c r="P90" i="15"/>
  <c r="P91" i="15"/>
  <c r="P92" i="15"/>
  <c r="P93" i="15"/>
  <c r="P94" i="15"/>
  <c r="P95" i="15"/>
  <c r="P96" i="15"/>
  <c r="P97" i="15"/>
  <c r="P98" i="15"/>
  <c r="P99" i="15"/>
  <c r="P100" i="15"/>
  <c r="P101" i="15"/>
  <c r="P102" i="15"/>
  <c r="P103" i="15"/>
  <c r="P104" i="15"/>
  <c r="P105" i="15"/>
  <c r="P106" i="15"/>
  <c r="P107" i="15"/>
  <c r="P108" i="15"/>
  <c r="P109" i="15"/>
  <c r="P110" i="15"/>
  <c r="P111" i="15"/>
  <c r="P112" i="15"/>
  <c r="P113" i="15"/>
  <c r="P114" i="15"/>
  <c r="P115" i="15"/>
  <c r="P116" i="15"/>
  <c r="P117" i="15"/>
  <c r="P118" i="15"/>
  <c r="P119" i="15"/>
  <c r="P120" i="15"/>
  <c r="P121" i="15"/>
  <c r="P122" i="15"/>
  <c r="P123" i="15"/>
  <c r="P124" i="15"/>
  <c r="P125" i="15"/>
  <c r="P126" i="15"/>
  <c r="P127" i="15"/>
  <c r="P128" i="15"/>
  <c r="P129" i="15"/>
  <c r="P130" i="15"/>
  <c r="P131" i="15"/>
  <c r="P132" i="15"/>
  <c r="P133" i="15"/>
  <c r="P134" i="15"/>
  <c r="P135" i="15"/>
  <c r="P136" i="15"/>
  <c r="P137" i="15"/>
  <c r="P138" i="15"/>
  <c r="P139" i="15"/>
  <c r="P140" i="15"/>
  <c r="P141" i="15"/>
  <c r="P142" i="15"/>
  <c r="P143" i="15"/>
  <c r="P144" i="15"/>
  <c r="P145" i="15"/>
  <c r="P146" i="15"/>
  <c r="P147" i="15"/>
  <c r="P148" i="15"/>
  <c r="P149" i="15"/>
  <c r="P150" i="15"/>
  <c r="P151" i="15"/>
  <c r="P152" i="15"/>
  <c r="P153" i="15"/>
  <c r="P154" i="15"/>
  <c r="P155" i="15"/>
  <c r="P156" i="15"/>
  <c r="P157" i="15"/>
  <c r="P158" i="15"/>
  <c r="P159" i="15"/>
  <c r="P160" i="15"/>
  <c r="P161" i="15"/>
  <c r="P162" i="15"/>
  <c r="P163" i="15"/>
  <c r="P164" i="15"/>
  <c r="P165" i="15"/>
  <c r="P166" i="15"/>
  <c r="P167" i="15"/>
  <c r="P168" i="15"/>
  <c r="P169" i="15"/>
  <c r="P170" i="15"/>
  <c r="P171" i="15"/>
  <c r="P172" i="15"/>
  <c r="P173" i="15"/>
  <c r="P174" i="15"/>
  <c r="P175" i="15"/>
  <c r="P176" i="15"/>
  <c r="P177" i="15"/>
  <c r="P178" i="15"/>
  <c r="P179" i="15"/>
  <c r="P180" i="15"/>
  <c r="P181" i="15"/>
  <c r="P182" i="15"/>
  <c r="P183" i="15"/>
  <c r="P184" i="15"/>
  <c r="P185" i="15"/>
  <c r="P186" i="15"/>
  <c r="P187" i="15"/>
  <c r="P188" i="15"/>
  <c r="P189" i="15"/>
  <c r="P190" i="15"/>
  <c r="P191" i="15"/>
  <c r="P192" i="15"/>
  <c r="P193" i="15"/>
  <c r="P194" i="15"/>
  <c r="P195" i="15"/>
  <c r="P196" i="15"/>
  <c r="P197" i="15"/>
  <c r="P198" i="15"/>
  <c r="P199" i="15"/>
  <c r="P200" i="15"/>
  <c r="P201" i="15"/>
  <c r="P202" i="15"/>
  <c r="P203" i="15"/>
  <c r="P204" i="15"/>
  <c r="P205" i="15"/>
  <c r="P206" i="15"/>
  <c r="P207" i="15"/>
  <c r="P208" i="15"/>
  <c r="P209" i="15"/>
  <c r="P210" i="15"/>
  <c r="P211" i="15"/>
  <c r="P212" i="15"/>
  <c r="P213" i="15"/>
  <c r="P214" i="15"/>
  <c r="P215" i="15"/>
  <c r="P216" i="15"/>
  <c r="P217" i="15"/>
  <c r="P218" i="15"/>
  <c r="P219" i="15"/>
  <c r="P220" i="15"/>
  <c r="P221" i="15"/>
  <c r="P222" i="15"/>
  <c r="P223" i="15"/>
  <c r="P224" i="15"/>
  <c r="P225" i="15"/>
  <c r="P226" i="15"/>
  <c r="P227" i="15"/>
  <c r="P228" i="15"/>
  <c r="P229" i="15"/>
  <c r="P230" i="15"/>
  <c r="P231" i="15"/>
  <c r="P232" i="15"/>
  <c r="P233" i="15"/>
  <c r="P234" i="15"/>
  <c r="P235" i="15"/>
  <c r="P236" i="15"/>
  <c r="P237" i="15"/>
  <c r="P238" i="15"/>
  <c r="P239" i="15"/>
  <c r="P240" i="15"/>
  <c r="P241" i="15"/>
  <c r="P242" i="15"/>
  <c r="P243" i="15"/>
  <c r="P244" i="15"/>
  <c r="P245" i="15"/>
  <c r="P246" i="15"/>
  <c r="P247" i="15"/>
  <c r="P248" i="15"/>
  <c r="P249" i="15"/>
  <c r="P250" i="15"/>
  <c r="R3" i="15"/>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R127" i="15"/>
  <c r="R128" i="15"/>
  <c r="R129" i="15"/>
  <c r="R130" i="15"/>
  <c r="R131" i="15"/>
  <c r="R132" i="15"/>
  <c r="R133" i="15"/>
  <c r="R134" i="15"/>
  <c r="R135" i="15"/>
  <c r="R136" i="15"/>
  <c r="R137" i="15"/>
  <c r="R138" i="15"/>
  <c r="R139" i="15"/>
  <c r="R140" i="15"/>
  <c r="R141" i="15"/>
  <c r="R142" i="15"/>
  <c r="R143" i="15"/>
  <c r="R144" i="15"/>
  <c r="R145" i="15"/>
  <c r="R146" i="15"/>
  <c r="R147" i="15"/>
  <c r="R148" i="15"/>
  <c r="R149" i="15"/>
  <c r="R150" i="15"/>
  <c r="R151" i="15"/>
  <c r="R152" i="15"/>
  <c r="R153" i="15"/>
  <c r="R154" i="15"/>
  <c r="R155" i="15"/>
  <c r="R156" i="15"/>
  <c r="R157" i="15"/>
  <c r="R158" i="15"/>
  <c r="R159" i="15"/>
  <c r="R160" i="15"/>
  <c r="R161" i="15"/>
  <c r="R162" i="15"/>
  <c r="R163" i="15"/>
  <c r="R164" i="15"/>
  <c r="R165" i="15"/>
  <c r="R166" i="15"/>
  <c r="R167" i="15"/>
  <c r="R168" i="15"/>
  <c r="R169" i="15"/>
  <c r="R170" i="15"/>
  <c r="R171" i="15"/>
  <c r="R172" i="15"/>
  <c r="R173" i="15"/>
  <c r="R174" i="15"/>
  <c r="R175" i="15"/>
  <c r="R176" i="15"/>
  <c r="R177" i="15"/>
  <c r="R178" i="15"/>
  <c r="R179" i="15"/>
  <c r="R180" i="15"/>
  <c r="R181" i="15"/>
  <c r="R182" i="15"/>
  <c r="R183" i="15"/>
  <c r="R184" i="15"/>
  <c r="R185" i="15"/>
  <c r="R186" i="15"/>
  <c r="R187" i="15"/>
  <c r="R188" i="15"/>
  <c r="R189" i="15"/>
  <c r="R190" i="15"/>
  <c r="R191" i="15"/>
  <c r="R192" i="15"/>
  <c r="R193" i="15"/>
  <c r="R194" i="15"/>
  <c r="R195" i="15"/>
  <c r="R196" i="15"/>
  <c r="R197" i="15"/>
  <c r="R198" i="15"/>
  <c r="R199" i="15"/>
  <c r="R200" i="15"/>
  <c r="R201" i="15"/>
  <c r="R202" i="15"/>
  <c r="R203" i="15"/>
  <c r="R204" i="15"/>
  <c r="R205" i="15"/>
  <c r="R206" i="15"/>
  <c r="R207" i="15"/>
  <c r="R208" i="15"/>
  <c r="R209" i="15"/>
  <c r="R210" i="15"/>
  <c r="R211" i="15"/>
  <c r="R212" i="15"/>
  <c r="R213" i="15"/>
  <c r="R214" i="15"/>
  <c r="R215" i="15"/>
  <c r="R216" i="15"/>
  <c r="R217" i="15"/>
  <c r="R218" i="15"/>
  <c r="R219" i="15"/>
  <c r="R220" i="15"/>
  <c r="R221" i="15"/>
  <c r="R222" i="15"/>
  <c r="R223" i="15"/>
  <c r="R224" i="15"/>
  <c r="R225" i="15"/>
  <c r="R226" i="15"/>
  <c r="R227" i="15"/>
  <c r="R228" i="15"/>
  <c r="R229" i="15"/>
  <c r="R230" i="15"/>
  <c r="R231" i="15"/>
  <c r="R232" i="15"/>
  <c r="R233" i="15"/>
  <c r="R234" i="15"/>
  <c r="R235" i="15"/>
  <c r="R236" i="15"/>
  <c r="R237" i="15"/>
  <c r="R238" i="15"/>
  <c r="R239" i="15"/>
  <c r="R240" i="15"/>
  <c r="R241" i="15"/>
  <c r="R242" i="15"/>
  <c r="R243" i="15"/>
  <c r="R244" i="15"/>
  <c r="R245" i="15"/>
  <c r="R246" i="15"/>
  <c r="R247" i="15"/>
  <c r="R248" i="15"/>
  <c r="R249" i="15"/>
  <c r="R250"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M144" i="15"/>
  <c r="N144" i="15"/>
  <c r="M145" i="15"/>
  <c r="N145" i="15"/>
  <c r="M146" i="15"/>
  <c r="N146" i="15"/>
  <c r="M147" i="15"/>
  <c r="N147" i="15"/>
  <c r="M148" i="15"/>
  <c r="N148" i="15"/>
  <c r="M149" i="15"/>
  <c r="N149" i="15"/>
  <c r="M150" i="15"/>
  <c r="N150" i="15"/>
  <c r="M151" i="15"/>
  <c r="N151" i="15"/>
  <c r="M152" i="15"/>
  <c r="N152" i="15"/>
  <c r="M153" i="15"/>
  <c r="N153" i="15"/>
  <c r="M154" i="15"/>
  <c r="N154" i="15"/>
  <c r="M155" i="15"/>
  <c r="N155" i="15"/>
  <c r="M156" i="15"/>
  <c r="N156" i="15"/>
  <c r="M157" i="15"/>
  <c r="N157" i="15"/>
  <c r="M158" i="15"/>
  <c r="N158" i="15"/>
  <c r="M159" i="15"/>
  <c r="N159" i="15"/>
  <c r="M160" i="15"/>
  <c r="N160" i="15"/>
  <c r="M161" i="15"/>
  <c r="N161" i="15"/>
  <c r="M162" i="15"/>
  <c r="N162" i="15"/>
  <c r="M163" i="15"/>
  <c r="N163" i="15"/>
  <c r="M164" i="15"/>
  <c r="N164" i="15"/>
  <c r="M165" i="15"/>
  <c r="N165" i="15"/>
  <c r="M166" i="15"/>
  <c r="N166" i="15"/>
  <c r="M167" i="15"/>
  <c r="N167" i="15"/>
  <c r="M168" i="15"/>
  <c r="N168" i="15"/>
  <c r="M169" i="15"/>
  <c r="N169" i="15"/>
  <c r="M170" i="15"/>
  <c r="N170" i="15"/>
  <c r="M171" i="15"/>
  <c r="N171" i="15"/>
  <c r="M172" i="15"/>
  <c r="N172" i="15"/>
  <c r="M173" i="15"/>
  <c r="N173" i="15"/>
  <c r="M174" i="15"/>
  <c r="N174" i="15"/>
  <c r="M175" i="15"/>
  <c r="N175" i="15"/>
  <c r="M176" i="15"/>
  <c r="N176" i="15"/>
  <c r="M177" i="15"/>
  <c r="N177" i="15"/>
  <c r="M178" i="15"/>
  <c r="N178" i="15"/>
  <c r="M179" i="15"/>
  <c r="N179" i="15"/>
  <c r="M180" i="15"/>
  <c r="N180" i="15"/>
  <c r="M181" i="15"/>
  <c r="N181" i="15"/>
  <c r="M182" i="15"/>
  <c r="N182" i="15"/>
  <c r="M183" i="15"/>
  <c r="N183" i="15"/>
  <c r="M184" i="15"/>
  <c r="N184" i="15"/>
  <c r="M185" i="15"/>
  <c r="N185" i="15"/>
  <c r="M186" i="15"/>
  <c r="N186" i="15"/>
  <c r="M187" i="15"/>
  <c r="N187" i="15"/>
  <c r="M188" i="15"/>
  <c r="N188" i="15"/>
  <c r="M189" i="15"/>
  <c r="N189" i="15"/>
  <c r="M190" i="15"/>
  <c r="N190" i="15"/>
  <c r="M191" i="15"/>
  <c r="N191" i="15"/>
  <c r="M192" i="15"/>
  <c r="N192" i="15"/>
  <c r="M193" i="15"/>
  <c r="N193" i="15"/>
  <c r="M194" i="15"/>
  <c r="N194" i="15"/>
  <c r="M195" i="15"/>
  <c r="N195" i="15"/>
  <c r="M196" i="15"/>
  <c r="N196" i="15"/>
  <c r="M197" i="15"/>
  <c r="N197" i="15"/>
  <c r="M198" i="15"/>
  <c r="N198" i="15"/>
  <c r="M199" i="15"/>
  <c r="N199" i="15"/>
  <c r="M200" i="15"/>
  <c r="N200" i="15"/>
  <c r="M201" i="15"/>
  <c r="N201" i="15"/>
  <c r="M202" i="15"/>
  <c r="N202" i="15"/>
  <c r="M203" i="15"/>
  <c r="N203" i="15"/>
  <c r="M204" i="15"/>
  <c r="N204" i="15"/>
  <c r="M205" i="15"/>
  <c r="N205" i="15"/>
  <c r="M206" i="15"/>
  <c r="N206" i="15"/>
  <c r="M207" i="15"/>
  <c r="N207" i="15"/>
  <c r="M208" i="15"/>
  <c r="N208" i="15"/>
  <c r="M209" i="15"/>
  <c r="N209" i="15"/>
  <c r="M210" i="15"/>
  <c r="N210" i="15"/>
  <c r="M211" i="15"/>
  <c r="N211" i="15"/>
  <c r="M212" i="15"/>
  <c r="N212" i="15"/>
  <c r="M213" i="15"/>
  <c r="N213" i="15"/>
  <c r="M214" i="15"/>
  <c r="N214" i="15"/>
  <c r="M215" i="15"/>
  <c r="N215" i="15"/>
  <c r="M216" i="15"/>
  <c r="N216" i="15"/>
  <c r="M217" i="15"/>
  <c r="N217" i="15"/>
  <c r="M218" i="15"/>
  <c r="N218" i="15"/>
  <c r="M219" i="15"/>
  <c r="N219" i="15"/>
  <c r="M220" i="15"/>
  <c r="N220" i="15"/>
  <c r="M221" i="15"/>
  <c r="N221" i="15"/>
  <c r="M222" i="15"/>
  <c r="N222" i="15"/>
  <c r="M223" i="15"/>
  <c r="N223" i="15"/>
  <c r="M224" i="15"/>
  <c r="N224" i="15"/>
  <c r="M225" i="15"/>
  <c r="N225" i="15"/>
  <c r="M226" i="15"/>
  <c r="N226" i="15"/>
  <c r="M227" i="15"/>
  <c r="N227" i="15"/>
  <c r="M228" i="15"/>
  <c r="N228" i="15"/>
  <c r="M229" i="15"/>
  <c r="N229" i="15"/>
  <c r="M230" i="15"/>
  <c r="N230" i="15"/>
  <c r="M231" i="15"/>
  <c r="N231" i="15"/>
  <c r="M232" i="15"/>
  <c r="N232" i="15"/>
  <c r="M233" i="15"/>
  <c r="N233" i="15"/>
  <c r="M234" i="15"/>
  <c r="N234" i="15"/>
  <c r="M235" i="15"/>
  <c r="N235" i="15"/>
  <c r="M236" i="15"/>
  <c r="N236" i="15"/>
  <c r="M237" i="15"/>
  <c r="N237" i="15"/>
  <c r="M238" i="15"/>
  <c r="N238" i="15"/>
  <c r="M239" i="15"/>
  <c r="N239" i="15"/>
  <c r="M240" i="15"/>
  <c r="N240" i="15"/>
  <c r="M241" i="15"/>
  <c r="N241" i="15"/>
  <c r="M242" i="15"/>
  <c r="N242" i="15"/>
  <c r="M243" i="15"/>
  <c r="N243" i="15"/>
  <c r="M244" i="15"/>
  <c r="N244" i="15"/>
  <c r="M245" i="15"/>
  <c r="N245" i="15"/>
  <c r="M246" i="15"/>
  <c r="N246" i="15"/>
  <c r="M247" i="15"/>
  <c r="N247" i="15"/>
  <c r="M248" i="15"/>
  <c r="N248" i="15"/>
  <c r="M249" i="15"/>
  <c r="N249" i="15"/>
  <c r="M250" i="15"/>
  <c r="N250" i="15"/>
  <c r="M3" i="15"/>
  <c r="H13" i="16"/>
  <c r="H12" i="16"/>
  <c r="S2" i="15"/>
  <c r="S250" i="15"/>
  <c r="S248" i="15"/>
  <c r="S246" i="15"/>
  <c r="S244" i="15"/>
  <c r="S242" i="15"/>
  <c r="S240" i="15"/>
  <c r="S238" i="15"/>
  <c r="S236" i="15"/>
  <c r="S234" i="15"/>
  <c r="S232" i="15"/>
  <c r="S230" i="15"/>
  <c r="S228" i="15"/>
  <c r="S226" i="15"/>
  <c r="S224" i="15"/>
  <c r="S222" i="15"/>
  <c r="S220" i="15"/>
  <c r="S218" i="15"/>
  <c r="S216" i="15"/>
  <c r="S214" i="15"/>
  <c r="S212" i="15"/>
  <c r="S210" i="15"/>
  <c r="S208" i="15"/>
  <c r="S206" i="15"/>
  <c r="S204" i="15"/>
  <c r="S202" i="15"/>
  <c r="S200" i="15"/>
  <c r="S198" i="15"/>
  <c r="S196" i="15"/>
  <c r="S194" i="15"/>
  <c r="S192" i="15"/>
  <c r="S190" i="15"/>
  <c r="S188" i="15"/>
  <c r="S186" i="15"/>
  <c r="S184" i="15"/>
  <c r="S182" i="15"/>
  <c r="S180" i="15"/>
  <c r="S178" i="15"/>
  <c r="S176" i="15"/>
  <c r="S174" i="15"/>
  <c r="S172" i="15"/>
  <c r="S170" i="15"/>
  <c r="S168" i="15"/>
  <c r="S166" i="15"/>
  <c r="S164" i="15"/>
  <c r="S162" i="15"/>
  <c r="S160" i="15"/>
  <c r="S158" i="15"/>
  <c r="S156" i="15"/>
  <c r="S154" i="15"/>
  <c r="S152" i="15"/>
  <c r="S150" i="15"/>
  <c r="S148" i="15"/>
  <c r="S146" i="15"/>
  <c r="S144" i="15"/>
  <c r="S142" i="15"/>
  <c r="S140" i="15"/>
  <c r="S138" i="15"/>
  <c r="S136" i="15"/>
  <c r="S134" i="15"/>
  <c r="S132" i="15"/>
  <c r="S130" i="15"/>
  <c r="S128" i="15"/>
  <c r="S126" i="15"/>
  <c r="S124" i="15"/>
  <c r="S122" i="15"/>
  <c r="S120" i="15"/>
  <c r="S118" i="15"/>
  <c r="S116" i="15"/>
  <c r="S114" i="15"/>
  <c r="S112" i="15"/>
  <c r="S110" i="15"/>
  <c r="S108" i="15"/>
  <c r="S106" i="15"/>
  <c r="S104" i="15"/>
  <c r="S102" i="15"/>
  <c r="S100" i="15"/>
  <c r="S98" i="15"/>
  <c r="S96" i="15"/>
  <c r="S94" i="15"/>
  <c r="S92" i="15"/>
  <c r="S90" i="15"/>
  <c r="S88" i="15"/>
  <c r="S86" i="15"/>
  <c r="S84" i="15"/>
  <c r="S82" i="15"/>
  <c r="S80" i="15"/>
  <c r="Q2" i="15"/>
  <c r="S249" i="15"/>
  <c r="S247" i="15"/>
  <c r="S245" i="15"/>
  <c r="S243" i="15"/>
  <c r="S241" i="15"/>
  <c r="S239" i="15"/>
  <c r="S237" i="15"/>
  <c r="S235" i="15"/>
  <c r="S233" i="15"/>
  <c r="S231" i="15"/>
  <c r="S229" i="15"/>
  <c r="S227" i="15"/>
  <c r="S225" i="15"/>
  <c r="S223" i="15"/>
  <c r="S221" i="15"/>
  <c r="S219" i="15"/>
  <c r="S217" i="15"/>
  <c r="S215" i="15"/>
  <c r="S213" i="15"/>
  <c r="S211" i="15"/>
  <c r="S209" i="15"/>
  <c r="S207" i="15"/>
  <c r="S205" i="15"/>
  <c r="S203" i="15"/>
  <c r="S201" i="15"/>
  <c r="S199" i="15"/>
  <c r="S197" i="15"/>
  <c r="S195" i="15"/>
  <c r="S193" i="15"/>
  <c r="S191" i="15"/>
  <c r="S189" i="15"/>
  <c r="S187" i="15"/>
  <c r="S185" i="15"/>
  <c r="S183" i="15"/>
  <c r="S181" i="15"/>
  <c r="S179" i="15"/>
  <c r="S177" i="15"/>
  <c r="S175" i="15"/>
  <c r="S173" i="15"/>
  <c r="S171" i="15"/>
  <c r="S169" i="15"/>
  <c r="S167" i="15"/>
  <c r="S165" i="15"/>
  <c r="S163" i="15"/>
  <c r="S161" i="15"/>
  <c r="S159" i="15"/>
  <c r="S157" i="15"/>
  <c r="S155" i="15"/>
  <c r="S153" i="15"/>
  <c r="S151" i="15"/>
  <c r="S149" i="15"/>
  <c r="S147" i="15"/>
  <c r="S145" i="15"/>
  <c r="S143" i="15"/>
  <c r="S141" i="15"/>
  <c r="S139" i="15"/>
  <c r="S137" i="15"/>
  <c r="S135" i="15"/>
  <c r="S133" i="15"/>
  <c r="S131" i="15"/>
  <c r="S129" i="15"/>
  <c r="S127" i="15"/>
  <c r="S125" i="15"/>
  <c r="S123" i="15"/>
  <c r="S121" i="15"/>
  <c r="S119" i="15"/>
  <c r="S117" i="15"/>
  <c r="S115" i="15"/>
  <c r="S113" i="15"/>
  <c r="S111" i="15"/>
  <c r="S109" i="15"/>
  <c r="S107" i="15"/>
  <c r="S105" i="15"/>
  <c r="S103" i="15"/>
  <c r="S101" i="15"/>
  <c r="S99" i="15"/>
  <c r="S97" i="15"/>
  <c r="S95" i="15"/>
  <c r="S93" i="15"/>
  <c r="S91" i="15"/>
  <c r="S89" i="15"/>
  <c r="S87" i="15"/>
  <c r="S85" i="15"/>
  <c r="S83" i="15"/>
  <c r="S81" i="15"/>
  <c r="S79" i="15"/>
  <c r="S77" i="15"/>
  <c r="S75" i="15"/>
  <c r="S73" i="15"/>
  <c r="S71" i="15"/>
  <c r="S69" i="15"/>
  <c r="S67" i="15"/>
  <c r="S65" i="15"/>
  <c r="S63" i="15"/>
  <c r="S61" i="15"/>
  <c r="S59" i="15"/>
  <c r="S57" i="15"/>
  <c r="S55" i="15"/>
  <c r="S53" i="15"/>
  <c r="S51" i="15"/>
  <c r="S49" i="15"/>
  <c r="S47" i="15"/>
  <c r="S45" i="15"/>
  <c r="S43" i="15"/>
  <c r="S41" i="15"/>
  <c r="S39" i="15"/>
  <c r="S37" i="15"/>
  <c r="S35" i="15"/>
  <c r="S33" i="15"/>
  <c r="S31" i="15"/>
  <c r="S29" i="15"/>
  <c r="S27" i="15"/>
  <c r="S25" i="15"/>
  <c r="S23" i="15"/>
  <c r="S21" i="15"/>
  <c r="S19" i="15"/>
  <c r="S17" i="15"/>
  <c r="S15" i="15"/>
  <c r="S13" i="15"/>
  <c r="S11" i="15"/>
  <c r="S9" i="15"/>
  <c r="S7" i="15"/>
  <c r="S5" i="15"/>
  <c r="S3" i="15"/>
  <c r="S78" i="15"/>
  <c r="S76" i="15"/>
  <c r="S74" i="15"/>
  <c r="S72" i="15"/>
  <c r="S70" i="15"/>
  <c r="S68" i="15"/>
  <c r="S66" i="15"/>
  <c r="S64" i="15"/>
  <c r="S62" i="15"/>
  <c r="S60" i="15"/>
  <c r="S58" i="15"/>
  <c r="S56" i="15"/>
  <c r="S54" i="15"/>
  <c r="S52" i="15"/>
  <c r="S50" i="15"/>
  <c r="S48" i="15"/>
  <c r="S46" i="15"/>
  <c r="S44" i="15"/>
  <c r="S42" i="15"/>
  <c r="S40" i="15"/>
  <c r="S38" i="15"/>
  <c r="S36" i="15"/>
  <c r="S34" i="15"/>
  <c r="S32" i="15"/>
  <c r="S30" i="15"/>
  <c r="S28" i="15"/>
  <c r="S26" i="15"/>
  <c r="S24" i="15"/>
  <c r="S22" i="15"/>
  <c r="S20" i="15"/>
  <c r="S18" i="15"/>
  <c r="S16" i="15"/>
  <c r="S14" i="15"/>
  <c r="S12" i="15"/>
  <c r="S10" i="15"/>
  <c r="S8" i="15"/>
  <c r="S6" i="15"/>
  <c r="S4" i="15"/>
  <c r="Q89" i="15"/>
  <c r="Q250" i="15"/>
  <c r="Q248" i="15"/>
  <c r="Q246" i="15"/>
  <c r="Q244" i="15"/>
  <c r="Q242" i="15"/>
  <c r="Q240" i="15"/>
  <c r="Q238" i="15"/>
  <c r="Q236" i="15"/>
  <c r="Q234" i="15"/>
  <c r="Q232" i="15"/>
  <c r="Q230" i="15"/>
  <c r="Q228" i="15"/>
  <c r="Q226" i="15"/>
  <c r="Q224" i="15"/>
  <c r="Q222" i="15"/>
  <c r="Q220" i="15"/>
  <c r="Q218" i="15"/>
  <c r="Q216" i="15"/>
  <c r="Q214" i="15"/>
  <c r="Q212" i="15"/>
  <c r="Q210" i="15"/>
  <c r="Q208" i="15"/>
  <c r="Q206" i="15"/>
  <c r="Q204" i="15"/>
  <c r="Q202" i="15"/>
  <c r="Q200" i="15"/>
  <c r="Q198" i="15"/>
  <c r="Q196" i="15"/>
  <c r="Q194" i="15"/>
  <c r="Q192" i="15"/>
  <c r="Q190" i="15"/>
  <c r="Q188" i="15"/>
  <c r="Q186" i="15"/>
  <c r="Q184" i="15"/>
  <c r="Q182" i="15"/>
  <c r="Q180" i="15"/>
  <c r="Q178" i="15"/>
  <c r="Q176" i="15"/>
  <c r="Q174" i="15"/>
  <c r="Q172" i="15"/>
  <c r="Q169" i="15"/>
  <c r="Q165" i="15"/>
  <c r="Q161" i="15"/>
  <c r="Q157" i="15"/>
  <c r="Q153" i="15"/>
  <c r="Q149" i="15"/>
  <c r="Q145" i="15"/>
  <c r="Q141" i="15"/>
  <c r="Q137" i="15"/>
  <c r="Q133" i="15"/>
  <c r="Q129" i="15"/>
  <c r="Q125" i="15"/>
  <c r="Q121" i="15"/>
  <c r="Q117" i="15"/>
  <c r="Q113" i="15"/>
  <c r="Q109" i="15"/>
  <c r="Q105" i="15"/>
  <c r="Q101" i="15"/>
  <c r="Q97" i="15"/>
  <c r="Q93" i="15"/>
  <c r="Q4" i="15"/>
  <c r="Q6" i="15"/>
  <c r="Q8" i="15"/>
  <c r="Q10" i="15"/>
  <c r="Q12" i="15"/>
  <c r="Q14" i="15"/>
  <c r="Q16" i="15"/>
  <c r="Q18" i="15"/>
  <c r="Q20" i="15"/>
  <c r="Q22" i="15"/>
  <c r="Q24" i="15"/>
  <c r="Q26" i="15"/>
  <c r="Q28" i="15"/>
  <c r="Q30" i="15"/>
  <c r="Q32" i="15"/>
  <c r="Q34" i="15"/>
  <c r="Q36" i="15"/>
  <c r="Q38" i="15"/>
  <c r="Q40" i="15"/>
  <c r="Q42" i="15"/>
  <c r="Q44" i="15"/>
  <c r="Q46" i="15"/>
  <c r="Q48" i="15"/>
  <c r="Q50" i="15"/>
  <c r="Q52" i="15"/>
  <c r="Q54" i="15"/>
  <c r="Q56" i="15"/>
  <c r="Q58" i="15"/>
  <c r="Q60" i="15"/>
  <c r="Q62" i="15"/>
  <c r="Q64" i="15"/>
  <c r="Q66" i="15"/>
  <c r="Q68" i="15"/>
  <c r="Q70" i="15"/>
  <c r="Q72" i="15"/>
  <c r="Q74" i="15"/>
  <c r="Q76" i="15"/>
  <c r="Q78" i="15"/>
  <c r="Q80" i="15"/>
  <c r="Q82" i="15"/>
  <c r="Q84" i="15"/>
  <c r="Q86" i="15"/>
  <c r="Q88" i="15"/>
  <c r="Q90" i="15"/>
  <c r="Q92" i="15"/>
  <c r="Q94" i="15"/>
  <c r="Q96" i="15"/>
  <c r="Q98" i="15"/>
  <c r="Q100" i="15"/>
  <c r="Q102" i="15"/>
  <c r="Q104" i="15"/>
  <c r="Q106" i="15"/>
  <c r="Q108" i="15"/>
  <c r="Q110" i="15"/>
  <c r="Q112" i="15"/>
  <c r="Q114" i="15"/>
  <c r="Q116" i="15"/>
  <c r="Q118" i="15"/>
  <c r="Q120" i="15"/>
  <c r="Q122" i="15"/>
  <c r="Q124" i="15"/>
  <c r="Q126" i="15"/>
  <c r="Q128" i="15"/>
  <c r="Q130" i="15"/>
  <c r="Q132" i="15"/>
  <c r="Q134" i="15"/>
  <c r="Q136" i="15"/>
  <c r="Q138" i="15"/>
  <c r="Q140" i="15"/>
  <c r="Q142" i="15"/>
  <c r="Q144" i="15"/>
  <c r="Q146" i="15"/>
  <c r="Q148" i="15"/>
  <c r="Q150" i="15"/>
  <c r="Q152" i="15"/>
  <c r="Q154" i="15"/>
  <c r="Q156" i="15"/>
  <c r="Q158" i="15"/>
  <c r="Q160" i="15"/>
  <c r="Q162" i="15"/>
  <c r="Q164" i="15"/>
  <c r="Q166" i="15"/>
  <c r="Q168" i="15"/>
  <c r="Q170" i="15"/>
  <c r="Q3" i="15"/>
  <c r="Q5" i="15"/>
  <c r="Q7" i="15"/>
  <c r="Q9" i="15"/>
  <c r="Q11" i="15"/>
  <c r="Q13" i="15"/>
  <c r="Q15" i="15"/>
  <c r="Q17" i="15"/>
  <c r="Q19" i="15"/>
  <c r="Q21" i="15"/>
  <c r="Q23" i="15"/>
  <c r="Q25" i="15"/>
  <c r="Q27" i="15"/>
  <c r="Q29" i="15"/>
  <c r="Q31" i="15"/>
  <c r="Q33" i="15"/>
  <c r="Q35" i="15"/>
  <c r="Q37" i="15"/>
  <c r="Q39" i="15"/>
  <c r="Q41" i="15"/>
  <c r="Q43" i="15"/>
  <c r="Q45" i="15"/>
  <c r="Q47" i="15"/>
  <c r="Q49" i="15"/>
  <c r="Q51" i="15"/>
  <c r="Q53" i="15"/>
  <c r="Q55" i="15"/>
  <c r="Q57" i="15"/>
  <c r="Q59" i="15"/>
  <c r="Q61" i="15"/>
  <c r="Q63" i="15"/>
  <c r="Q65" i="15"/>
  <c r="Q67" i="15"/>
  <c r="Q69" i="15"/>
  <c r="Q71" i="15"/>
  <c r="Q73" i="15"/>
  <c r="Q75" i="15"/>
  <c r="Q77" i="15"/>
  <c r="Q79" i="15"/>
  <c r="Q81" i="15"/>
  <c r="Q83" i="15"/>
  <c r="Q85" i="15"/>
  <c r="Q249" i="15"/>
  <c r="Q247" i="15"/>
  <c r="Q245" i="15"/>
  <c r="Q243" i="15"/>
  <c r="Q241" i="15"/>
  <c r="Q239" i="15"/>
  <c r="Q237" i="15"/>
  <c r="Q235" i="15"/>
  <c r="Q233" i="15"/>
  <c r="Q231" i="15"/>
  <c r="Q229" i="15"/>
  <c r="Q227" i="15"/>
  <c r="Q225" i="15"/>
  <c r="Q223" i="15"/>
  <c r="Q221" i="15"/>
  <c r="Q219" i="15"/>
  <c r="Q217" i="15"/>
  <c r="Q215" i="15"/>
  <c r="Q213" i="15"/>
  <c r="Q211" i="15"/>
  <c r="Q209" i="15"/>
  <c r="Q207" i="15"/>
  <c r="Q205" i="15"/>
  <c r="Q203" i="15"/>
  <c r="Q201" i="15"/>
  <c r="Q199" i="15"/>
  <c r="Q197" i="15"/>
  <c r="Q195" i="15"/>
  <c r="Q193" i="15"/>
  <c r="Q191" i="15"/>
  <c r="Q189" i="15"/>
  <c r="Q187" i="15"/>
  <c r="Q185" i="15"/>
  <c r="Q183" i="15"/>
  <c r="Q181" i="15"/>
  <c r="Q179" i="15"/>
  <c r="Q177" i="15"/>
  <c r="Q175" i="15"/>
  <c r="Q173" i="15"/>
  <c r="Q171" i="15"/>
  <c r="Q167" i="15"/>
  <c r="Q163" i="15"/>
  <c r="Q159" i="15"/>
  <c r="Q155" i="15"/>
  <c r="Q151" i="15"/>
  <c r="Q147" i="15"/>
  <c r="Q143" i="15"/>
  <c r="Q139" i="15"/>
  <c r="Q135" i="15"/>
  <c r="Q131" i="15"/>
  <c r="Q127" i="15"/>
  <c r="Q123" i="15"/>
  <c r="Q119" i="15"/>
  <c r="Q115" i="15"/>
  <c r="Q111" i="15"/>
  <c r="Q107" i="15"/>
  <c r="Q103" i="15"/>
  <c r="Q99" i="15"/>
  <c r="Q95" i="15"/>
  <c r="Q91" i="15"/>
  <c r="Q87" i="15"/>
  <c r="L3" i="15"/>
  <c r="L4" i="15"/>
  <c r="L5" i="15"/>
  <c r="L6" i="15"/>
  <c r="L7" i="15"/>
  <c r="L8" i="15"/>
  <c r="L9" i="15"/>
  <c r="L10" i="15"/>
  <c r="L11" i="15"/>
  <c r="L12" i="15"/>
  <c r="L13" i="15"/>
  <c r="L14" i="15"/>
  <c r="C6" i="16"/>
  <c r="K6" i="15"/>
  <c r="M6" i="15"/>
  <c r="K7" i="15"/>
  <c r="M8" i="15"/>
  <c r="K9" i="15"/>
  <c r="M9" i="15"/>
  <c r="N9" i="15"/>
  <c r="K10" i="15"/>
  <c r="M10" i="15"/>
  <c r="N10" i="15"/>
  <c r="M2" i="15"/>
  <c r="L2" i="15"/>
  <c r="H4" i="16"/>
  <c r="H3" i="16"/>
  <c r="H7" i="16"/>
  <c r="H6" i="16"/>
  <c r="N8" i="15"/>
  <c r="L137" i="15"/>
  <c r="L138" i="15"/>
  <c r="L139" i="15"/>
  <c r="L140" i="15"/>
  <c r="L141" i="15"/>
  <c r="L142" i="15"/>
  <c r="L143" i="15"/>
  <c r="K33" i="15"/>
  <c r="M33" i="15"/>
  <c r="N33" i="15"/>
  <c r="L33" i="15"/>
  <c r="K31" i="15"/>
  <c r="M31" i="15"/>
  <c r="N31" i="15"/>
  <c r="L31" i="15"/>
  <c r="K32" i="15"/>
  <c r="M32" i="15"/>
  <c r="N32" i="15"/>
  <c r="L32" i="15"/>
  <c r="K35" i="15"/>
  <c r="M35" i="15"/>
  <c r="N35" i="15"/>
  <c r="L35" i="15"/>
  <c r="K34" i="15"/>
  <c r="M34" i="15"/>
  <c r="N34" i="15"/>
  <c r="L34" i="15"/>
  <c r="K38" i="15"/>
  <c r="M38" i="15"/>
  <c r="N38" i="15"/>
  <c r="L38" i="15"/>
  <c r="K36" i="15"/>
  <c r="M36" i="15"/>
  <c r="N36" i="15"/>
  <c r="L36" i="15"/>
  <c r="K42" i="15"/>
  <c r="M42" i="15"/>
  <c r="N42" i="15"/>
  <c r="L42" i="15"/>
  <c r="K40" i="15"/>
  <c r="M40" i="15"/>
  <c r="N40" i="15"/>
  <c r="L40" i="15"/>
  <c r="K46" i="15"/>
  <c r="M46" i="15"/>
  <c r="N46" i="15"/>
  <c r="L46" i="15"/>
  <c r="K72" i="15"/>
  <c r="M72" i="15"/>
  <c r="N72" i="15"/>
  <c r="L72" i="15"/>
  <c r="K73" i="15"/>
  <c r="M73" i="15"/>
  <c r="N73" i="15"/>
  <c r="L73" i="15"/>
  <c r="K76" i="15"/>
  <c r="M76" i="15"/>
  <c r="N76" i="15"/>
  <c r="L76" i="15"/>
  <c r="K78" i="15"/>
  <c r="M78" i="15"/>
  <c r="N78" i="15"/>
  <c r="L78" i="15"/>
  <c r="K79" i="15"/>
  <c r="M79" i="15"/>
  <c r="N79" i="15"/>
  <c r="L79" i="15"/>
  <c r="K80" i="15"/>
  <c r="M80" i="15"/>
  <c r="N80" i="15"/>
  <c r="L80" i="15"/>
  <c r="K82" i="15"/>
  <c r="M82" i="15"/>
  <c r="N82" i="15"/>
  <c r="L82" i="15"/>
  <c r="K85" i="15"/>
  <c r="M85" i="15"/>
  <c r="N85" i="15"/>
  <c r="L85" i="15"/>
  <c r="K87" i="15"/>
  <c r="M87" i="15"/>
  <c r="N87" i="15"/>
  <c r="L87" i="15"/>
  <c r="K89" i="15"/>
  <c r="M89" i="15"/>
  <c r="N89" i="15"/>
  <c r="L89" i="15"/>
  <c r="M129" i="15"/>
  <c r="N129" i="15"/>
  <c r="K129" i="15"/>
  <c r="C88" i="16"/>
  <c r="K135" i="15"/>
  <c r="L123" i="15"/>
  <c r="M123" i="15"/>
  <c r="N123" i="15"/>
  <c r="K123" i="15"/>
  <c r="L108" i="15"/>
  <c r="M108" i="15"/>
  <c r="N108" i="15"/>
  <c r="K108" i="15"/>
  <c r="L75" i="15"/>
  <c r="M75" i="15"/>
  <c r="N75" i="15"/>
  <c r="K75" i="15"/>
  <c r="K12" i="15"/>
  <c r="K14" i="15"/>
  <c r="K88" i="15"/>
  <c r="K143" i="15"/>
  <c r="L135" i="15"/>
  <c r="M135" i="15"/>
  <c r="N135" i="15"/>
  <c r="L64" i="15"/>
  <c r="M12" i="15"/>
  <c r="N12" i="15"/>
  <c r="L88" i="15"/>
  <c r="M88" i="15"/>
  <c r="N88" i="15"/>
  <c r="M143" i="15"/>
  <c r="N143" i="15"/>
  <c r="M82" i="16"/>
  <c r="M81" i="16"/>
  <c r="J82" i="16"/>
  <c r="J81" i="16"/>
  <c r="G82" i="16"/>
  <c r="G81" i="16"/>
  <c r="D82" i="16"/>
  <c r="D81" i="16"/>
  <c r="M140" i="15"/>
  <c r="N140" i="15"/>
  <c r="K140" i="15"/>
  <c r="M139" i="15"/>
  <c r="N139" i="15"/>
  <c r="K139" i="15"/>
  <c r="K132" i="15"/>
  <c r="M132" i="15"/>
  <c r="N132" i="15"/>
  <c r="L99" i="15"/>
  <c r="M99" i="15"/>
  <c r="N99" i="15"/>
  <c r="K99" i="15"/>
  <c r="M53" i="15"/>
  <c r="N53" i="15"/>
  <c r="M55" i="15"/>
  <c r="N55" i="15"/>
  <c r="M60" i="15"/>
  <c r="N60" i="15"/>
  <c r="K60" i="15"/>
  <c r="M65" i="15"/>
  <c r="N65" i="15"/>
  <c r="M83" i="15"/>
  <c r="N83" i="15"/>
  <c r="M92" i="15"/>
  <c r="N92" i="15"/>
  <c r="M97" i="15"/>
  <c r="N97" i="15"/>
  <c r="M104" i="15"/>
  <c r="N104" i="15"/>
  <c r="M138" i="15"/>
  <c r="N138" i="15"/>
  <c r="M130" i="15"/>
  <c r="N130" i="15"/>
  <c r="M131" i="15"/>
  <c r="N131" i="15"/>
  <c r="M136" i="15"/>
  <c r="N136" i="15"/>
  <c r="M122" i="15"/>
  <c r="N122" i="15"/>
  <c r="M141" i="15"/>
  <c r="N141" i="15"/>
  <c r="M37" i="15"/>
  <c r="N37" i="15"/>
  <c r="M44" i="15"/>
  <c r="N44" i="15"/>
  <c r="M51" i="15"/>
  <c r="N51" i="15"/>
  <c r="M54" i="15"/>
  <c r="N54" i="15"/>
  <c r="M56" i="15"/>
  <c r="N56" i="15"/>
  <c r="M63" i="15"/>
  <c r="N63" i="15"/>
  <c r="M69" i="15"/>
  <c r="N69" i="15"/>
  <c r="M81" i="15"/>
  <c r="N81" i="15"/>
  <c r="M21" i="15"/>
  <c r="N21" i="15"/>
  <c r="M11" i="15"/>
  <c r="M14" i="15"/>
  <c r="N14" i="15"/>
  <c r="M15" i="15"/>
  <c r="N15" i="15"/>
  <c r="M17" i="15"/>
  <c r="N17" i="15"/>
  <c r="M19" i="15"/>
  <c r="N19" i="15"/>
  <c r="M23" i="15"/>
  <c r="N23" i="15"/>
  <c r="M25" i="15"/>
  <c r="N25" i="15"/>
  <c r="M26" i="15"/>
  <c r="N26" i="15"/>
  <c r="M29" i="15"/>
  <c r="N29" i="15"/>
  <c r="M41" i="15"/>
  <c r="N41" i="15"/>
  <c r="M43" i="15"/>
  <c r="N43" i="15"/>
  <c r="K53" i="15"/>
  <c r="K55" i="15"/>
  <c r="K65" i="15"/>
  <c r="K83" i="15"/>
  <c r="K92" i="15"/>
  <c r="K97" i="15"/>
  <c r="K104" i="15"/>
  <c r="K138" i="15"/>
  <c r="K130" i="15"/>
  <c r="K131" i="15"/>
  <c r="K136" i="15"/>
  <c r="K122" i="15"/>
  <c r="K141" i="15"/>
  <c r="K37" i="15"/>
  <c r="K44" i="15"/>
  <c r="K51" i="15"/>
  <c r="K54" i="15"/>
  <c r="K56" i="15"/>
  <c r="K63" i="15"/>
  <c r="K69" i="15"/>
  <c r="K81" i="15"/>
  <c r="K21" i="15"/>
  <c r="K11" i="15"/>
  <c r="K15" i="15"/>
  <c r="K17" i="15"/>
  <c r="K19" i="15"/>
  <c r="K23" i="15"/>
  <c r="K25" i="15"/>
  <c r="K26" i="15"/>
  <c r="K29" i="15"/>
  <c r="K41" i="15"/>
  <c r="K43" i="15"/>
  <c r="M59" i="15"/>
  <c r="N59" i="15"/>
  <c r="M64" i="15"/>
  <c r="N64" i="15"/>
  <c r="M71" i="15"/>
  <c r="N71" i="15"/>
  <c r="M84" i="15"/>
  <c r="N84" i="15"/>
  <c r="M86" i="15"/>
  <c r="N86" i="15"/>
  <c r="M100" i="15"/>
  <c r="N100" i="15"/>
  <c r="M105" i="15"/>
  <c r="N105" i="15"/>
  <c r="M27" i="15"/>
  <c r="N27" i="15"/>
  <c r="M107" i="15"/>
  <c r="N107" i="15"/>
  <c r="M112" i="15"/>
  <c r="N112" i="15"/>
  <c r="M118" i="15"/>
  <c r="N118" i="15"/>
  <c r="M121" i="15"/>
  <c r="N121" i="15"/>
  <c r="M124" i="15"/>
  <c r="N124" i="15"/>
  <c r="M49" i="15"/>
  <c r="N49" i="15"/>
  <c r="M52" i="15"/>
  <c r="N52" i="15"/>
  <c r="M66" i="15"/>
  <c r="N66" i="15"/>
  <c r="M90" i="15"/>
  <c r="N90" i="15"/>
  <c r="M91" i="15"/>
  <c r="N91" i="15"/>
  <c r="M95" i="15"/>
  <c r="N95" i="15"/>
  <c r="M96" i="15"/>
  <c r="N96" i="15"/>
  <c r="M109" i="15"/>
  <c r="N109" i="15"/>
  <c r="M113" i="15"/>
  <c r="N113" i="15"/>
  <c r="M116" i="15"/>
  <c r="N116" i="15"/>
  <c r="M126" i="15"/>
  <c r="N126" i="15"/>
  <c r="M137" i="15"/>
  <c r="N137" i="15"/>
  <c r="M128" i="15"/>
  <c r="N128" i="15"/>
  <c r="M142" i="15"/>
  <c r="N142" i="15"/>
  <c r="M24" i="15"/>
  <c r="N24" i="15"/>
  <c r="M28" i="15"/>
  <c r="N28" i="15"/>
  <c r="M47" i="15"/>
  <c r="N47" i="15"/>
  <c r="M39" i="15"/>
  <c r="N39" i="15"/>
  <c r="M48" i="15"/>
  <c r="N48" i="15"/>
  <c r="M50" i="15"/>
  <c r="N50" i="15"/>
  <c r="M57" i="15"/>
  <c r="N57" i="15"/>
  <c r="M68" i="15"/>
  <c r="N68" i="15"/>
  <c r="M93" i="15"/>
  <c r="N93" i="15"/>
  <c r="M101" i="15"/>
  <c r="N101" i="15"/>
  <c r="M106" i="15"/>
  <c r="N106" i="15"/>
  <c r="M117" i="15"/>
  <c r="N117" i="15"/>
  <c r="M125" i="15"/>
  <c r="N125" i="15"/>
  <c r="M133" i="15"/>
  <c r="N133" i="15"/>
  <c r="M13" i="15"/>
  <c r="N13" i="15"/>
  <c r="M16" i="15"/>
  <c r="N16" i="15"/>
  <c r="M18" i="15"/>
  <c r="N18" i="15"/>
  <c r="M20" i="15"/>
  <c r="N20" i="15"/>
  <c r="M22" i="15"/>
  <c r="N22" i="15"/>
  <c r="M30" i="15"/>
  <c r="N30" i="15"/>
  <c r="M45" i="15"/>
  <c r="N45" i="15"/>
  <c r="M62" i="15"/>
  <c r="N62" i="15"/>
  <c r="M67" i="15"/>
  <c r="N67" i="15"/>
  <c r="M70" i="15"/>
  <c r="N70" i="15"/>
  <c r="M74" i="15"/>
  <c r="N74" i="15"/>
  <c r="M102" i="15"/>
  <c r="N102" i="15"/>
  <c r="M103" i="15"/>
  <c r="N103" i="15"/>
  <c r="M110" i="15"/>
  <c r="N110" i="15"/>
  <c r="M115" i="15"/>
  <c r="N115" i="15"/>
  <c r="M61" i="15"/>
  <c r="N61" i="15"/>
  <c r="M58" i="15"/>
  <c r="N58" i="15"/>
  <c r="M77" i="15"/>
  <c r="N77" i="15"/>
  <c r="M98" i="15"/>
  <c r="N98" i="15"/>
  <c r="M94" i="15"/>
  <c r="N94" i="15"/>
  <c r="M127" i="15"/>
  <c r="N127" i="15"/>
  <c r="M114" i="15"/>
  <c r="N114" i="15"/>
  <c r="M111" i="15"/>
  <c r="N111" i="15"/>
  <c r="M119" i="15"/>
  <c r="N119" i="15"/>
  <c r="M120" i="15"/>
  <c r="N120" i="15"/>
  <c r="M134" i="15"/>
  <c r="N134" i="15"/>
  <c r="K59" i="15"/>
  <c r="K64" i="15"/>
  <c r="K71" i="15"/>
  <c r="K84" i="15"/>
  <c r="K86" i="15"/>
  <c r="K100" i="15"/>
  <c r="K105" i="15"/>
  <c r="K27" i="15"/>
  <c r="K107" i="15"/>
  <c r="K112" i="15"/>
  <c r="K118" i="15"/>
  <c r="K121" i="15"/>
  <c r="K124" i="15"/>
  <c r="K49" i="15"/>
  <c r="K52" i="15"/>
  <c r="K66" i="15"/>
  <c r="K90" i="15"/>
  <c r="K91" i="15"/>
  <c r="K95" i="15"/>
  <c r="K96" i="15"/>
  <c r="K109" i="15"/>
  <c r="K113" i="15"/>
  <c r="K116" i="15"/>
  <c r="K126" i="15"/>
  <c r="K137" i="15"/>
  <c r="K128" i="15"/>
  <c r="K142" i="15"/>
  <c r="K24" i="15"/>
  <c r="K28" i="15"/>
  <c r="K47" i="15"/>
  <c r="K39" i="15"/>
  <c r="K48" i="15"/>
  <c r="K50" i="15"/>
  <c r="K57" i="15"/>
  <c r="K68" i="15"/>
  <c r="K93" i="15"/>
  <c r="K101" i="15"/>
  <c r="K106" i="15"/>
  <c r="K117" i="15"/>
  <c r="K125" i="15"/>
  <c r="K133" i="15"/>
  <c r="K13" i="15"/>
  <c r="K16" i="15"/>
  <c r="K18" i="15"/>
  <c r="K20" i="15"/>
  <c r="K22" i="15"/>
  <c r="K30" i="15"/>
  <c r="K45" i="15"/>
  <c r="K62" i="15"/>
  <c r="K67" i="15"/>
  <c r="K70" i="15"/>
  <c r="K74" i="15"/>
  <c r="K102" i="15"/>
  <c r="K103" i="15"/>
  <c r="K110" i="15"/>
  <c r="K115" i="15"/>
  <c r="K61" i="15"/>
  <c r="K58" i="15"/>
  <c r="K77" i="15"/>
  <c r="K98" i="15"/>
  <c r="K94" i="15"/>
  <c r="K127" i="15"/>
  <c r="K114" i="15"/>
  <c r="K111" i="15"/>
  <c r="K119" i="15"/>
  <c r="K120" i="15"/>
  <c r="K134"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L55" i="15"/>
  <c r="L60" i="15"/>
  <c r="L53" i="15"/>
  <c r="L65" i="15"/>
  <c r="L92" i="15"/>
  <c r="D88" i="16"/>
  <c r="C89" i="16"/>
  <c r="C90" i="16"/>
  <c r="C96" i="16"/>
  <c r="C95" i="16"/>
  <c r="C93" i="16"/>
  <c r="C92" i="16"/>
  <c r="C91" i="16"/>
  <c r="L83" i="15"/>
  <c r="L104" i="15"/>
  <c r="L97" i="15"/>
  <c r="L130" i="15"/>
  <c r="L131" i="15"/>
  <c r="L136" i="15"/>
  <c r="L122" i="15"/>
  <c r="L37" i="15"/>
  <c r="L44" i="15"/>
  <c r="L51" i="15"/>
  <c r="L54" i="15"/>
  <c r="L56" i="15"/>
  <c r="L63" i="15"/>
  <c r="L69" i="15"/>
  <c r="L81" i="15"/>
  <c r="L21" i="15"/>
  <c r="L15" i="15"/>
  <c r="L17" i="15"/>
  <c r="L19" i="15"/>
  <c r="L23" i="15"/>
  <c r="L25" i="15"/>
  <c r="L26" i="15"/>
  <c r="L29" i="15"/>
  <c r="L41" i="15"/>
  <c r="L43" i="15"/>
  <c r="L59" i="15"/>
  <c r="L71" i="15"/>
  <c r="L84" i="15"/>
  <c r="L86" i="15"/>
  <c r="L100" i="15"/>
  <c r="L105" i="15"/>
  <c r="L27" i="15"/>
  <c r="L107" i="15"/>
  <c r="L112" i="15"/>
  <c r="L118" i="15"/>
  <c r="L121" i="15"/>
  <c r="L124" i="15"/>
  <c r="L129" i="15"/>
  <c r="L132" i="15"/>
  <c r="L49" i="15"/>
  <c r="L52" i="15"/>
  <c r="L66" i="15"/>
  <c r="L90" i="15"/>
  <c r="L91" i="15"/>
  <c r="L95" i="15"/>
  <c r="L96" i="15"/>
  <c r="L109" i="15"/>
  <c r="L113" i="15"/>
  <c r="L116" i="15"/>
  <c r="L126" i="15"/>
  <c r="L128" i="15"/>
  <c r="L24" i="15"/>
  <c r="L28" i="15"/>
  <c r="L47" i="15"/>
  <c r="L39" i="15"/>
  <c r="L48" i="15"/>
  <c r="L50" i="15"/>
  <c r="L57" i="15"/>
  <c r="L68" i="15"/>
  <c r="L93" i="15"/>
  <c r="L101" i="15"/>
  <c r="L106" i="15"/>
  <c r="L117" i="15"/>
  <c r="L125" i="15"/>
  <c r="L133" i="15"/>
  <c r="L16" i="15"/>
  <c r="L18" i="15"/>
  <c r="L20" i="15"/>
  <c r="L22" i="15"/>
  <c r="L30" i="15"/>
  <c r="L45" i="15"/>
  <c r="L62" i="15"/>
  <c r="L67" i="15"/>
  <c r="L70" i="15"/>
  <c r="L74" i="15"/>
  <c r="L102" i="15"/>
  <c r="L103" i="15"/>
  <c r="L110" i="15"/>
  <c r="L115" i="15"/>
  <c r="L61" i="15"/>
  <c r="L58" i="15"/>
  <c r="L77" i="15"/>
  <c r="L98" i="15"/>
  <c r="L94" i="15"/>
  <c r="L127" i="15"/>
  <c r="L114" i="15"/>
  <c r="L111" i="15"/>
  <c r="L119" i="15"/>
  <c r="L120" i="15"/>
  <c r="L134" i="15"/>
  <c r="G39" i="16"/>
  <c r="C39" i="16"/>
  <c r="F39" i="16"/>
  <c r="D43" i="16"/>
  <c r="D39" i="16"/>
  <c r="D96" i="16"/>
  <c r="D95" i="16"/>
  <c r="D93" i="16"/>
  <c r="D92" i="16"/>
  <c r="D91" i="16"/>
  <c r="D90" i="16"/>
  <c r="D89" i="16"/>
  <c r="G43" i="16"/>
  <c r="F43" i="16"/>
  <c r="C43" i="16"/>
  <c r="D6" i="16"/>
  <c r="D40" i="16"/>
  <c r="F6" i="16"/>
  <c r="F42" i="16"/>
  <c r="G42" i="16"/>
  <c r="G8" i="16"/>
  <c r="D28" i="16"/>
  <c r="F19" i="16"/>
  <c r="F7" i="16"/>
  <c r="D19" i="16"/>
  <c r="F25" i="16"/>
  <c r="D29" i="16"/>
  <c r="D26" i="16"/>
  <c r="C29" i="16"/>
  <c r="G26" i="16"/>
  <c r="G20" i="16"/>
  <c r="C7" i="16"/>
  <c r="G7" i="16"/>
  <c r="D8" i="16"/>
  <c r="O134" i="15"/>
  <c r="O120" i="15"/>
  <c r="O111" i="15"/>
  <c r="O127" i="15"/>
  <c r="O98" i="15"/>
  <c r="O58" i="15"/>
  <c r="O115" i="15"/>
  <c r="O103" i="15"/>
  <c r="O74" i="15"/>
  <c r="O67" i="15"/>
  <c r="O45" i="15"/>
  <c r="O22" i="15"/>
  <c r="O18" i="15"/>
  <c r="O13" i="15"/>
  <c r="O125" i="15"/>
  <c r="O106" i="15"/>
  <c r="O93" i="15"/>
  <c r="O57" i="15"/>
  <c r="O48" i="15"/>
  <c r="O47" i="15"/>
  <c r="O24" i="15"/>
  <c r="O128" i="15"/>
  <c r="O126" i="15"/>
  <c r="O113" i="15"/>
  <c r="O96" i="15"/>
  <c r="O91" i="15"/>
  <c r="O66" i="15"/>
  <c r="O49" i="15"/>
  <c r="O121" i="15"/>
  <c r="O112" i="15"/>
  <c r="O27" i="15"/>
  <c r="O100" i="15"/>
  <c r="O84" i="15"/>
  <c r="O64" i="15"/>
  <c r="O43" i="15"/>
  <c r="O29" i="15"/>
  <c r="O25" i="15"/>
  <c r="O19" i="15"/>
  <c r="O15" i="15"/>
  <c r="O11" i="15"/>
  <c r="O151" i="15"/>
  <c r="O150" i="15"/>
  <c r="O158" i="15"/>
  <c r="O166" i="15"/>
  <c r="O247" i="15"/>
  <c r="O239" i="15"/>
  <c r="O231" i="15"/>
  <c r="O149" i="15"/>
  <c r="O144" i="15"/>
  <c r="O152" i="15"/>
  <c r="O160" i="15"/>
  <c r="O168" i="15"/>
  <c r="O245" i="15"/>
  <c r="O237" i="15"/>
  <c r="O229" i="15"/>
  <c r="O221" i="15"/>
  <c r="O213" i="15"/>
  <c r="O9" i="15"/>
  <c r="O7" i="15"/>
  <c r="O153" i="15"/>
  <c r="O169" i="15"/>
  <c r="O178" i="15"/>
  <c r="O186" i="15"/>
  <c r="O194" i="15"/>
  <c r="O202" i="15"/>
  <c r="O210" i="15"/>
  <c r="O218" i="15"/>
  <c r="O226" i="15"/>
  <c r="O234" i="15"/>
  <c r="O242" i="15"/>
  <c r="O250" i="15"/>
  <c r="O167" i="15"/>
  <c r="O177" i="15"/>
  <c r="O185" i="15"/>
  <c r="O193" i="15"/>
  <c r="O201" i="15"/>
  <c r="O209" i="15"/>
  <c r="O223" i="15"/>
  <c r="O165" i="15"/>
  <c r="O176" i="15"/>
  <c r="O184" i="15"/>
  <c r="O192" i="15"/>
  <c r="O200" i="15"/>
  <c r="O208" i="15"/>
  <c r="O216" i="15"/>
  <c r="O224" i="15"/>
  <c r="O232" i="15"/>
  <c r="O240" i="15"/>
  <c r="O248" i="15"/>
  <c r="O163" i="15"/>
  <c r="O175" i="15"/>
  <c r="O183" i="15"/>
  <c r="O191" i="15"/>
  <c r="O199" i="15"/>
  <c r="O207" i="15"/>
  <c r="O219" i="15"/>
  <c r="O147" i="15"/>
  <c r="O146" i="15"/>
  <c r="O154" i="15"/>
  <c r="O162" i="15"/>
  <c r="O170" i="15"/>
  <c r="O243" i="15"/>
  <c r="O235" i="15"/>
  <c r="O145" i="15"/>
  <c r="O148" i="15"/>
  <c r="O156" i="15"/>
  <c r="O164" i="15"/>
  <c r="O249" i="15"/>
  <c r="O241" i="15"/>
  <c r="O233" i="15"/>
  <c r="O225" i="15"/>
  <c r="O217" i="15"/>
  <c r="O10" i="15"/>
  <c r="O8" i="15"/>
  <c r="O6" i="15"/>
  <c r="O161" i="15"/>
  <c r="O174" i="15"/>
  <c r="O182" i="15"/>
  <c r="O190" i="15"/>
  <c r="O198" i="15"/>
  <c r="O206" i="15"/>
  <c r="O214" i="15"/>
  <c r="O222" i="15"/>
  <c r="O230" i="15"/>
  <c r="O238" i="15"/>
  <c r="O246" i="15"/>
  <c r="O159" i="15"/>
  <c r="O173" i="15"/>
  <c r="O181" i="15"/>
  <c r="O189" i="15"/>
  <c r="O197" i="15"/>
  <c r="O205" i="15"/>
  <c r="O215" i="15"/>
  <c r="O157" i="15"/>
  <c r="O172" i="15"/>
  <c r="O180" i="15"/>
  <c r="O188" i="15"/>
  <c r="O196" i="15"/>
  <c r="O204" i="15"/>
  <c r="O212" i="15"/>
  <c r="O220" i="15"/>
  <c r="O228" i="15"/>
  <c r="O236" i="15"/>
  <c r="O244" i="15"/>
  <c r="O155" i="15"/>
  <c r="O171" i="15"/>
  <c r="O179" i="15"/>
  <c r="O187" i="15"/>
  <c r="O195" i="15"/>
  <c r="O203" i="15"/>
  <c r="O211" i="15"/>
  <c r="O227" i="15"/>
  <c r="O81" i="15"/>
  <c r="O63" i="15"/>
  <c r="O54" i="15"/>
  <c r="O44" i="15"/>
  <c r="O141" i="15"/>
  <c r="O136" i="15"/>
  <c r="O130" i="15"/>
  <c r="O104" i="15"/>
  <c r="O92" i="15"/>
  <c r="O65" i="15"/>
  <c r="O60" i="15"/>
  <c r="O53" i="15"/>
  <c r="O99" i="15"/>
  <c r="O132" i="15"/>
  <c r="O143" i="15"/>
  <c r="O75" i="15"/>
  <c r="O123" i="15"/>
  <c r="O87" i="15"/>
  <c r="O82" i="15"/>
  <c r="O79" i="15"/>
  <c r="O76" i="15"/>
  <c r="O72" i="15"/>
  <c r="O40" i="15"/>
  <c r="O36" i="15"/>
  <c r="O34" i="15"/>
  <c r="O32" i="15"/>
  <c r="O33" i="15"/>
  <c r="O119" i="15"/>
  <c r="O114" i="15"/>
  <c r="O94" i="15"/>
  <c r="O77" i="15"/>
  <c r="O61" i="15"/>
  <c r="O110" i="15"/>
  <c r="O102" i="15"/>
  <c r="O70" i="15"/>
  <c r="O62" i="15"/>
  <c r="O30" i="15"/>
  <c r="O20" i="15"/>
  <c r="O16" i="15"/>
  <c r="O133" i="15"/>
  <c r="O117" i="15"/>
  <c r="O101" i="15"/>
  <c r="O68" i="15"/>
  <c r="O50" i="15"/>
  <c r="O39" i="15"/>
  <c r="O28" i="15"/>
  <c r="O142" i="15"/>
  <c r="O137" i="15"/>
  <c r="O116" i="15"/>
  <c r="O109" i="15"/>
  <c r="O95" i="15"/>
  <c r="O90" i="15"/>
  <c r="O52" i="15"/>
  <c r="O124" i="15"/>
  <c r="O118" i="15"/>
  <c r="O107" i="15"/>
  <c r="O105" i="15"/>
  <c r="O86" i="15"/>
  <c r="O71" i="15"/>
  <c r="O59" i="15"/>
  <c r="O41" i="15"/>
  <c r="O26" i="15"/>
  <c r="O23" i="15"/>
  <c r="O17" i="15"/>
  <c r="O14" i="15"/>
  <c r="O21" i="15"/>
  <c r="O69" i="15"/>
  <c r="O56" i="15"/>
  <c r="O51" i="15"/>
  <c r="O37" i="15"/>
  <c r="O122" i="15"/>
  <c r="O131" i="15"/>
  <c r="O138" i="15"/>
  <c r="O97" i="15"/>
  <c r="O83" i="15"/>
  <c r="O55" i="15"/>
  <c r="O139" i="15"/>
  <c r="O140" i="15"/>
  <c r="O88" i="15"/>
  <c r="O12" i="15"/>
  <c r="O135" i="15"/>
  <c r="O108" i="15"/>
  <c r="O129" i="15"/>
  <c r="O89" i="15"/>
  <c r="O85" i="15"/>
  <c r="O80" i="15"/>
  <c r="O78" i="15"/>
  <c r="O73" i="15"/>
  <c r="O46" i="15"/>
  <c r="O42" i="15"/>
  <c r="O38" i="15"/>
  <c r="O35" i="15"/>
  <c r="O31" i="15"/>
  <c r="C55" i="16"/>
  <c r="C19" i="16"/>
  <c r="E19" i="16"/>
  <c r="E43" i="16"/>
  <c r="D38" i="16"/>
  <c r="D87" i="16"/>
  <c r="S80" i="16"/>
  <c r="Q60" i="16"/>
  <c r="S74" i="16"/>
  <c r="S73" i="16"/>
  <c r="R68" i="16"/>
  <c r="Q63" i="16"/>
  <c r="Q59" i="16"/>
  <c r="S70" i="16"/>
  <c r="C69" i="16"/>
  <c r="E69" i="16"/>
  <c r="L60" i="16"/>
  <c r="N60" i="16"/>
  <c r="F65" i="16"/>
  <c r="S69" i="16"/>
  <c r="P76" i="16"/>
  <c r="S64" i="16"/>
  <c r="R71" i="16"/>
  <c r="S67" i="16"/>
  <c r="F64" i="16"/>
  <c r="H64" i="16"/>
  <c r="Q79" i="16"/>
  <c r="S62" i="16"/>
  <c r="I64" i="16"/>
  <c r="K64" i="16"/>
  <c r="R67" i="16"/>
  <c r="S63" i="16"/>
  <c r="S54" i="16"/>
  <c r="P70" i="16"/>
  <c r="F45" i="16"/>
  <c r="G41" i="16"/>
  <c r="D24" i="16"/>
  <c r="E29" i="16"/>
  <c r="H43" i="16"/>
  <c r="F8" i="16"/>
  <c r="L75" i="16"/>
  <c r="N75" i="16"/>
  <c r="S59" i="16"/>
  <c r="Q75" i="16"/>
  <c r="I65" i="16"/>
  <c r="S61" i="16"/>
  <c r="C64" i="16"/>
  <c r="E64" i="16"/>
  <c r="F63" i="16"/>
  <c r="H63" i="16"/>
  <c r="F29" i="16"/>
  <c r="C27" i="16"/>
  <c r="S60" i="16"/>
  <c r="C8" i="16"/>
  <c r="D44" i="16"/>
  <c r="E39" i="16"/>
  <c r="O73" i="16"/>
  <c r="D45" i="16"/>
  <c r="F41" i="16"/>
  <c r="L69" i="16"/>
  <c r="N69" i="16"/>
  <c r="L54" i="16"/>
  <c r="N54" i="16"/>
  <c r="I63" i="16"/>
  <c r="K63" i="16"/>
  <c r="S76" i="16"/>
  <c r="S55" i="16"/>
  <c r="R59" i="16"/>
  <c r="Q71" i="16"/>
  <c r="Q55" i="16"/>
  <c r="S79" i="16"/>
  <c r="S58" i="16"/>
  <c r="D21" i="16"/>
  <c r="D27" i="16"/>
  <c r="E27" i="16"/>
  <c r="R76" i="16"/>
  <c r="S65" i="16"/>
  <c r="S56" i="16"/>
  <c r="R77" i="16"/>
  <c r="R80" i="16"/>
  <c r="C20" i="16"/>
  <c r="R72" i="16"/>
  <c r="E26" i="16"/>
  <c r="D94" i="16"/>
  <c r="D97" i="16"/>
  <c r="F20" i="16"/>
  <c r="R69" i="16"/>
  <c r="C21" i="16"/>
  <c r="P56" i="16"/>
  <c r="D25" i="16"/>
  <c r="G44" i="16"/>
  <c r="F38" i="16"/>
  <c r="C38" i="16"/>
  <c r="E38" i="16"/>
  <c r="C23" i="16"/>
  <c r="C40" i="16"/>
  <c r="D23" i="16"/>
  <c r="L63" i="16"/>
  <c r="N63" i="16"/>
  <c r="F69" i="16"/>
  <c r="H69" i="16"/>
  <c r="D7" i="16"/>
  <c r="E7" i="16"/>
  <c r="L80" i="16"/>
  <c r="I66" i="16"/>
  <c r="K66" i="16"/>
  <c r="C63" i="16"/>
  <c r="E63" i="16"/>
  <c r="S68" i="16"/>
  <c r="R79" i="16"/>
  <c r="R55" i="16"/>
  <c r="Q67" i="16"/>
  <c r="P80" i="16"/>
  <c r="S71" i="16"/>
  <c r="L65" i="16"/>
  <c r="G21" i="16"/>
  <c r="C65" i="16"/>
  <c r="R74" i="16"/>
  <c r="R73" i="16"/>
  <c r="C30" i="16"/>
  <c r="S77" i="16"/>
  <c r="F27" i="16"/>
  <c r="C94" i="16"/>
  <c r="C97" i="16"/>
  <c r="P66" i="16"/>
  <c r="D20" i="16"/>
  <c r="G29" i="16"/>
  <c r="S78" i="16"/>
  <c r="G25" i="16"/>
  <c r="G19" i="16"/>
  <c r="E28" i="16"/>
  <c r="C62" i="16"/>
  <c r="F44" i="16"/>
  <c r="E6" i="16"/>
  <c r="G28" i="16"/>
  <c r="C22" i="16"/>
  <c r="D42" i="16"/>
  <c r="G22" i="16"/>
  <c r="C24" i="16"/>
  <c r="E24" i="16"/>
  <c r="G38" i="16"/>
  <c r="C42" i="16"/>
  <c r="G40" i="16"/>
  <c r="F40" i="16"/>
  <c r="G24" i="16"/>
  <c r="G23" i="16"/>
  <c r="P74" i="16"/>
  <c r="L72" i="16"/>
  <c r="N72" i="16"/>
  <c r="R57" i="16"/>
  <c r="R64" i="16"/>
  <c r="I60" i="16"/>
  <c r="K60" i="16"/>
  <c r="Q57" i="16"/>
  <c r="R78" i="16"/>
  <c r="Q54" i="16"/>
  <c r="Q80" i="16"/>
  <c r="Q58" i="16"/>
  <c r="O78" i="16"/>
  <c r="T78" i="16"/>
  <c r="V78" i="16"/>
  <c r="L64" i="16"/>
  <c r="N64" i="16"/>
  <c r="I69" i="16"/>
  <c r="K69" i="16"/>
  <c r="I73" i="16"/>
  <c r="K73" i="16"/>
  <c r="F77" i="16"/>
  <c r="R54" i="16"/>
  <c r="L70" i="16"/>
  <c r="N70" i="16"/>
  <c r="O79" i="16"/>
  <c r="P72" i="16"/>
  <c r="P65" i="16"/>
  <c r="Q69" i="16"/>
  <c r="O67" i="16"/>
  <c r="Q78" i="16"/>
  <c r="S75" i="16"/>
  <c r="R63" i="16"/>
  <c r="P78" i="16"/>
  <c r="R65" i="16"/>
  <c r="P69" i="16"/>
  <c r="R61" i="16"/>
  <c r="P54" i="16"/>
  <c r="O76" i="16"/>
  <c r="R66" i="16"/>
  <c r="P60" i="16"/>
  <c r="Q70" i="16"/>
  <c r="O77" i="16"/>
  <c r="C56" i="16"/>
  <c r="O63" i="16"/>
  <c r="P71" i="16"/>
  <c r="F59" i="16"/>
  <c r="I71" i="16"/>
  <c r="Q68" i="16"/>
  <c r="R56" i="16"/>
  <c r="P67" i="16"/>
  <c r="Q64" i="16"/>
  <c r="Q72" i="16"/>
  <c r="Q56" i="16"/>
  <c r="O65" i="16"/>
  <c r="I62" i="16"/>
  <c r="F70" i="16"/>
  <c r="H70" i="16"/>
  <c r="L77" i="16"/>
  <c r="P61" i="16"/>
  <c r="C77" i="16"/>
  <c r="Q73" i="16"/>
  <c r="R70" i="16"/>
  <c r="Q65" i="16"/>
  <c r="P62" i="16"/>
  <c r="O56" i="16"/>
  <c r="P63" i="16"/>
  <c r="L73" i="16"/>
  <c r="N73" i="16"/>
  <c r="L68" i="16"/>
  <c r="Q77" i="16"/>
  <c r="O58" i="16"/>
  <c r="O80" i="16"/>
  <c r="T80" i="16"/>
  <c r="L61" i="16"/>
  <c r="N61" i="16"/>
  <c r="L66" i="16"/>
  <c r="N66" i="16"/>
  <c r="L57" i="16"/>
  <c r="N57" i="16"/>
  <c r="I59" i="16"/>
  <c r="G31" i="16"/>
  <c r="O64" i="16"/>
  <c r="L76" i="16"/>
  <c r="N76" i="16"/>
  <c r="F66" i="16"/>
  <c r="H66" i="16"/>
  <c r="C79" i="16"/>
  <c r="E79" i="16"/>
  <c r="C72" i="16"/>
  <c r="E72" i="16"/>
  <c r="F75" i="16"/>
  <c r="H75" i="16"/>
  <c r="I75" i="16"/>
  <c r="K75" i="16"/>
  <c r="O59" i="16"/>
  <c r="T59" i="16"/>
  <c r="F68" i="16"/>
  <c r="C73" i="16"/>
  <c r="E73" i="16"/>
  <c r="I61" i="16"/>
  <c r="K61" i="16"/>
  <c r="P57" i="16"/>
  <c r="S72" i="16"/>
  <c r="S66" i="16"/>
  <c r="O69" i="16"/>
  <c r="T69" i="16"/>
  <c r="V69" i="16"/>
  <c r="O62" i="16"/>
  <c r="L62" i="16"/>
  <c r="O61" i="16"/>
  <c r="I68" i="16"/>
  <c r="O70" i="16"/>
  <c r="I54" i="16"/>
  <c r="K54" i="16"/>
  <c r="R60" i="16"/>
  <c r="O55" i="16"/>
  <c r="F62" i="16"/>
  <c r="C68" i="16"/>
  <c r="O60" i="16"/>
  <c r="O72" i="16"/>
  <c r="T72" i="16"/>
  <c r="V72" i="16"/>
  <c r="F9" i="16"/>
  <c r="D11" i="16"/>
  <c r="F67" i="16"/>
  <c r="H67" i="16"/>
  <c r="I55" i="16"/>
  <c r="K55" i="16"/>
  <c r="E55" i="16"/>
  <c r="L55" i="16"/>
  <c r="N55" i="16"/>
  <c r="F54" i="16"/>
  <c r="H54" i="16"/>
  <c r="I56" i="16"/>
  <c r="Q74" i="16"/>
  <c r="F72" i="16"/>
  <c r="H72" i="16"/>
  <c r="F60" i="16"/>
  <c r="H60" i="16"/>
  <c r="P59" i="16"/>
  <c r="I57" i="16"/>
  <c r="K57" i="16"/>
  <c r="O74" i="16"/>
  <c r="L74" i="16"/>
  <c r="F76" i="16"/>
  <c r="H76" i="16"/>
  <c r="C67" i="16"/>
  <c r="E67" i="16"/>
  <c r="P73" i="16"/>
  <c r="T73" i="16"/>
  <c r="V73" i="16"/>
  <c r="I74" i="16"/>
  <c r="L67" i="16"/>
  <c r="N67" i="16"/>
  <c r="O66" i="16"/>
  <c r="C70" i="16"/>
  <c r="E70" i="16"/>
  <c r="L58" i="16"/>
  <c r="N58" i="16"/>
  <c r="F11" i="16"/>
  <c r="F57" i="16"/>
  <c r="H57" i="16"/>
  <c r="C60" i="16"/>
  <c r="E60" i="16"/>
  <c r="C66" i="16"/>
  <c r="E66" i="16"/>
  <c r="L78" i="16"/>
  <c r="N78" i="16"/>
  <c r="I79" i="16"/>
  <c r="K79" i="16"/>
  <c r="C61" i="16"/>
  <c r="E61" i="16"/>
  <c r="S57" i="16"/>
  <c r="F79" i="16"/>
  <c r="H79" i="16"/>
  <c r="I67" i="16"/>
  <c r="K67" i="16"/>
  <c r="C74" i="16"/>
  <c r="L59" i="16"/>
  <c r="L56" i="16"/>
  <c r="C76" i="16"/>
  <c r="E76" i="16"/>
  <c r="C58" i="16"/>
  <c r="E58" i="16"/>
  <c r="I77" i="16"/>
  <c r="C57" i="16"/>
  <c r="E57" i="16"/>
  <c r="F10" i="16"/>
  <c r="G9" i="16"/>
  <c r="D32" i="16"/>
  <c r="C32" i="16"/>
  <c r="F33" i="16"/>
  <c r="O57" i="16"/>
  <c r="C75" i="16"/>
  <c r="E75" i="16"/>
  <c r="G10" i="16"/>
  <c r="D10" i="16"/>
  <c r="C10" i="16"/>
  <c r="C11" i="16"/>
  <c r="F31" i="16"/>
  <c r="G33" i="16"/>
  <c r="D33" i="16"/>
  <c r="F32" i="16"/>
  <c r="F56" i="16"/>
  <c r="G11" i="16"/>
  <c r="D9" i="16"/>
  <c r="G32" i="16"/>
  <c r="D31" i="16"/>
  <c r="C33" i="16"/>
  <c r="H39" i="16"/>
  <c r="I58" i="16"/>
  <c r="K58" i="16"/>
  <c r="F61" i="16"/>
  <c r="H61" i="16"/>
  <c r="F74" i="16"/>
  <c r="C80" i="16"/>
  <c r="F55" i="16"/>
  <c r="C59" i="16"/>
  <c r="F58" i="16"/>
  <c r="H58" i="16"/>
  <c r="F80" i="16"/>
  <c r="I76" i="16"/>
  <c r="K76" i="16"/>
  <c r="L71" i="16"/>
  <c r="F78" i="16"/>
  <c r="H78" i="16"/>
  <c r="F73" i="16"/>
  <c r="H73" i="16"/>
  <c r="I80" i="16"/>
  <c r="I70" i="16"/>
  <c r="K70" i="16"/>
  <c r="P68" i="16"/>
  <c r="L79" i="16"/>
  <c r="P55" i="16"/>
  <c r="F71" i="16"/>
  <c r="P77" i="16"/>
  <c r="O68" i="16"/>
  <c r="P58" i="16"/>
  <c r="P79" i="16"/>
  <c r="Q76" i="16"/>
  <c r="O71" i="16"/>
  <c r="T71" i="16"/>
  <c r="P64" i="16"/>
  <c r="R58" i="16"/>
  <c r="C71" i="16"/>
  <c r="C45" i="16"/>
  <c r="G45" i="16"/>
  <c r="G6" i="16"/>
  <c r="C44" i="16"/>
  <c r="I78" i="16"/>
  <c r="K78" i="16"/>
  <c r="C78" i="16"/>
  <c r="E78" i="16"/>
  <c r="I72" i="16"/>
  <c r="K72" i="16"/>
  <c r="C54" i="16"/>
  <c r="E54" i="16"/>
  <c r="D41" i="16"/>
  <c r="C41" i="16"/>
  <c r="F23" i="16"/>
  <c r="P75" i="16"/>
  <c r="F22" i="16"/>
  <c r="D22" i="16"/>
  <c r="F24" i="16"/>
  <c r="O75" i="16"/>
  <c r="F28" i="16"/>
  <c r="F26" i="16"/>
  <c r="Q61" i="16"/>
  <c r="R62" i="16"/>
  <c r="R83" i="16"/>
  <c r="O54" i="16"/>
  <c r="Q66" i="16"/>
  <c r="R75" i="16"/>
  <c r="Q62" i="16"/>
  <c r="G27" i="16"/>
  <c r="C87" i="16"/>
  <c r="S83" i="16"/>
  <c r="E8" i="16"/>
  <c r="E21" i="16"/>
  <c r="S82" i="16"/>
  <c r="R81" i="16"/>
  <c r="H23" i="16"/>
  <c r="H22" i="16"/>
  <c r="H20" i="16"/>
  <c r="H19" i="16"/>
  <c r="H9" i="16"/>
  <c r="H25" i="16"/>
  <c r="G30" i="16"/>
  <c r="D30" i="16"/>
  <c r="E30" i="16"/>
  <c r="F21" i="16"/>
  <c r="F30" i="16"/>
  <c r="H29" i="16"/>
  <c r="H10" i="16"/>
  <c r="H32" i="16"/>
  <c r="H26" i="16"/>
  <c r="H31" i="16"/>
  <c r="H28" i="16"/>
  <c r="H38" i="16"/>
  <c r="E11" i="16"/>
  <c r="S81" i="16"/>
  <c r="T66" i="16"/>
  <c r="V66" i="16"/>
  <c r="T77" i="16"/>
  <c r="P81" i="16"/>
  <c r="E48" i="16"/>
  <c r="H48" i="16"/>
  <c r="C12" i="16"/>
  <c r="E9" i="16"/>
  <c r="E31" i="16"/>
  <c r="D4" i="16"/>
  <c r="D13" i="16"/>
  <c r="D3" i="16"/>
  <c r="D12" i="16"/>
  <c r="E33" i="16"/>
  <c r="E40" i="16"/>
  <c r="H40" i="16"/>
  <c r="T63" i="16"/>
  <c r="V63" i="16"/>
  <c r="T76" i="16"/>
  <c r="V76" i="16"/>
  <c r="L81" i="16"/>
  <c r="N81" i="16"/>
  <c r="T60" i="16"/>
  <c r="V60" i="16"/>
  <c r="T65" i="16"/>
  <c r="E23" i="16"/>
  <c r="C13" i="16"/>
  <c r="E20" i="16"/>
  <c r="E42" i="16"/>
  <c r="G3" i="16"/>
  <c r="G12" i="16"/>
  <c r="I83" i="16"/>
  <c r="T70" i="16"/>
  <c r="V70" i="16"/>
  <c r="L83" i="16"/>
  <c r="T67" i="16"/>
  <c r="V67" i="16"/>
  <c r="R82" i="16"/>
  <c r="T64" i="16"/>
  <c r="V64" i="16"/>
  <c r="T55" i="16"/>
  <c r="V55" i="16"/>
  <c r="C82" i="16"/>
  <c r="E82" i="16"/>
  <c r="T79" i="16"/>
  <c r="V79" i="16"/>
  <c r="T74" i="16"/>
  <c r="I82" i="16"/>
  <c r="K82" i="16"/>
  <c r="O82" i="16"/>
  <c r="E41" i="16"/>
  <c r="T62" i="16"/>
  <c r="T57" i="16"/>
  <c r="V57" i="16"/>
  <c r="T56" i="16"/>
  <c r="T68" i="16"/>
  <c r="P82" i="16"/>
  <c r="F83" i="16"/>
  <c r="F81" i="16"/>
  <c r="H81" i="16"/>
  <c r="E10" i="16"/>
  <c r="P83" i="16"/>
  <c r="C81" i="16"/>
  <c r="E81" i="16"/>
  <c r="Q82" i="16"/>
  <c r="T75" i="16"/>
  <c r="V75" i="16"/>
  <c r="E32" i="16"/>
  <c r="Q83" i="16"/>
  <c r="E46" i="16"/>
  <c r="G4" i="16"/>
  <c r="G13" i="16"/>
  <c r="O83" i="16"/>
  <c r="N79" i="16"/>
  <c r="L82" i="16"/>
  <c r="N82" i="16"/>
  <c r="E25" i="16"/>
  <c r="E45" i="16"/>
  <c r="T61" i="16"/>
  <c r="V61" i="16"/>
  <c r="F3" i="16"/>
  <c r="F12" i="16"/>
  <c r="C83" i="16"/>
  <c r="G5" i="16"/>
  <c r="G14" i="16"/>
  <c r="O81" i="16"/>
  <c r="T54" i="16"/>
  <c r="V54" i="16"/>
  <c r="F4" i="16"/>
  <c r="F13" i="16"/>
  <c r="Q81" i="16"/>
  <c r="I81" i="16"/>
  <c r="K81" i="16"/>
  <c r="E22" i="16"/>
  <c r="E47" i="16"/>
  <c r="C5" i="16"/>
  <c r="C14" i="16"/>
  <c r="E44" i="16"/>
  <c r="T58" i="16"/>
  <c r="V58" i="16"/>
  <c r="F82" i="16"/>
  <c r="H82" i="16"/>
  <c r="H55" i="16"/>
  <c r="F5" i="16"/>
  <c r="F14" i="16"/>
  <c r="D5" i="16"/>
  <c r="D14" i="16"/>
  <c r="E3" i="16"/>
  <c r="H42" i="16"/>
  <c r="E4" i="16"/>
  <c r="H41" i="16"/>
  <c r="T82" i="16"/>
  <c r="V82" i="16"/>
  <c r="T83" i="16"/>
  <c r="T81" i="16"/>
  <c r="V81" i="16"/>
  <c r="H46" i="16"/>
  <c r="H47" i="16"/>
  <c r="H44" i="16"/>
  <c r="H45" i="16"/>
  <c r="E5" i="16"/>
  <c r="E14" i="16"/>
  <c r="E12" i="16"/>
  <c r="E13" i="16"/>
</calcChain>
</file>

<file path=xl/comments1.xml><?xml version="1.0" encoding="utf-8"?>
<comments xmlns="http://schemas.openxmlformats.org/spreadsheetml/2006/main">
  <authors>
    <author>Vinant Manon</author>
  </authors>
  <commentList>
    <comment ref="R1" authorId="0">
      <text>
        <r>
          <rPr>
            <b/>
            <sz val="9"/>
            <color indexed="81"/>
            <rFont val="Tahoma"/>
            <family val="2"/>
          </rPr>
          <t>Vinant Manon:</t>
        </r>
        <r>
          <rPr>
            <sz val="9"/>
            <color indexed="81"/>
            <rFont val="Tahoma"/>
            <family val="2"/>
          </rPr>
          <t xml:space="preserve">
Comprend Rize ARCHI VALO et MEDIATHEQUE</t>
        </r>
      </text>
    </comment>
  </commentList>
</comments>
</file>

<file path=xl/comments2.xml><?xml version="1.0" encoding="utf-8"?>
<comments xmlns="http://schemas.openxmlformats.org/spreadsheetml/2006/main">
  <authors>
    <author>Utilisateur de Microsoft Office</author>
  </authors>
  <commentList>
    <comment ref="A3" authorId="0">
      <text>
        <r>
          <rPr>
            <b/>
            <sz val="10"/>
            <color indexed="81"/>
            <rFont val="Calibri"/>
            <family val="2"/>
          </rPr>
          <t>Utilisateur de Microsoft Office:</t>
        </r>
        <r>
          <rPr>
            <sz val="10"/>
            <color indexed="81"/>
            <rFont val="Calibri"/>
            <family val="2"/>
          </rPr>
          <t xml:space="preserve">
Comprend aussi les accueils en binôme du Rize, dans lesquels les médiathécaires ont participé.</t>
        </r>
      </text>
    </comment>
    <comment ref="A6" authorId="0">
      <text>
        <r>
          <rPr>
            <b/>
            <sz val="10"/>
            <color indexed="81"/>
            <rFont val="Calibri"/>
            <family val="2"/>
          </rPr>
          <t>Utilisateur de Microsoft Office:</t>
        </r>
        <r>
          <rPr>
            <sz val="10"/>
            <color indexed="81"/>
            <rFont val="Calibri"/>
            <family val="2"/>
          </rPr>
          <t xml:space="preserve">
Accueils en binôme avec la partie médiathèque comptés dans la ligne "Réseau des médiathèques"
Compte donc seulement sur la colonne B. Quand Rize Archi ou Rize Valo est en binôme de Rize Med en colonne C, il est comptabilisé dans Réseau des méd.</t>
        </r>
      </text>
    </comment>
    <comment ref="K9" authorId="0">
      <text>
        <r>
          <rPr>
            <b/>
            <sz val="10"/>
            <color indexed="81"/>
            <rFont val="Calibri"/>
            <family val="2"/>
          </rPr>
          <t>Utilisateur de Microsoft Office:</t>
        </r>
        <r>
          <rPr>
            <sz val="10"/>
            <color indexed="81"/>
            <rFont val="Calibri"/>
            <family val="2"/>
          </rPr>
          <t xml:space="preserve">
/! Mettre RIZE MED toujours en colonne B et non C. Jamais en secteur binôme.
</t>
        </r>
      </text>
    </comment>
    <comment ref="A22" authorId="0">
      <text>
        <r>
          <rPr>
            <b/>
            <sz val="10"/>
            <color indexed="81"/>
            <rFont val="Calibri"/>
            <family val="2"/>
          </rPr>
          <t>Utilisateur de Microsoft Office:</t>
        </r>
        <r>
          <rPr>
            <sz val="10"/>
            <color indexed="81"/>
            <rFont val="Calibri"/>
            <family val="2"/>
          </rPr>
          <t xml:space="preserve">
Accueils au Rize que ce soit aux archives, à la médiathèque ou en valorisation culturelle</t>
        </r>
      </text>
    </comment>
    <comment ref="A36" authorId="0">
      <text>
        <r>
          <rPr>
            <b/>
            <sz val="10"/>
            <color indexed="81"/>
            <rFont val="Calibri"/>
            <family val="2"/>
          </rPr>
          <t>Utilisateur de Microsoft Office:</t>
        </r>
        <r>
          <rPr>
            <sz val="10"/>
            <color indexed="81"/>
            <rFont val="Calibri"/>
            <family val="2"/>
          </rPr>
          <t xml:space="preserve">
Un accueil de classe effectué en binôme sera alors compté 2 fois, une fois dans chaque secteur.
</t>
        </r>
      </text>
    </comment>
    <comment ref="A44" authorId="0">
      <text>
        <r>
          <rPr>
            <b/>
            <sz val="10"/>
            <color indexed="81"/>
            <rFont val="Calibri"/>
            <family val="2"/>
          </rPr>
          <t>Utilisateur de Microsoft Office:</t>
        </r>
        <r>
          <rPr>
            <sz val="10"/>
            <color indexed="81"/>
            <rFont val="Calibri"/>
            <family val="2"/>
          </rPr>
          <t xml:space="preserve">
/! Mettre RIZE MED toujours en colonne B et non C. Jamais en secteur binôme.
</t>
        </r>
      </text>
    </comment>
  </commentList>
</comments>
</file>

<file path=xl/sharedStrings.xml><?xml version="1.0" encoding="utf-8"?>
<sst xmlns="http://schemas.openxmlformats.org/spreadsheetml/2006/main" count="683" uniqueCount="245">
  <si>
    <t>Date venue</t>
  </si>
  <si>
    <t>Commentaires</t>
  </si>
  <si>
    <t>Niveau de classe</t>
  </si>
  <si>
    <t>Recherche documentaire</t>
  </si>
  <si>
    <t>Niveaux classe</t>
  </si>
  <si>
    <t>ps</t>
  </si>
  <si>
    <t>ps/ms</t>
  </si>
  <si>
    <t>ps/gs</t>
  </si>
  <si>
    <t>tps</t>
  </si>
  <si>
    <t>ms</t>
  </si>
  <si>
    <t>ms/gs</t>
  </si>
  <si>
    <t>cp</t>
  </si>
  <si>
    <t>cp/ce1</t>
  </si>
  <si>
    <t>ce1</t>
  </si>
  <si>
    <t>ce1/ce2</t>
  </si>
  <si>
    <t>ce2</t>
  </si>
  <si>
    <t>ce2/cm1</t>
  </si>
  <si>
    <t>cm1</t>
  </si>
  <si>
    <t>cm1/cm2</t>
  </si>
  <si>
    <t>cm2</t>
  </si>
  <si>
    <t>6°</t>
  </si>
  <si>
    <t>5°</t>
  </si>
  <si>
    <t>4°</t>
  </si>
  <si>
    <t>3°</t>
  </si>
  <si>
    <t>2°</t>
  </si>
  <si>
    <t>1°</t>
  </si>
  <si>
    <t>Tle</t>
  </si>
  <si>
    <t>autres (maternelle)</t>
  </si>
  <si>
    <t>autres (collège)</t>
  </si>
  <si>
    <t>Tonkin</t>
  </si>
  <si>
    <t>Rize</t>
  </si>
  <si>
    <t>Première lecture</t>
  </si>
  <si>
    <t>Conte</t>
  </si>
  <si>
    <t>Album</t>
  </si>
  <si>
    <t>Il était une fois l'art contemporain</t>
  </si>
  <si>
    <t>Et si on parlait d'art ?</t>
  </si>
  <si>
    <t>Diptyque</t>
  </si>
  <si>
    <t>La maison des livres</t>
  </si>
  <si>
    <t>Louis Armand</t>
  </si>
  <si>
    <t>Berthelot</t>
  </si>
  <si>
    <t>Albert Camus</t>
  </si>
  <si>
    <t>Château-Gaillard</t>
  </si>
  <si>
    <t>Croix-Luizet</t>
  </si>
  <si>
    <t>Descartes</t>
  </si>
  <si>
    <t>Jules Ferry</t>
  </si>
  <si>
    <t>Anatole France</t>
  </si>
  <si>
    <t>Lazare Goujon</t>
  </si>
  <si>
    <t>Jules Guesde</t>
  </si>
  <si>
    <t>Léon Jouhaux</t>
  </si>
  <si>
    <t>Lakanal</t>
  </si>
  <si>
    <t>Jean Moulin</t>
  </si>
  <si>
    <t>René Pellet (déficients visuels)</t>
  </si>
  <si>
    <t>Louis Pasteur</t>
  </si>
  <si>
    <t>Antonin Perrin</t>
  </si>
  <si>
    <t>Jean Zay</t>
  </si>
  <si>
    <t>Emile Zola</t>
  </si>
  <si>
    <t>Collège des Iris</t>
  </si>
  <si>
    <t>Hors Villeurbanne</t>
  </si>
  <si>
    <t>Collège Jean Macé</t>
  </si>
  <si>
    <t>Jacques Prévert</t>
  </si>
  <si>
    <t>Saint Exupéry</t>
  </si>
  <si>
    <t>François Truffaut</t>
  </si>
  <si>
    <t>Collège Lamartine</t>
  </si>
  <si>
    <t>Collège du Tonkin</t>
  </si>
  <si>
    <t>Collège Louis Jouvet</t>
  </si>
  <si>
    <t>Tapis à conter</t>
  </si>
  <si>
    <t>Jean Jaurès (primaire)</t>
  </si>
  <si>
    <t>Tonkin/Nigritelle</t>
  </si>
  <si>
    <t>Résidence FDL</t>
  </si>
  <si>
    <t>Projet FDL</t>
  </si>
  <si>
    <t>Arrêt Bibliobus</t>
  </si>
  <si>
    <t>Exploration urbaine</t>
  </si>
  <si>
    <t>Visite découverte</t>
  </si>
  <si>
    <t>Visite à la carte</t>
  </si>
  <si>
    <t>Autre</t>
  </si>
  <si>
    <t>Visite thématique</t>
  </si>
  <si>
    <t>Collège</t>
  </si>
  <si>
    <t>Lycée</t>
  </si>
  <si>
    <t>autres (lycée)</t>
  </si>
  <si>
    <t>ULIS (école)</t>
  </si>
  <si>
    <t>ULIS (collège)</t>
  </si>
  <si>
    <t>ULIS (lycée)</t>
  </si>
  <si>
    <t>Buers-Croix-Luizet</t>
  </si>
  <si>
    <t>Charpennes-Tonkin</t>
  </si>
  <si>
    <t>Cusset-Bonnevay</t>
  </si>
  <si>
    <t>Saint Jean</t>
  </si>
  <si>
    <t>Gratte-ciel-Dedieu-Charmettes</t>
  </si>
  <si>
    <t>Artothèque</t>
  </si>
  <si>
    <t>Collège des Gratte-Ciel (Môrice Leroux)</t>
  </si>
  <si>
    <t>gs</t>
  </si>
  <si>
    <t>Nombre enfants</t>
  </si>
  <si>
    <t>2° pro</t>
  </si>
  <si>
    <t>1° pro</t>
  </si>
  <si>
    <t>Tle pro</t>
  </si>
  <si>
    <t>Lycée Alfred de Musset</t>
  </si>
  <si>
    <t>Lycée Marie Curie</t>
  </si>
  <si>
    <t>Lycée Pierre Brossolette</t>
  </si>
  <si>
    <t>Rosa Parks</t>
  </si>
  <si>
    <t>Ernest Renan A</t>
  </si>
  <si>
    <t>Ernest Renan B</t>
  </si>
  <si>
    <t>Lycée Magenta</t>
  </si>
  <si>
    <t>In situ / hors les murs</t>
  </si>
  <si>
    <t>In situ</t>
  </si>
  <si>
    <t>Hors les murs</t>
  </si>
  <si>
    <t>De la littérature au cinéma</t>
  </si>
  <si>
    <t>MLIS</t>
  </si>
  <si>
    <t>Secteur jeunesse</t>
  </si>
  <si>
    <t>Secteur adultes</t>
  </si>
  <si>
    <t>Collège Jean Jaurès</t>
  </si>
  <si>
    <t>MTK</t>
  </si>
  <si>
    <t>PAC-BUS</t>
  </si>
  <si>
    <t>MLIS DV</t>
  </si>
  <si>
    <t>EMM</t>
  </si>
  <si>
    <t>MLIS J</t>
  </si>
  <si>
    <t>MLIS A</t>
  </si>
  <si>
    <t>Discothèque-vidéothèque</t>
  </si>
  <si>
    <t>Espace multimédia</t>
  </si>
  <si>
    <t>PAC - Bibliobus</t>
  </si>
  <si>
    <t>Secteur organisateur</t>
  </si>
  <si>
    <t>ARTO</t>
  </si>
  <si>
    <t>Lycée Frédéric Faÿs</t>
  </si>
  <si>
    <t>Ferrandière-Maisons Neuves</t>
  </si>
  <si>
    <t>Spectacle</t>
  </si>
  <si>
    <t>RIZE</t>
  </si>
  <si>
    <t>FDL</t>
  </si>
  <si>
    <t>Enseignant référent (Nom Prénom)</t>
  </si>
  <si>
    <t>autres (élémentaire)</t>
  </si>
  <si>
    <t>Beth Menahem (privé)</t>
  </si>
  <si>
    <t>Ecole juive de Lyon (privé)</t>
  </si>
  <si>
    <t>Immaculée conception (privé)</t>
  </si>
  <si>
    <t>La Nativité (privé)</t>
  </si>
  <si>
    <t>Mère Teresa (privé)</t>
  </si>
  <si>
    <t>Montessori (privé)</t>
  </si>
  <si>
    <t>Ste Thérèse (privé)</t>
  </si>
  <si>
    <t>Collège Jean-Vilar</t>
  </si>
  <si>
    <t>Quartier</t>
  </si>
  <si>
    <t>Quartiers</t>
  </si>
  <si>
    <t>Maternelle</t>
  </si>
  <si>
    <t>Elémentaire</t>
  </si>
  <si>
    <t>Groupe niveau</t>
  </si>
  <si>
    <t>Classe accueillie pour la…fois</t>
  </si>
  <si>
    <t>Ateliers</t>
  </si>
  <si>
    <t>Exposition</t>
  </si>
  <si>
    <t>Visite médiathèque</t>
  </si>
  <si>
    <t>Double jeu</t>
  </si>
  <si>
    <t>Coder avec Scratch</t>
  </si>
  <si>
    <t>Image &amp; son,  passages</t>
  </si>
  <si>
    <t>Secteur organisateur binôme</t>
  </si>
  <si>
    <t>Accueils de classe effectués</t>
  </si>
  <si>
    <t>Enfants accueillis</t>
  </si>
  <si>
    <t>Classes accueillies</t>
  </si>
  <si>
    <t>Ecole (Mat+Element)</t>
  </si>
  <si>
    <t>Totaux</t>
  </si>
  <si>
    <t>Nb de</t>
  </si>
  <si>
    <t>Bilan par établissement sur l'année scolaire</t>
  </si>
  <si>
    <t>TONKIN</t>
  </si>
  <si>
    <t>Bilan par secteur sur l'année scolaire</t>
  </si>
  <si>
    <t>MLIS D/V</t>
  </si>
  <si>
    <t>MLIS EMM</t>
  </si>
  <si>
    <t>PAC/BUS</t>
  </si>
  <si>
    <t>RIZE MED</t>
  </si>
  <si>
    <t>RIZE ARCHI</t>
  </si>
  <si>
    <t>Etablissement accueillant</t>
  </si>
  <si>
    <t>Accueils menés seulement par le Rize (hors médiathèque)</t>
  </si>
  <si>
    <t>Réseau des médiathèques*</t>
  </si>
  <si>
    <t>Autour de  la musique</t>
  </si>
  <si>
    <t>Autour du cinéma</t>
  </si>
  <si>
    <t>Visite poésie</t>
  </si>
  <si>
    <t>Recherche multimédias</t>
  </si>
  <si>
    <t>RIZE VALO</t>
  </si>
  <si>
    <t>Exploration sensorielle</t>
  </si>
  <si>
    <t>Exploration Gratte-Ciel</t>
  </si>
  <si>
    <t>Visite couplée</t>
  </si>
  <si>
    <t>ARTOTHEQUE</t>
  </si>
  <si>
    <t>RIZE ARCHIVES</t>
  </si>
  <si>
    <t>RIZE MEDIATHEQUE</t>
  </si>
  <si>
    <t>RIZE VALORISATION CULTURELLE</t>
  </si>
  <si>
    <t>TOTAUX</t>
  </si>
  <si>
    <t>Bilan par quartier sur l'année scolaire</t>
  </si>
  <si>
    <t>TKN</t>
  </si>
  <si>
    <t>Accueillie par</t>
  </si>
  <si>
    <t>Total</t>
  </si>
  <si>
    <t>%</t>
  </si>
  <si>
    <t>Sur</t>
  </si>
  <si>
    <t>Nb accueilli</t>
  </si>
  <si>
    <t>/</t>
  </si>
  <si>
    <t>Cyprian-les-Brosses</t>
  </si>
  <si>
    <t>Perralière-Grandclément</t>
  </si>
  <si>
    <t>Nombre d'accueils de classe in situ/hors les murs</t>
  </si>
  <si>
    <t>Nb d'accueils total</t>
  </si>
  <si>
    <t>MEMO POUR REMPLIR LE TABLEAU</t>
  </si>
  <si>
    <t>Ajouter un événement</t>
  </si>
  <si>
    <t>*</t>
  </si>
  <si>
    <t>Ne jamais insérer une nouvelle ligne, pour éviter des erreurs aux conséquences fatales (!)</t>
  </si>
  <si>
    <t>Se positionner à la fin du tableau, sur la première ligne non remplie et entrer les données</t>
  </si>
  <si>
    <t>Mes événements ont disparu : vérifier qu'un filtre n'est pas actif</t>
  </si>
  <si>
    <t>Pour désactiver le filtre, cliquer sur cet entonnoir, puis à la fin du menu déroulant, activer la case "sélectionner tout", cliquez sur OK : tous les cellules réapparaissent</t>
  </si>
  <si>
    <t>Attention, plusieurs filtres peuvent être activés en même temps : il faut tous les désactiver en suivant la procédure ci-dessus</t>
  </si>
  <si>
    <t>Se positionner à la fin du tableau sur une nouvelle ligne</t>
  </si>
  <si>
    <t>Remplir obligatoirement les colonnes A à J</t>
  </si>
  <si>
    <t>Colonne K "Commentaires" optionnelle</t>
  </si>
  <si>
    <t>Tableaux bilans</t>
  </si>
  <si>
    <r>
      <rPr>
        <b/>
        <sz val="11"/>
        <rFont val="Calibri"/>
        <family val="2"/>
        <scheme val="minor"/>
      </rPr>
      <t>Nombre d'enfants accueillis</t>
    </r>
    <r>
      <rPr>
        <sz val="11"/>
        <rFont val="Calibri"/>
        <family val="2"/>
        <charset val="1"/>
        <scheme val="minor"/>
      </rPr>
      <t xml:space="preserve"> : Relatif au nombre de classes accueillies. Ex : 25 enfants ayant été accueillis sur un cycle de 3 séances compteront pour 25. (ne compte que si la colonne J indique "Classe accueillie pour la 1ère fois")</t>
    </r>
  </si>
  <si>
    <t>Remplir la colonne F "Enseignant référent" en inscrivant d'abord le nom de l'enseignant, puis son prénom</t>
  </si>
  <si>
    <t>Type de visite</t>
  </si>
  <si>
    <t>Etablissement scolaire</t>
  </si>
  <si>
    <t>Niveau classe</t>
  </si>
  <si>
    <t>Données des colonnes L,M, N calculées de manière automatique, servant aux tableaux bilans : Ne pas y toucher</t>
  </si>
  <si>
    <t>Je veux ajouter un nouvel accueil entre deux déjà existants, de manière chronologique</t>
  </si>
  <si>
    <t xml:space="preserve">Dans chaque cellule de la première ligne du tableau, si un filtre est actif, un petit entonnoir apparaît : </t>
  </si>
  <si>
    <r>
      <rPr>
        <b/>
        <sz val="11"/>
        <rFont val="Calibri"/>
        <family val="2"/>
        <scheme val="minor"/>
      </rPr>
      <t>Nombre d’accueils de classe effectués</t>
    </r>
    <r>
      <rPr>
        <sz val="11"/>
        <rFont val="Calibri"/>
        <family val="2"/>
        <charset val="1"/>
        <scheme val="minor"/>
      </rPr>
      <t xml:space="preserve"> : On rend compte du nombre de passages de classes au sein de la bibliothèque. Ex : Une classe se rendant dans la bibliothèque tous les mois pendant un an sera comptée pour 12</t>
    </r>
  </si>
  <si>
    <r>
      <rPr>
        <b/>
        <sz val="11"/>
        <rFont val="Calibri"/>
        <family val="2"/>
      </rPr>
      <t>Nombre de classes accueillies</t>
    </r>
    <r>
      <rPr>
        <sz val="11"/>
        <rFont val="Calibri"/>
        <family val="2"/>
        <charset val="1"/>
      </rPr>
      <t xml:space="preserve"> : on ne compte pas le nombre de passages de classes dans les locaux de la bibliothèque mais le nombre de classes touchées par les actions de la bibliothèque. Ex : Une classe se rendant dans la bibliothèque tous les mois pendant un an sera comptée pour 1 et non pour 12</t>
    </r>
  </si>
  <si>
    <t>Se positionner sur la cellule A1 "Date venue", cliquer sur la flèche en bas à droite de la cellule et sélectionner "Trier du plus ancien au plus récent" afin de positionner les accueils dans l'ordre chronologique</t>
  </si>
  <si>
    <r>
      <t xml:space="preserve">Cas des accueils organisés en binôme : Inscrire dans l'ordre que vous souhaitez les deux secteurs concernés. SAUF pour les accueils effectués par la médiathèque du Rize (RIZE MED) qui doivent toujours être inscrits en colonne B.
</t>
    </r>
    <r>
      <rPr>
        <i/>
        <sz val="11"/>
        <rFont val="Calibri"/>
        <family val="2"/>
        <scheme val="minor"/>
      </rPr>
      <t>Ex : Accueil couplée médiathèque/médiation culturelle : En colonne B "RIZE MED", en colonne C "RIZE VALO"</t>
    </r>
  </si>
  <si>
    <t>Edouard Herriot</t>
  </si>
  <si>
    <t>Stop motion</t>
  </si>
  <si>
    <t>Ecole Horizons (privé)</t>
  </si>
  <si>
    <t>Collège Simone Lagrange</t>
  </si>
  <si>
    <t>Nombre d'accueils de classe effectués</t>
  </si>
  <si>
    <t>Simone Veil</t>
  </si>
  <si>
    <t>UP2A (élémentaire)</t>
  </si>
  <si>
    <t>UP2A (collège)</t>
  </si>
  <si>
    <t>Bilan global sur l'année scolaire 2018/2019</t>
  </si>
  <si>
    <t>Ecole (Mat+ Element)</t>
  </si>
  <si>
    <t>Réseau</t>
  </si>
  <si>
    <t>CléEtablissement</t>
  </si>
  <si>
    <t>DUPONT Laure</t>
  </si>
  <si>
    <t>CléRize</t>
  </si>
  <si>
    <t>Rizehorsmed</t>
  </si>
  <si>
    <t>CléRéseau-Rize horsmed</t>
  </si>
  <si>
    <t>cptréseau-rizehormed</t>
  </si>
  <si>
    <t>cptEtablissement</t>
  </si>
  <si>
    <t>cléTotal</t>
  </si>
  <si>
    <t>cptTotal</t>
  </si>
  <si>
    <t>cptrize</t>
  </si>
  <si>
    <t>GRIS Jean</t>
  </si>
  <si>
    <t>TROIS Pierre</t>
  </si>
  <si>
    <t>Résumé</t>
  </si>
  <si>
    <t>Il y a 11 secteurs</t>
  </si>
  <si>
    <t>constituant le réseau</t>
  </si>
  <si>
    <t>5 établissements</t>
  </si>
  <si>
    <t>Hors ville</t>
  </si>
  <si>
    <t>https://www.commentcamarche.net/forum/affich-35499266-calculer-l-occurrence-de-deux-donnees-pas-somme#p35504763</t>
  </si>
  <si>
    <t>x</t>
  </si>
  <si>
    <t>QUARTIERS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</si>
</sst>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30">
    <font>
      <sz val="11"/>
      <color theme="1"/>
      <name val="Calibri"/>
      <family val="2"/>
      <scheme val="minor"/>
    </font>
    <font>
      <sz val="11"/>
      <name val="Calibri"/>
      <family val="2"/>
      <charset val="1"/>
    </font>
    <font>
      <sz val="11"/>
      <name val="Calibri"/>
      <family val="2"/>
      <charset val="1"/>
      <scheme val="minor"/>
    </font>
    <font>
      <b/>
      <sz val="11"/>
      <color theme="1"/>
      <name val="Calibri"/>
      <family val="2"/>
      <scheme val="minor"/>
    </font>
    <font>
      <b/>
      <sz val="18"/>
      <color theme="1"/>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10"/>
      <color indexed="81"/>
      <name val="Calibri"/>
      <family val="2"/>
    </font>
    <font>
      <b/>
      <sz val="10"/>
      <color indexed="81"/>
      <name val="Calibri"/>
      <family val="2"/>
    </font>
    <font>
      <b/>
      <sz val="14"/>
      <name val="Calibri"/>
      <family val="2"/>
    </font>
    <font>
      <sz val="11"/>
      <name val="Calibri"/>
      <family val="2"/>
      <scheme val="minor"/>
    </font>
    <font>
      <sz val="10"/>
      <name val="Univers"/>
      <family val="2"/>
    </font>
    <font>
      <b/>
      <sz val="11"/>
      <name val="Calibri"/>
      <family val="2"/>
      <scheme val="minor"/>
    </font>
    <font>
      <sz val="11"/>
      <name val="Calibri"/>
      <family val="2"/>
    </font>
    <font>
      <i/>
      <sz val="11"/>
      <name val="Calibri"/>
      <family val="2"/>
      <scheme val="minor"/>
    </font>
    <font>
      <b/>
      <sz val="11"/>
      <name val="Calibri"/>
      <family val="2"/>
    </font>
    <font>
      <sz val="9"/>
      <color theme="0"/>
      <name val="Calibri"/>
      <family val="2"/>
      <scheme val="minor"/>
    </font>
    <font>
      <sz val="11"/>
      <color rgb="FF000000"/>
      <name val="Calibri"/>
      <family val="2"/>
      <scheme val="minor"/>
    </font>
    <font>
      <b/>
      <sz val="9"/>
      <name val="Calibri"/>
      <family val="2"/>
      <scheme val="minor"/>
    </font>
    <font>
      <sz val="9"/>
      <color indexed="81"/>
      <name val="Tahoma"/>
      <family val="2"/>
    </font>
    <font>
      <b/>
      <sz val="9"/>
      <color indexed="81"/>
      <name val="Tahoma"/>
      <family val="2"/>
    </font>
    <font>
      <sz val="9"/>
      <color rgb="FFFF0000"/>
      <name val="Calibri"/>
      <family val="2"/>
      <scheme val="minor"/>
    </font>
    <font>
      <sz val="10"/>
      <color rgb="FFFF000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s>
  <borders count="6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top/>
      <bottom style="thin">
        <color auto="1"/>
      </bottom>
      <diagonal/>
    </border>
    <border>
      <left style="thin">
        <color auto="1"/>
      </left>
      <right/>
      <top style="medium">
        <color auto="1"/>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s>
  <cellStyleXfs count="7">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311">
    <xf numFmtId="0" fontId="0" fillId="0" borderId="0" xfId="0"/>
    <xf numFmtId="0" fontId="0" fillId="0" borderId="0" xfId="0" applyAlignment="1">
      <alignment wrapText="1"/>
    </xf>
    <xf numFmtId="0" fontId="8" fillId="3" borderId="8" xfId="0" applyFont="1" applyFill="1" applyBorder="1" applyAlignment="1" applyProtection="1">
      <alignment horizontal="center" vertical="center"/>
    </xf>
    <xf numFmtId="0" fontId="0" fillId="0" borderId="0" xfId="0" applyBorder="1"/>
    <xf numFmtId="0" fontId="0" fillId="0" borderId="0" xfId="0" applyAlignment="1">
      <alignment horizontal="center"/>
    </xf>
    <xf numFmtId="0" fontId="0" fillId="5" borderId="37" xfId="0" applyFill="1" applyBorder="1" applyAlignment="1" applyProtection="1"/>
    <xf numFmtId="0" fontId="8" fillId="3" borderId="4" xfId="0" applyFont="1" applyFill="1" applyBorder="1" applyAlignment="1" applyProtection="1">
      <alignment horizontal="center" vertical="center"/>
    </xf>
    <xf numFmtId="0" fontId="6" fillId="3" borderId="3" xfId="0" applyFont="1" applyFill="1" applyBorder="1" applyAlignment="1" applyProtection="1">
      <alignment horizontal="center" wrapText="1"/>
    </xf>
    <xf numFmtId="0" fontId="6" fillId="3" borderId="39" xfId="0" applyFont="1" applyFill="1" applyBorder="1" applyAlignment="1" applyProtection="1">
      <alignment horizontal="center" wrapText="1"/>
    </xf>
    <xf numFmtId="0" fontId="8" fillId="3" borderId="16" xfId="0" applyFont="1" applyFill="1" applyBorder="1" applyAlignment="1" applyProtection="1">
      <alignment horizontal="center" vertical="center"/>
    </xf>
    <xf numFmtId="0" fontId="12" fillId="5" borderId="43" xfId="0" applyFont="1" applyFill="1" applyBorder="1" applyAlignment="1" applyProtection="1">
      <alignment horizontal="center"/>
    </xf>
    <xf numFmtId="0" fontId="3" fillId="3" borderId="14"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8" fillId="3" borderId="34" xfId="0" applyFont="1" applyFill="1" applyBorder="1" applyAlignment="1" applyProtection="1">
      <alignment horizontal="center" vertical="center"/>
    </xf>
    <xf numFmtId="0" fontId="6" fillId="7" borderId="39" xfId="0" applyFont="1" applyFill="1" applyBorder="1" applyAlignment="1" applyProtection="1">
      <alignment horizontal="center" wrapText="1"/>
    </xf>
    <xf numFmtId="0" fontId="8" fillId="7" borderId="23" xfId="0" applyFont="1" applyFill="1" applyBorder="1" applyAlignment="1" applyProtection="1">
      <alignment horizontal="center" vertical="center"/>
    </xf>
    <xf numFmtId="0" fontId="0" fillId="5" borderId="14" xfId="0" applyFill="1" applyBorder="1" applyAlignment="1" applyProtection="1"/>
    <xf numFmtId="0" fontId="0" fillId="5" borderId="6" xfId="0" applyFill="1" applyBorder="1" applyAlignment="1" applyProtection="1"/>
    <xf numFmtId="0" fontId="0" fillId="0" borderId="0" xfId="0" applyAlignment="1" applyProtection="1">
      <alignment wrapText="1"/>
      <protection locked="0"/>
    </xf>
    <xf numFmtId="0" fontId="0" fillId="0" borderId="0" xfId="0" applyProtection="1">
      <protection locked="0"/>
    </xf>
    <xf numFmtId="0" fontId="0" fillId="0" borderId="0" xfId="0" applyProtection="1">
      <protection hidden="1"/>
    </xf>
    <xf numFmtId="0" fontId="0" fillId="0" borderId="0" xfId="0" applyAlignment="1" applyProtection="1">
      <alignment wrapText="1"/>
      <protection locked="0" hidden="1"/>
    </xf>
    <xf numFmtId="0" fontId="6" fillId="3" borderId="2" xfId="0" applyFont="1" applyFill="1" applyBorder="1" applyAlignment="1" applyProtection="1">
      <alignment horizontal="center" vertical="center"/>
    </xf>
    <xf numFmtId="0" fontId="6" fillId="3" borderId="35"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33" xfId="0" applyFont="1" applyFill="1" applyBorder="1" applyAlignment="1" applyProtection="1">
      <alignment horizontal="center" vertical="center"/>
    </xf>
    <xf numFmtId="0" fontId="6" fillId="7" borderId="38" xfId="0" applyFont="1" applyFill="1" applyBorder="1" applyAlignment="1" applyProtection="1">
      <alignment horizontal="center" vertical="center"/>
    </xf>
    <xf numFmtId="0" fontId="6" fillId="7" borderId="23" xfId="0" applyFont="1" applyFill="1" applyBorder="1" applyAlignment="1" applyProtection="1">
      <alignment horizontal="center" vertical="center"/>
    </xf>
    <xf numFmtId="0" fontId="6" fillId="7" borderId="36"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35" xfId="0" applyFont="1" applyFill="1" applyBorder="1" applyAlignment="1" applyProtection="1">
      <alignment horizontal="center" vertical="center"/>
    </xf>
    <xf numFmtId="0" fontId="8" fillId="7" borderId="36" xfId="0" applyFont="1" applyFill="1" applyBorder="1" applyAlignment="1" applyProtection="1">
      <alignment horizontal="center" vertical="center"/>
    </xf>
    <xf numFmtId="0" fontId="8" fillId="7" borderId="16" xfId="0" applyFont="1" applyFill="1" applyBorder="1" applyAlignment="1" applyProtection="1">
      <alignment horizontal="center" vertical="center"/>
    </xf>
    <xf numFmtId="0" fontId="8" fillId="7" borderId="32"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8" fillId="3" borderId="41" xfId="0" applyFont="1" applyFill="1" applyBorder="1" applyAlignment="1" applyProtection="1">
      <alignment horizontal="center" vertical="center"/>
    </xf>
    <xf numFmtId="0" fontId="8" fillId="3" borderId="48" xfId="0" applyFont="1" applyFill="1" applyBorder="1" applyAlignment="1" applyProtection="1">
      <alignment horizontal="center" vertical="center"/>
    </xf>
    <xf numFmtId="0" fontId="8" fillId="3" borderId="47"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6" fillId="4" borderId="3" xfId="0" applyFont="1" applyFill="1" applyBorder="1" applyAlignment="1" applyProtection="1">
      <alignment horizontal="center" wrapText="1"/>
    </xf>
    <xf numFmtId="0" fontId="8" fillId="4" borderId="16" xfId="0" applyFont="1" applyFill="1" applyBorder="1" applyAlignment="1" applyProtection="1">
      <alignment horizontal="center" vertical="center"/>
    </xf>
    <xf numFmtId="0" fontId="6" fillId="4" borderId="39" xfId="0" applyFont="1" applyFill="1" applyBorder="1" applyAlignment="1" applyProtection="1">
      <alignment horizontal="center" wrapText="1"/>
    </xf>
    <xf numFmtId="0" fontId="7" fillId="3" borderId="0" xfId="0" applyFont="1" applyFill="1" applyBorder="1" applyAlignment="1" applyProtection="1">
      <alignment horizontal="center" vertical="center" wrapText="1"/>
    </xf>
    <xf numFmtId="0" fontId="8" fillId="3" borderId="0" xfId="0" applyFont="1" applyFill="1" applyBorder="1" applyAlignment="1" applyProtection="1">
      <alignment horizontal="center" wrapText="1"/>
    </xf>
    <xf numFmtId="0" fontId="8"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0" fontId="8" fillId="7" borderId="1"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34" xfId="0" applyFont="1" applyFill="1" applyBorder="1" applyAlignment="1" applyProtection="1">
      <alignment horizontal="center" vertical="center" wrapText="1"/>
    </xf>
    <xf numFmtId="11" fontId="6" fillId="2" borderId="22" xfId="0" applyNumberFormat="1" applyFont="1" applyFill="1" applyBorder="1" applyAlignment="1" applyProtection="1">
      <alignment horizontal="center" vertical="center"/>
    </xf>
    <xf numFmtId="11" fontId="6" fillId="2" borderId="5" xfId="0" applyNumberFormat="1" applyFont="1" applyFill="1" applyBorder="1" applyAlignment="1" applyProtection="1">
      <alignment horizontal="center" vertical="center"/>
    </xf>
    <xf numFmtId="0" fontId="7" fillId="4" borderId="4"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6" fillId="3" borderId="5" xfId="0" applyFont="1" applyFill="1" applyBorder="1" applyAlignment="1" applyProtection="1">
      <alignment horizontal="center" wrapText="1"/>
    </xf>
    <xf numFmtId="0" fontId="6" fillId="4" borderId="5" xfId="0" applyFont="1" applyFill="1" applyBorder="1" applyAlignment="1" applyProtection="1">
      <alignment horizontal="center" wrapText="1"/>
    </xf>
    <xf numFmtId="9" fontId="6" fillId="3" borderId="3" xfId="0" applyNumberFormat="1" applyFont="1" applyFill="1" applyBorder="1" applyAlignment="1" applyProtection="1">
      <alignment horizontal="center" vertical="center"/>
    </xf>
    <xf numFmtId="9" fontId="6" fillId="7" borderId="39" xfId="0" applyNumberFormat="1" applyFont="1" applyFill="1" applyBorder="1" applyAlignment="1" applyProtection="1">
      <alignment horizontal="center" vertical="center"/>
    </xf>
    <xf numFmtId="9" fontId="8" fillId="3" borderId="5" xfId="0" applyNumberFormat="1" applyFont="1" applyFill="1" applyBorder="1" applyAlignment="1" applyProtection="1">
      <alignment horizontal="center" vertical="center"/>
    </xf>
    <xf numFmtId="9" fontId="8" fillId="3" borderId="3" xfId="0" applyNumberFormat="1" applyFont="1" applyFill="1" applyBorder="1" applyAlignment="1" applyProtection="1">
      <alignment horizontal="center" vertical="center"/>
    </xf>
    <xf numFmtId="9" fontId="8" fillId="7" borderId="24" xfId="0" applyNumberFormat="1" applyFont="1" applyFill="1" applyBorder="1" applyAlignment="1" applyProtection="1">
      <alignment horizontal="center" vertical="center"/>
    </xf>
    <xf numFmtId="9" fontId="8" fillId="3" borderId="17" xfId="0" applyNumberFormat="1"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3" borderId="47"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9" fontId="6" fillId="3" borderId="17" xfId="0" applyNumberFormat="1" applyFont="1" applyFill="1" applyBorder="1" applyAlignment="1" applyProtection="1">
      <alignment horizontal="center" vertical="center"/>
    </xf>
    <xf numFmtId="0" fontId="8" fillId="4" borderId="38" xfId="0" applyFont="1" applyFill="1" applyBorder="1" applyAlignment="1" applyProtection="1">
      <alignment horizontal="center" vertical="center"/>
    </xf>
    <xf numFmtId="9" fontId="6" fillId="7" borderId="24" xfId="0" applyNumberFormat="1" applyFont="1" applyFill="1" applyBorder="1" applyAlignment="1" applyProtection="1">
      <alignment horizontal="center" vertical="center"/>
    </xf>
    <xf numFmtId="0" fontId="8" fillId="4" borderId="41"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8" fillId="4" borderId="40" xfId="0" applyFont="1" applyFill="1" applyBorder="1" applyAlignment="1" applyProtection="1">
      <alignment horizontal="center" vertical="center"/>
    </xf>
    <xf numFmtId="9" fontId="8" fillId="3" borderId="42" xfId="0" applyNumberFormat="1" applyFont="1" applyFill="1" applyBorder="1" applyAlignment="1" applyProtection="1">
      <alignment horizontal="center" vertical="center"/>
    </xf>
    <xf numFmtId="0" fontId="8" fillId="4" borderId="21"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8" fillId="4" borderId="27" xfId="0" applyFont="1" applyFill="1" applyBorder="1" applyAlignment="1" applyProtection="1">
      <alignment horizontal="center" vertical="center"/>
    </xf>
    <xf numFmtId="9" fontId="8" fillId="3" borderId="9" xfId="0" applyNumberFormat="1"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6" fillId="3" borderId="35" xfId="0" applyNumberFormat="1" applyFont="1" applyFill="1" applyBorder="1" applyAlignment="1" applyProtection="1">
      <alignment horizontal="center" vertical="center"/>
    </xf>
    <xf numFmtId="0" fontId="6" fillId="3" borderId="21" xfId="0" applyNumberFormat="1" applyFont="1" applyFill="1" applyBorder="1" applyAlignment="1" applyProtection="1">
      <alignment horizontal="center" vertical="center"/>
    </xf>
    <xf numFmtId="0" fontId="6" fillId="3" borderId="3" xfId="0" applyNumberFormat="1" applyFont="1" applyFill="1" applyBorder="1" applyAlignment="1" applyProtection="1">
      <alignment horizontal="center" vertical="center"/>
    </xf>
    <xf numFmtId="0" fontId="6" fillId="7" borderId="36" xfId="0" applyNumberFormat="1" applyFont="1" applyFill="1" applyBorder="1" applyAlignment="1" applyProtection="1">
      <alignment horizontal="center" vertical="center"/>
    </xf>
    <xf numFmtId="0" fontId="6" fillId="7" borderId="1" xfId="0" applyNumberFormat="1" applyFont="1" applyFill="1" applyBorder="1" applyAlignment="1" applyProtection="1">
      <alignment horizontal="center" vertical="center"/>
    </xf>
    <xf numFmtId="0" fontId="6" fillId="7" borderId="24" xfId="0" applyNumberFormat="1" applyFont="1" applyFill="1" applyBorder="1" applyAlignment="1" applyProtection="1">
      <alignment horizontal="center" vertical="center"/>
    </xf>
    <xf numFmtId="0" fontId="8" fillId="3" borderId="48" xfId="0" applyNumberFormat="1" applyFont="1" applyFill="1" applyBorder="1" applyAlignment="1" applyProtection="1">
      <alignment horizontal="center" vertical="center"/>
    </xf>
    <xf numFmtId="0" fontId="8" fillId="3" borderId="45" xfId="0" applyNumberFormat="1" applyFont="1" applyFill="1" applyBorder="1" applyAlignment="1" applyProtection="1">
      <alignment horizontal="center" vertical="center"/>
    </xf>
    <xf numFmtId="0" fontId="8" fillId="3" borderId="42" xfId="0" applyNumberFormat="1" applyFont="1" applyFill="1" applyBorder="1" applyAlignment="1" applyProtection="1">
      <alignment horizontal="center" vertical="center"/>
    </xf>
    <xf numFmtId="0" fontId="8" fillId="3" borderId="35" xfId="0" applyNumberFormat="1" applyFont="1" applyFill="1" applyBorder="1" applyAlignment="1" applyProtection="1">
      <alignment horizontal="center" vertical="center"/>
    </xf>
    <xf numFmtId="0" fontId="8" fillId="3" borderId="21" xfId="0" applyNumberFormat="1" applyFont="1" applyFill="1" applyBorder="1" applyAlignment="1" applyProtection="1">
      <alignment horizontal="center" vertical="center"/>
    </xf>
    <xf numFmtId="0" fontId="8" fillId="3" borderId="3" xfId="0" applyNumberFormat="1" applyFont="1" applyFill="1" applyBorder="1" applyAlignment="1" applyProtection="1">
      <alignment horizontal="center" vertical="center"/>
    </xf>
    <xf numFmtId="0" fontId="8" fillId="7" borderId="36" xfId="0" applyNumberFormat="1" applyFont="1" applyFill="1" applyBorder="1" applyAlignment="1" applyProtection="1">
      <alignment horizontal="center" vertical="center"/>
    </xf>
    <xf numFmtId="0" fontId="8" fillId="7" borderId="1" xfId="0" applyNumberFormat="1" applyFont="1" applyFill="1" applyBorder="1" applyAlignment="1" applyProtection="1">
      <alignment horizontal="center" vertical="center"/>
    </xf>
    <xf numFmtId="0" fontId="8" fillId="7" borderId="24" xfId="0" applyNumberFormat="1" applyFont="1" applyFill="1" applyBorder="1" applyAlignment="1" applyProtection="1">
      <alignment horizontal="center" vertical="center"/>
    </xf>
    <xf numFmtId="0" fontId="8" fillId="3" borderId="34" xfId="0" applyNumberFormat="1" applyFont="1" applyFill="1" applyBorder="1" applyAlignment="1" applyProtection="1">
      <alignment horizontal="center" vertical="center"/>
    </xf>
    <xf numFmtId="0" fontId="8" fillId="3" borderId="22" xfId="0" applyNumberFormat="1" applyFont="1" applyFill="1" applyBorder="1" applyAlignment="1" applyProtection="1">
      <alignment horizontal="center" vertical="center"/>
    </xf>
    <xf numFmtId="0" fontId="8" fillId="3" borderId="5" xfId="0" applyNumberFormat="1" applyFont="1" applyFill="1" applyBorder="1" applyAlignment="1" applyProtection="1">
      <alignment horizontal="center" vertical="center"/>
    </xf>
    <xf numFmtId="0" fontId="8" fillId="3" borderId="32" xfId="0" applyNumberFormat="1" applyFont="1" applyFill="1" applyBorder="1" applyAlignment="1" applyProtection="1">
      <alignment horizontal="center" vertical="center"/>
    </xf>
    <xf numFmtId="0" fontId="8" fillId="3" borderId="20" xfId="0" applyNumberFormat="1" applyFont="1" applyFill="1" applyBorder="1" applyAlignment="1" applyProtection="1">
      <alignment horizontal="center" vertical="center"/>
    </xf>
    <xf numFmtId="0" fontId="8" fillId="3" borderId="17" xfId="0" applyNumberFormat="1" applyFont="1" applyFill="1" applyBorder="1" applyAlignment="1" applyProtection="1">
      <alignment horizontal="center" vertical="center"/>
    </xf>
    <xf numFmtId="0" fontId="8" fillId="3" borderId="26" xfId="0" applyNumberFormat="1" applyFont="1" applyFill="1" applyBorder="1" applyAlignment="1" applyProtection="1">
      <alignment horizontal="center" vertical="center"/>
    </xf>
    <xf numFmtId="0" fontId="8" fillId="3" borderId="27" xfId="0" applyNumberFormat="1" applyFont="1" applyFill="1" applyBorder="1" applyAlignment="1" applyProtection="1">
      <alignment horizontal="center" vertical="center"/>
    </xf>
    <xf numFmtId="0" fontId="8" fillId="3" borderId="9" xfId="0" applyNumberFormat="1" applyFont="1" applyFill="1" applyBorder="1" applyAlignment="1" applyProtection="1">
      <alignment horizontal="center" vertical="center"/>
    </xf>
    <xf numFmtId="0" fontId="6" fillId="3" borderId="32" xfId="0" applyNumberFormat="1" applyFont="1" applyFill="1" applyBorder="1" applyAlignment="1" applyProtection="1">
      <alignment horizontal="center" vertical="center"/>
    </xf>
    <xf numFmtId="0" fontId="6" fillId="3" borderId="20" xfId="0" applyNumberFormat="1" applyFont="1" applyFill="1" applyBorder="1" applyAlignment="1" applyProtection="1">
      <alignment horizontal="center" vertical="center"/>
    </xf>
    <xf numFmtId="0" fontId="6" fillId="3" borderId="17" xfId="0" applyNumberFormat="1" applyFont="1" applyFill="1" applyBorder="1" applyAlignment="1" applyProtection="1">
      <alignment horizontal="center" vertical="center"/>
    </xf>
    <xf numFmtId="0" fontId="6" fillId="3" borderId="42" xfId="0" applyFont="1" applyFill="1" applyBorder="1" applyAlignment="1" applyProtection="1">
      <alignment horizontal="center" vertical="center"/>
    </xf>
    <xf numFmtId="14" fontId="0" fillId="0" borderId="0" xfId="0" applyNumberFormat="1" applyAlignment="1" applyProtection="1">
      <alignment wrapText="1"/>
      <protection locked="0"/>
    </xf>
    <xf numFmtId="14" fontId="0" fillId="0" borderId="0" xfId="0" applyNumberFormat="1" applyProtection="1">
      <protection locked="0"/>
    </xf>
    <xf numFmtId="0" fontId="0" fillId="0" borderId="0" xfId="0"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Alignment="1">
      <alignment vertical="center" wrapText="1"/>
    </xf>
    <xf numFmtId="0" fontId="18" fillId="0" borderId="0" xfId="0" applyFont="1" applyFill="1" applyBorder="1" applyAlignment="1">
      <alignment horizontal="left" vertical="center" wrapText="1"/>
    </xf>
    <xf numFmtId="0" fontId="17" fillId="0" borderId="0" xfId="0" applyFont="1" applyFill="1" applyAlignment="1">
      <alignment horizontal="center" vertical="top" wrapText="1"/>
    </xf>
    <xf numFmtId="0" fontId="0" fillId="0" borderId="1" xfId="0" applyBorder="1"/>
    <xf numFmtId="0" fontId="0" fillId="0" borderId="1" xfId="0" applyBorder="1" applyAlignment="1">
      <alignment wrapText="1"/>
    </xf>
    <xf numFmtId="0" fontId="0" fillId="0" borderId="36" xfId="0" applyBorder="1"/>
    <xf numFmtId="0" fontId="0" fillId="0" borderId="1" xfId="0" applyFill="1" applyBorder="1"/>
    <xf numFmtId="0" fontId="0" fillId="0" borderId="36" xfId="0" applyFill="1" applyBorder="1"/>
    <xf numFmtId="0" fontId="1" fillId="0" borderId="1" xfId="0" applyFont="1" applyFill="1" applyBorder="1"/>
    <xf numFmtId="0" fontId="2" fillId="0" borderId="1" xfId="0" applyFont="1" applyBorder="1" applyAlignment="1">
      <alignment wrapText="1"/>
    </xf>
    <xf numFmtId="0" fontId="1" fillId="0" borderId="1" xfId="0" applyFont="1" applyBorder="1"/>
    <xf numFmtId="0" fontId="1" fillId="0" borderId="1" xfId="0" applyFont="1" applyBorder="1" applyAlignment="1">
      <alignment wrapText="1"/>
    </xf>
    <xf numFmtId="0" fontId="2" fillId="0" borderId="1" xfId="0" applyFont="1" applyBorder="1"/>
    <xf numFmtId="0" fontId="2" fillId="0" borderId="1" xfId="0" applyFont="1" applyFill="1" applyBorder="1" applyAlignment="1">
      <alignment wrapText="1"/>
    </xf>
    <xf numFmtId="0" fontId="0" fillId="0" borderId="1" xfId="0" applyBorder="1" applyAlignment="1">
      <alignment vertical="center"/>
    </xf>
    <xf numFmtId="0" fontId="1" fillId="0" borderId="1" xfId="0" applyFont="1" applyFill="1" applyBorder="1" applyAlignment="1">
      <alignment wrapText="1"/>
    </xf>
    <xf numFmtId="0" fontId="0" fillId="0" borderId="1" xfId="0" applyBorder="1" applyAlignment="1">
      <alignment vertical="center" wrapText="1"/>
    </xf>
    <xf numFmtId="0" fontId="1" fillId="0" borderId="52" xfId="0" applyFont="1" applyFill="1" applyBorder="1" applyAlignment="1">
      <alignment wrapText="1"/>
    </xf>
    <xf numFmtId="0" fontId="3" fillId="6" borderId="1"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9" borderId="53" xfId="0" applyFont="1" applyFill="1" applyBorder="1" applyAlignment="1">
      <alignment horizontal="left" vertical="center" wrapText="1"/>
    </xf>
    <xf numFmtId="0" fontId="3" fillId="6" borderId="52"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6" borderId="27" xfId="0" applyFont="1" applyFill="1" applyBorder="1" applyAlignment="1">
      <alignment horizontal="left" vertical="center" wrapText="1"/>
    </xf>
    <xf numFmtId="14" fontId="0" fillId="0" borderId="0" xfId="0" applyNumberFormat="1" applyBorder="1" applyAlignment="1" applyProtection="1">
      <alignment horizontal="right" vertical="center"/>
      <protection locked="0"/>
    </xf>
    <xf numFmtId="0" fontId="0" fillId="0" borderId="0" xfId="0" applyBorder="1" applyAlignment="1" applyProtection="1">
      <alignment horizontal="left" vertical="center"/>
      <protection locked="0"/>
    </xf>
    <xf numFmtId="0" fontId="0" fillId="0" borderId="0" xfId="0" applyBorder="1" applyProtection="1">
      <protection locked="0"/>
    </xf>
    <xf numFmtId="0" fontId="0" fillId="0" borderId="0" xfId="0" applyBorder="1" applyAlignment="1" applyProtection="1">
      <alignment horizontal="right" vertical="center"/>
      <protection locked="0"/>
    </xf>
    <xf numFmtId="8" fontId="0" fillId="0" borderId="0" xfId="0" applyNumberFormat="1" applyProtection="1">
      <protection locked="0"/>
    </xf>
    <xf numFmtId="0" fontId="0" fillId="3" borderId="0" xfId="0" applyFill="1"/>
    <xf numFmtId="9" fontId="22" fillId="3" borderId="3" xfId="0" applyNumberFormat="1" applyFont="1" applyFill="1" applyBorder="1" applyAlignment="1" applyProtection="1">
      <alignment horizontal="center" vertical="center"/>
    </xf>
    <xf numFmtId="9" fontId="22" fillId="3" borderId="5" xfId="0" applyNumberFormat="1" applyFont="1" applyFill="1" applyBorder="1" applyAlignment="1" applyProtection="1">
      <alignment horizontal="center" vertical="center"/>
    </xf>
    <xf numFmtId="0" fontId="22" fillId="3" borderId="21" xfId="0"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9" fontId="22" fillId="3" borderId="24" xfId="0" applyNumberFormat="1" applyFont="1" applyFill="1" applyBorder="1" applyAlignment="1" applyProtection="1">
      <alignment horizontal="center" vertical="center"/>
    </xf>
    <xf numFmtId="0" fontId="22" fillId="3" borderId="22" xfId="0" applyFont="1" applyFill="1" applyBorder="1" applyAlignment="1" applyProtection="1">
      <alignment horizontal="center" vertical="center"/>
    </xf>
    <xf numFmtId="0" fontId="0" fillId="0" borderId="0" xfId="0" applyFont="1"/>
    <xf numFmtId="0" fontId="24" fillId="3" borderId="2" xfId="0" applyFont="1" applyFill="1" applyBorder="1" applyAlignment="1" applyProtection="1">
      <alignment horizontal="center" vertical="center"/>
    </xf>
    <xf numFmtId="0" fontId="24" fillId="3" borderId="23" xfId="0" applyFont="1" applyFill="1" applyBorder="1" applyAlignment="1" applyProtection="1">
      <alignment horizontal="center" vertical="center"/>
    </xf>
    <xf numFmtId="0" fontId="24" fillId="3" borderId="4" xfId="0" applyFont="1" applyFill="1" applyBorder="1" applyAlignment="1" applyProtection="1">
      <alignment horizontal="center" vertical="center"/>
    </xf>
    <xf numFmtId="0" fontId="4" fillId="5" borderId="11" xfId="0" applyFont="1" applyFill="1" applyBorder="1" applyAlignment="1" applyProtection="1">
      <alignment horizontal="center"/>
    </xf>
    <xf numFmtId="0" fontId="4" fillId="5" borderId="12" xfId="0" applyFont="1" applyFill="1" applyBorder="1" applyAlignment="1" applyProtection="1">
      <alignment horizontal="center"/>
    </xf>
    <xf numFmtId="0" fontId="4" fillId="5" borderId="18" xfId="0" applyFont="1" applyFill="1" applyBorder="1" applyAlignment="1" applyProtection="1">
      <alignment horizontal="center"/>
    </xf>
    <xf numFmtId="0" fontId="4" fillId="5" borderId="15" xfId="0" applyFont="1" applyFill="1" applyBorder="1" applyAlignment="1" applyProtection="1">
      <alignment horizontal="center"/>
    </xf>
    <xf numFmtId="0" fontId="0" fillId="2" borderId="0" xfId="0" applyFill="1" applyProtection="1">
      <protection locked="0"/>
    </xf>
    <xf numFmtId="0" fontId="6" fillId="2" borderId="7" xfId="0" applyFont="1" applyFill="1" applyBorder="1" applyAlignment="1" applyProtection="1"/>
    <xf numFmtId="0" fontId="7" fillId="2" borderId="7" xfId="0" applyFont="1" applyFill="1" applyBorder="1" applyAlignment="1" applyProtection="1"/>
    <xf numFmtId="0" fontId="7" fillId="6" borderId="58" xfId="0" applyFont="1" applyFill="1" applyBorder="1" applyAlignment="1" applyProtection="1"/>
    <xf numFmtId="0" fontId="8" fillId="3" borderId="7" xfId="0" applyFont="1" applyFill="1" applyBorder="1" applyAlignment="1" applyProtection="1">
      <alignment horizontal="center" vertical="center"/>
    </xf>
    <xf numFmtId="0" fontId="8" fillId="7" borderId="25" xfId="0" applyFont="1" applyFill="1" applyBorder="1" applyAlignment="1" applyProtection="1">
      <alignment horizontal="center" vertical="center"/>
    </xf>
    <xf numFmtId="0" fontId="8" fillId="3" borderId="5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7" borderId="53"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8" fillId="3" borderId="58" xfId="0" applyFont="1" applyFill="1" applyBorder="1" applyAlignment="1" applyProtection="1">
      <alignment horizontal="center" vertical="center"/>
    </xf>
    <xf numFmtId="0" fontId="8" fillId="7" borderId="60" xfId="0" applyFont="1" applyFill="1" applyBorder="1" applyAlignment="1" applyProtection="1">
      <alignment horizontal="center" vertical="center"/>
    </xf>
    <xf numFmtId="0" fontId="8" fillId="3" borderId="59" xfId="0" applyFont="1" applyFill="1" applyBorder="1" applyAlignment="1" applyProtection="1">
      <alignment horizontal="center" vertical="center"/>
    </xf>
    <xf numFmtId="0" fontId="8" fillId="3" borderId="55" xfId="0" applyFont="1" applyFill="1" applyBorder="1" applyAlignment="1" applyProtection="1">
      <alignment horizontal="center" vertical="center"/>
    </xf>
    <xf numFmtId="0" fontId="0" fillId="0" borderId="0" xfId="0" applyFont="1" applyProtection="1">
      <protection hidden="1"/>
    </xf>
    <xf numFmtId="0" fontId="0" fillId="0" borderId="0" xfId="0" applyNumberFormat="1" applyProtection="1">
      <protection hidden="1"/>
    </xf>
    <xf numFmtId="0" fontId="0" fillId="0" borderId="0" xfId="0" applyNumberFormat="1" applyFont="1" applyProtection="1">
      <protection hidden="1"/>
    </xf>
    <xf numFmtId="0" fontId="0" fillId="2" borderId="7" xfId="0" applyFill="1" applyBorder="1" applyAlignment="1" applyProtection="1"/>
    <xf numFmtId="0" fontId="0" fillId="2" borderId="58" xfId="0" applyFill="1" applyBorder="1" applyAlignment="1" applyProtection="1"/>
    <xf numFmtId="0" fontId="3" fillId="3" borderId="0" xfId="0" applyFont="1" applyFill="1" applyBorder="1" applyAlignment="1" applyProtection="1">
      <alignment horizontal="center"/>
    </xf>
    <xf numFmtId="0" fontId="7" fillId="3" borderId="2" xfId="0" applyFont="1" applyFill="1" applyBorder="1" applyAlignment="1" applyProtection="1">
      <alignment vertical="center" wrapText="1"/>
    </xf>
    <xf numFmtId="0" fontId="7" fillId="3" borderId="23" xfId="0" applyFont="1" applyFill="1" applyBorder="1" applyAlignment="1" applyProtection="1">
      <alignment vertical="center"/>
    </xf>
    <xf numFmtId="0" fontId="7" fillId="3" borderId="23"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12" fillId="5" borderId="0" xfId="0" applyFont="1" applyFill="1" applyBorder="1" applyAlignment="1" applyProtection="1">
      <alignment horizontal="center"/>
    </xf>
    <xf numFmtId="0" fontId="7" fillId="10" borderId="58" xfId="0" applyFont="1" applyFill="1" applyBorder="1" applyAlignment="1" applyProtection="1">
      <alignment horizontal="center" vertical="center"/>
    </xf>
    <xf numFmtId="1" fontId="7" fillId="10" borderId="56" xfId="0" applyNumberFormat="1" applyFont="1" applyFill="1" applyBorder="1" applyAlignment="1" applyProtection="1">
      <alignment horizontal="center" vertical="center"/>
    </xf>
    <xf numFmtId="0" fontId="9" fillId="10" borderId="59" xfId="0" applyFont="1" applyFill="1" applyBorder="1" applyAlignment="1" applyProtection="1">
      <alignment horizontal="center" vertical="center"/>
    </xf>
    <xf numFmtId="0" fontId="9" fillId="10" borderId="58" xfId="0" applyFont="1" applyFill="1" applyBorder="1" applyAlignment="1" applyProtection="1">
      <alignment horizontal="center" vertical="center"/>
    </xf>
    <xf numFmtId="1" fontId="9" fillId="10" borderId="60" xfId="0" applyNumberFormat="1" applyFont="1" applyFill="1" applyBorder="1" applyAlignment="1" applyProtection="1">
      <alignment horizontal="center" vertical="center"/>
    </xf>
    <xf numFmtId="0" fontId="9" fillId="10" borderId="10" xfId="0" applyFont="1" applyFill="1" applyBorder="1" applyAlignment="1" applyProtection="1">
      <alignment horizontal="center" vertical="center"/>
    </xf>
    <xf numFmtId="1" fontId="9" fillId="10" borderId="30" xfId="0" applyNumberFormat="1" applyFont="1" applyFill="1" applyBorder="1" applyAlignment="1" applyProtection="1">
      <alignment horizontal="center" vertical="center"/>
    </xf>
    <xf numFmtId="0" fontId="9" fillId="10" borderId="29" xfId="0" applyFont="1" applyFill="1" applyBorder="1" applyAlignment="1" applyProtection="1">
      <alignment horizontal="center" vertical="center"/>
    </xf>
    <xf numFmtId="0" fontId="9" fillId="10" borderId="61" xfId="0" applyFont="1" applyFill="1" applyBorder="1" applyAlignment="1" applyProtection="1">
      <alignment horizontal="center" vertical="center"/>
    </xf>
    <xf numFmtId="0" fontId="8" fillId="10" borderId="16" xfId="0" applyFont="1" applyFill="1" applyBorder="1" applyAlignment="1" applyProtection="1">
      <alignment horizontal="center" vertical="center"/>
    </xf>
    <xf numFmtId="0" fontId="6" fillId="10" borderId="31" xfId="0" applyFont="1" applyFill="1" applyBorder="1" applyAlignment="1" applyProtection="1">
      <alignment horizontal="center"/>
    </xf>
    <xf numFmtId="0" fontId="6" fillId="10" borderId="57" xfId="0" applyFont="1" applyFill="1" applyBorder="1" applyAlignment="1" applyProtection="1">
      <alignment horizontal="center"/>
    </xf>
    <xf numFmtId="0" fontId="8" fillId="10" borderId="23" xfId="0" applyFont="1" applyFill="1" applyBorder="1" applyAlignment="1" applyProtection="1">
      <alignment horizontal="center"/>
    </xf>
    <xf numFmtId="0" fontId="8" fillId="10" borderId="60" xfId="0" applyFont="1" applyFill="1" applyBorder="1" applyAlignment="1" applyProtection="1">
      <alignment horizontal="center"/>
    </xf>
    <xf numFmtId="0" fontId="8" fillId="10" borderId="16" xfId="0" applyFont="1" applyFill="1" applyBorder="1" applyAlignment="1" applyProtection="1">
      <alignment horizontal="center"/>
    </xf>
    <xf numFmtId="0" fontId="8" fillId="10" borderId="61" xfId="0" applyFont="1" applyFill="1" applyBorder="1" applyAlignment="1" applyProtection="1">
      <alignment horizontal="center"/>
    </xf>
    <xf numFmtId="0" fontId="6" fillId="10" borderId="16" xfId="0" applyFont="1" applyFill="1" applyBorder="1" applyAlignment="1" applyProtection="1">
      <alignment horizontal="center"/>
    </xf>
    <xf numFmtId="0" fontId="6" fillId="10" borderId="61" xfId="0" applyFont="1" applyFill="1" applyBorder="1" applyAlignment="1" applyProtection="1">
      <alignment horizontal="center"/>
    </xf>
    <xf numFmtId="0" fontId="6" fillId="10" borderId="2" xfId="0" applyFont="1" applyFill="1" applyBorder="1" applyAlignment="1" applyProtection="1">
      <alignment horizontal="center"/>
    </xf>
    <xf numFmtId="0" fontId="6" fillId="10" borderId="58" xfId="0" applyFont="1" applyFill="1" applyBorder="1" applyAlignment="1" applyProtection="1">
      <alignment horizontal="center"/>
    </xf>
    <xf numFmtId="0" fontId="3" fillId="10" borderId="50" xfId="0" applyFont="1" applyFill="1" applyBorder="1" applyAlignment="1" applyProtection="1">
      <alignment horizontal="center"/>
    </xf>
    <xf numFmtId="0" fontId="3" fillId="10" borderId="54" xfId="0" applyFont="1" applyFill="1" applyBorder="1" applyAlignment="1" applyProtection="1">
      <alignment horizontal="center"/>
    </xf>
    <xf numFmtId="0" fontId="27" fillId="11" borderId="16" xfId="0" applyFont="1" applyFill="1" applyBorder="1" applyAlignment="1" applyProtection="1">
      <alignment horizontal="center" vertical="center"/>
    </xf>
    <xf numFmtId="0" fontId="8" fillId="11" borderId="23" xfId="0" applyFont="1" applyFill="1" applyBorder="1" applyAlignment="1" applyProtection="1">
      <alignment horizontal="center" vertical="center"/>
    </xf>
    <xf numFmtId="0" fontId="28" fillId="11" borderId="2" xfId="0" applyFont="1" applyFill="1" applyBorder="1" applyAlignment="1" applyProtection="1">
      <alignment horizontal="center" vertical="center"/>
    </xf>
    <xf numFmtId="0" fontId="28" fillId="11" borderId="38" xfId="0" applyFont="1" applyFill="1" applyBorder="1" applyAlignment="1" applyProtection="1">
      <alignment horizontal="center" vertical="center"/>
    </xf>
    <xf numFmtId="0" fontId="6" fillId="10" borderId="2" xfId="0" applyFont="1" applyFill="1" applyBorder="1" applyAlignment="1" applyProtection="1"/>
    <xf numFmtId="0" fontId="6" fillId="10" borderId="35" xfId="0" applyFont="1" applyFill="1" applyBorder="1" applyAlignment="1" applyProtection="1"/>
    <xf numFmtId="0" fontId="7" fillId="10" borderId="2" xfId="0" applyFont="1" applyFill="1" applyBorder="1" applyAlignment="1" applyProtection="1">
      <alignment wrapText="1"/>
    </xf>
    <xf numFmtId="0" fontId="7" fillId="10" borderId="21" xfId="0" applyFont="1" applyFill="1" applyBorder="1" applyAlignment="1" applyProtection="1"/>
    <xf numFmtId="0" fontId="7" fillId="10" borderId="3" xfId="0" applyFont="1" applyFill="1" applyBorder="1" applyAlignment="1" applyProtection="1"/>
    <xf numFmtId="0" fontId="7" fillId="10" borderId="10" xfId="0" applyFont="1" applyFill="1" applyBorder="1" applyAlignment="1" applyProtection="1"/>
    <xf numFmtId="0" fontId="8" fillId="10" borderId="32" xfId="0" applyFont="1" applyFill="1" applyBorder="1" applyAlignment="1" applyProtection="1">
      <alignment horizontal="center" vertical="center"/>
    </xf>
    <xf numFmtId="0" fontId="6" fillId="10" borderId="16" xfId="0" applyFont="1" applyFill="1" applyBorder="1" applyAlignment="1" applyProtection="1">
      <alignment horizontal="center" vertical="center"/>
    </xf>
    <xf numFmtId="0" fontId="8" fillId="10" borderId="20" xfId="0" applyFont="1" applyFill="1" applyBorder="1" applyAlignment="1" applyProtection="1">
      <alignment horizontal="center" vertical="center"/>
    </xf>
    <xf numFmtId="0" fontId="8" fillId="10" borderId="17" xfId="0" applyFont="1" applyFill="1" applyBorder="1" applyAlignment="1" applyProtection="1">
      <alignment horizontal="center" vertical="center"/>
    </xf>
    <xf numFmtId="0" fontId="9" fillId="10" borderId="28" xfId="0" applyFont="1" applyFill="1" applyBorder="1" applyAlignment="1" applyProtection="1">
      <alignment horizontal="center" vertical="center"/>
    </xf>
    <xf numFmtId="0" fontId="8" fillId="10" borderId="23" xfId="0" applyFont="1" applyFill="1" applyBorder="1" applyAlignment="1" applyProtection="1">
      <alignment horizontal="center" vertical="center"/>
    </xf>
    <xf numFmtId="0" fontId="8" fillId="10" borderId="36" xfId="0" applyFont="1" applyFill="1" applyBorder="1" applyAlignment="1" applyProtection="1">
      <alignment horizontal="center" vertical="center"/>
    </xf>
    <xf numFmtId="0" fontId="6" fillId="10" borderId="23" xfId="0" applyFont="1" applyFill="1" applyBorder="1" applyAlignment="1" applyProtection="1">
      <alignment horizontal="center" vertical="center"/>
    </xf>
    <xf numFmtId="0" fontId="8" fillId="10" borderId="1" xfId="0" applyFont="1" applyFill="1" applyBorder="1" applyAlignment="1" applyProtection="1">
      <alignment horizontal="center" vertical="center"/>
    </xf>
    <xf numFmtId="0" fontId="8" fillId="10" borderId="24" xfId="0" applyFont="1" applyFill="1" applyBorder="1" applyAlignment="1" applyProtection="1">
      <alignment horizontal="center" vertical="center"/>
    </xf>
    <xf numFmtId="0" fontId="9" fillId="10" borderId="30" xfId="0" applyFont="1" applyFill="1" applyBorder="1" applyAlignment="1" applyProtection="1">
      <alignment horizontal="center" vertical="center"/>
    </xf>
    <xf numFmtId="0" fontId="8" fillId="10" borderId="4" xfId="0" applyFont="1" applyFill="1" applyBorder="1" applyAlignment="1" applyProtection="1">
      <alignment horizontal="center" vertical="center"/>
    </xf>
    <xf numFmtId="0" fontId="8" fillId="10" borderId="34" xfId="0" applyFont="1" applyFill="1" applyBorder="1" applyAlignment="1" applyProtection="1">
      <alignment horizontal="center" vertical="center"/>
    </xf>
    <xf numFmtId="0" fontId="6" fillId="10" borderId="4" xfId="0" applyFont="1" applyFill="1" applyBorder="1" applyAlignment="1" applyProtection="1">
      <alignment horizontal="center" vertical="center"/>
    </xf>
    <xf numFmtId="0" fontId="8" fillId="10" borderId="22" xfId="0" applyFont="1" applyFill="1" applyBorder="1" applyAlignment="1" applyProtection="1">
      <alignment horizontal="center" vertical="center"/>
    </xf>
    <xf numFmtId="0" fontId="8" fillId="10" borderId="5" xfId="0" applyFont="1" applyFill="1" applyBorder="1" applyAlignment="1" applyProtection="1">
      <alignment horizontal="center" vertical="center"/>
    </xf>
    <xf numFmtId="0" fontId="7" fillId="3" borderId="1" xfId="0" applyFont="1" applyFill="1" applyBorder="1" applyAlignment="1" applyProtection="1">
      <alignment vertical="center" wrapText="1"/>
    </xf>
    <xf numFmtId="0" fontId="7" fillId="12" borderId="1" xfId="0" applyFont="1" applyFill="1" applyBorder="1" applyAlignment="1" applyProtection="1">
      <alignment vertical="center" wrapText="1"/>
    </xf>
    <xf numFmtId="0" fontId="7" fillId="12" borderId="1" xfId="0" applyFont="1" applyFill="1" applyBorder="1" applyAlignment="1" applyProtection="1">
      <alignment vertical="center"/>
    </xf>
    <xf numFmtId="0" fontId="0" fillId="12" borderId="1" xfId="0" applyFill="1" applyBorder="1"/>
    <xf numFmtId="0" fontId="6" fillId="11" borderId="31" xfId="0" applyFont="1" applyFill="1" applyBorder="1" applyAlignment="1" applyProtection="1">
      <alignment horizontal="center" vertical="center"/>
    </xf>
    <xf numFmtId="0" fontId="6" fillId="11" borderId="23" xfId="0" applyFont="1" applyFill="1" applyBorder="1" applyAlignment="1" applyProtection="1">
      <alignment horizontal="center" vertical="center"/>
    </xf>
    <xf numFmtId="0" fontId="0" fillId="0" borderId="1" xfId="0" applyBorder="1" applyAlignment="1">
      <alignment horizontal="center"/>
    </xf>
    <xf numFmtId="0" fontId="15" fillId="8" borderId="0" xfId="0" applyFont="1" applyFill="1" applyAlignment="1">
      <alignment horizontal="center" vertical="center" wrapText="1"/>
    </xf>
    <xf numFmtId="0" fontId="15" fillId="6" borderId="0" xfId="0" applyFont="1" applyFill="1" applyAlignment="1">
      <alignment horizontal="left" vertical="center" wrapText="1"/>
    </xf>
    <xf numFmtId="0" fontId="5" fillId="3" borderId="51"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3" fillId="0" borderId="0" xfId="0" applyFont="1" applyFill="1" applyBorder="1" applyAlignment="1" applyProtection="1">
      <alignment horizontal="center"/>
    </xf>
    <xf numFmtId="0" fontId="7" fillId="3" borderId="31"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xf>
    <xf numFmtId="0" fontId="4" fillId="5" borderId="12"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3" fillId="6" borderId="49" xfId="0" applyFont="1" applyFill="1" applyBorder="1" applyAlignment="1" applyProtection="1">
      <alignment horizontal="center"/>
    </xf>
    <xf numFmtId="0" fontId="3" fillId="6" borderId="15" xfId="0" applyFont="1" applyFill="1" applyBorder="1" applyAlignment="1" applyProtection="1">
      <alignment horizontal="center"/>
    </xf>
    <xf numFmtId="0" fontId="3" fillId="2" borderId="49"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5" fillId="3" borderId="25"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4" fillId="5" borderId="11" xfId="0" applyFont="1" applyFill="1" applyBorder="1" applyAlignment="1" applyProtection="1">
      <alignment horizontal="center"/>
    </xf>
    <xf numFmtId="0" fontId="4" fillId="5" borderId="12" xfId="0" applyFont="1" applyFill="1" applyBorder="1" applyAlignment="1" applyProtection="1">
      <alignment horizontal="center"/>
    </xf>
    <xf numFmtId="0" fontId="4" fillId="5" borderId="13" xfId="0" applyFont="1" applyFill="1" applyBorder="1" applyAlignment="1" applyProtection="1">
      <alignment horizontal="center"/>
    </xf>
    <xf numFmtId="0" fontId="7" fillId="4" borderId="38"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6" fillId="2" borderId="19" xfId="0" applyFont="1" applyFill="1" applyBorder="1" applyAlignment="1" applyProtection="1">
      <alignment horizontal="center"/>
    </xf>
    <xf numFmtId="0" fontId="6" fillId="2" borderId="46" xfId="0" applyFont="1" applyFill="1" applyBorder="1" applyAlignment="1" applyProtection="1">
      <alignment horizontal="center"/>
    </xf>
    <xf numFmtId="0" fontId="7" fillId="4" borderId="19" xfId="0" applyFont="1" applyFill="1" applyBorder="1" applyAlignment="1" applyProtection="1">
      <alignment horizontal="center"/>
    </xf>
    <xf numFmtId="0" fontId="7" fillId="4" borderId="46" xfId="0" applyFont="1" applyFill="1" applyBorder="1" applyAlignment="1" applyProtection="1">
      <alignment horizontal="center"/>
    </xf>
    <xf numFmtId="0" fontId="7" fillId="4" borderId="28" xfId="0" applyFont="1" applyFill="1" applyBorder="1" applyAlignment="1" applyProtection="1">
      <alignment horizontal="center"/>
    </xf>
    <xf numFmtId="0" fontId="6" fillId="2" borderId="28" xfId="0" applyFont="1" applyFill="1" applyBorder="1" applyAlignment="1" applyProtection="1">
      <alignment horizontal="center"/>
    </xf>
    <xf numFmtId="0" fontId="23" fillId="12" borderId="1" xfId="0" applyFont="1" applyFill="1" applyBorder="1" applyAlignment="1">
      <alignment horizontal="center" vertical="center" wrapText="1" readingOrder="1"/>
    </xf>
    <xf numFmtId="0" fontId="0" fillId="0" borderId="1" xfId="0" applyBorder="1" applyAlignment="1">
      <alignment horizontal="center"/>
    </xf>
    <xf numFmtId="0" fontId="4" fillId="5" borderId="11" xfId="0" applyFont="1" applyFill="1" applyBorder="1" applyAlignment="1" applyProtection="1">
      <alignment horizontal="center" wrapText="1"/>
    </xf>
    <xf numFmtId="0" fontId="4" fillId="5" borderId="12" xfId="0" applyFont="1" applyFill="1" applyBorder="1" applyAlignment="1" applyProtection="1">
      <alignment horizontal="center" wrapText="1"/>
    </xf>
    <xf numFmtId="0" fontId="4" fillId="5" borderId="13" xfId="0" applyFont="1" applyFill="1" applyBorder="1" applyAlignment="1" applyProtection="1">
      <alignment horizontal="center" wrapText="1"/>
    </xf>
    <xf numFmtId="0" fontId="6" fillId="3" borderId="35" xfId="0" applyFont="1" applyFill="1" applyBorder="1" applyAlignment="1" applyProtection="1">
      <alignment horizontal="center" vertical="center" textRotation="90" wrapText="1"/>
    </xf>
    <xf numFmtId="0" fontId="6" fillId="3" borderId="36" xfId="0" applyFont="1" applyFill="1" applyBorder="1" applyAlignment="1" applyProtection="1">
      <alignment horizontal="center" vertical="center" textRotation="90" wrapText="1"/>
    </xf>
    <xf numFmtId="0" fontId="6" fillId="3" borderId="34" xfId="0" applyFont="1" applyFill="1" applyBorder="1" applyAlignment="1" applyProtection="1">
      <alignment horizontal="center" vertical="center" textRotation="90" wrapText="1"/>
    </xf>
    <xf numFmtId="0" fontId="3" fillId="6" borderId="1" xfId="0" applyFont="1" applyFill="1" applyBorder="1" applyAlignment="1">
      <alignment horizontal="left" vertical="center" textRotation="45" wrapText="1"/>
    </xf>
    <xf numFmtId="0" fontId="0" fillId="0" borderId="0" xfId="0" applyAlignment="1">
      <alignment textRotation="45"/>
    </xf>
    <xf numFmtId="0" fontId="0" fillId="0" borderId="2" xfId="0" applyBorder="1" applyAlignment="1">
      <alignment horizontal="center"/>
    </xf>
    <xf numFmtId="0" fontId="0" fillId="0" borderId="21" xfId="0" applyBorder="1" applyAlignment="1">
      <alignment horizontal="center"/>
    </xf>
    <xf numFmtId="0" fontId="0" fillId="0" borderId="3"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4" xfId="0" applyBorder="1" applyAlignment="1">
      <alignment horizontal="center"/>
    </xf>
    <xf numFmtId="0" fontId="0" fillId="0" borderId="22" xfId="0" applyBorder="1" applyAlignment="1">
      <alignment horizontal="center"/>
    </xf>
    <xf numFmtId="0" fontId="0" fillId="0" borderId="5" xfId="0" applyBorder="1" applyAlignment="1">
      <alignment horizontal="center"/>
    </xf>
    <xf numFmtId="0" fontId="0" fillId="0" borderId="43" xfId="0" applyBorder="1" applyAlignment="1">
      <alignment textRotation="45"/>
    </xf>
    <xf numFmtId="0" fontId="3" fillId="6" borderId="36" xfId="0" applyFont="1" applyFill="1" applyBorder="1" applyAlignment="1">
      <alignment horizontal="left" vertical="center" textRotation="45" wrapText="1"/>
    </xf>
    <xf numFmtId="0" fontId="0" fillId="0" borderId="27" xfId="0" applyBorder="1" applyAlignment="1">
      <alignment horizontal="center" textRotation="45"/>
    </xf>
    <xf numFmtId="0" fontId="0" fillId="0" borderId="0" xfId="0" applyBorder="1" applyAlignment="1">
      <alignment horizontal="center"/>
    </xf>
    <xf numFmtId="0" fontId="29" fillId="0" borderId="0" xfId="0" applyFont="1" applyAlignment="1">
      <alignment textRotation="45"/>
    </xf>
  </cellXfs>
  <cellStyles count="7">
    <cellStyle name="Lien hypertexte" xfId="1" builtinId="8" hidden="1"/>
    <cellStyle name="Lien hypertexte" xfId="3" builtinId="8" hidden="1"/>
    <cellStyle name="Lien hypertexte" xfId="5" builtinId="8" hidden="1"/>
    <cellStyle name="Lien hypertexte visité" xfId="2" builtinId="9" hidden="1"/>
    <cellStyle name="Lien hypertexte visité" xfId="4" builtinId="9" hidden="1"/>
    <cellStyle name="Lien hypertexte visité" xfId="6" builtinId="9" hidden="1"/>
    <cellStyle name="Normal" xfId="0" builtinId="0"/>
  </cellStyles>
  <dxfs count="23">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numFmt numFmtId="0" formatCode="General"/>
      <protection locked="1" hidden="1"/>
    </dxf>
    <dxf>
      <protection locked="1" hidden="1"/>
    </dxf>
    <dxf>
      <protection locked="1" hidden="1"/>
    </dxf>
    <dxf>
      <protection locked="1" hidden="1"/>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19" formatCode="dd/mm/yyyy"/>
      <protection locked="0" hidden="0"/>
    </dxf>
    <dxf>
      <protection locked="1" hidden="1"/>
    </dxf>
    <dxf>
      <alignment horizontal="general" vertical="bottom" textRotation="0" wrapText="1" indent="0" justifyLastLine="0" shrinkToFit="0" readingOrder="0"/>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 de classes maternelles accueillies </a:t>
            </a:r>
            <a:r>
              <a:rPr lang="fr-FR" baseline="0"/>
              <a:t>par rapport aux effectifs connus, par quartier</a:t>
            </a:r>
            <a:endParaRPr lang="fr-FR"/>
          </a:p>
        </c:rich>
      </c:tx>
      <c:overlay val="0"/>
      <c:spPr>
        <a:noFill/>
        <a:ln>
          <a:noFill/>
        </a:ln>
        <a:effectLst/>
      </c:spPr>
    </c:title>
    <c:autoTitleDeleted val="0"/>
    <c:plotArea>
      <c:layout>
        <c:manualLayout>
          <c:layoutTarget val="inner"/>
          <c:xMode val="edge"/>
          <c:yMode val="edge"/>
          <c:x val="3.26237710413321E-2"/>
          <c:y val="0.19265788103374601"/>
          <c:w val="0.95313572067792396"/>
          <c:h val="0.76230657392044399"/>
        </c:manualLayout>
      </c:layout>
      <c:barChart>
        <c:barDir val="bar"/>
        <c:grouping val="clustered"/>
        <c:varyColors val="0"/>
        <c:ser>
          <c:idx val="0"/>
          <c:order val="0"/>
          <c:tx>
            <c:strRef>
              <c:f>Bilans!$A$54</c:f>
              <c:strCache>
                <c:ptCount val="1"/>
                <c:pt idx="0">
                  <c:v>Buers-Croix-Luizet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Bilans!$E$54</c:f>
              <c:numCache>
                <c:formatCode>0%</c:formatCode>
                <c:ptCount val="1"/>
                <c:pt idx="0">
                  <c:v>0</c:v>
                </c:pt>
              </c:numCache>
            </c:numRef>
          </c:val>
        </c:ser>
        <c:ser>
          <c:idx val="1"/>
          <c:order val="1"/>
          <c:tx>
            <c:strRef>
              <c:f>Bilans!$A$57</c:f>
              <c:strCache>
                <c:ptCount val="1"/>
                <c:pt idx="0">
                  <c:v>Charpennes-Tonkin</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Bilans!$E$57</c:f>
              <c:numCache>
                <c:formatCode>0%</c:formatCode>
                <c:ptCount val="1"/>
                <c:pt idx="0">
                  <c:v>0</c:v>
                </c:pt>
              </c:numCache>
            </c:numRef>
          </c:val>
        </c:ser>
        <c:ser>
          <c:idx val="2"/>
          <c:order val="2"/>
          <c:tx>
            <c:strRef>
              <c:f>Bilans!$A$60</c:f>
              <c:strCache>
                <c:ptCount val="1"/>
                <c:pt idx="0">
                  <c:v>Cusset-Bonnevay</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Bilans!$E$60</c:f>
              <c:numCache>
                <c:formatCode>0%</c:formatCode>
                <c:ptCount val="1"/>
                <c:pt idx="0">
                  <c:v>0</c:v>
                </c:pt>
              </c:numCache>
            </c:numRef>
          </c:val>
        </c:ser>
        <c:ser>
          <c:idx val="3"/>
          <c:order val="3"/>
          <c:tx>
            <c:strRef>
              <c:f>Bilans!$A$63</c:f>
              <c:strCache>
                <c:ptCount val="1"/>
                <c:pt idx="0">
                  <c:v>Cyprian-les-Brosses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Bilans!$E$63</c:f>
              <c:numCache>
                <c:formatCode>0%</c:formatCode>
                <c:ptCount val="1"/>
                <c:pt idx="0">
                  <c:v>0</c:v>
                </c:pt>
              </c:numCache>
            </c:numRef>
          </c:val>
        </c:ser>
        <c:ser>
          <c:idx val="4"/>
          <c:order val="4"/>
          <c:tx>
            <c:strRef>
              <c:f>Bilans!$A$66</c:f>
              <c:strCache>
                <c:ptCount val="1"/>
                <c:pt idx="0">
                  <c:v>Ferrandière-Maisons Neuves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Bilans!$E$66</c:f>
              <c:numCache>
                <c:formatCode>0%</c:formatCode>
                <c:ptCount val="1"/>
                <c:pt idx="0">
                  <c:v>0</c:v>
                </c:pt>
              </c:numCache>
            </c:numRef>
          </c:val>
        </c:ser>
        <c:ser>
          <c:idx val="5"/>
          <c:order val="5"/>
          <c:tx>
            <c:strRef>
              <c:f>Bilans!$A$69</c:f>
              <c:strCache>
                <c:ptCount val="1"/>
                <c:pt idx="0">
                  <c:v>Gratte-ciel-Dedieu-Charmettes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Bilans!$E$69</c:f>
              <c:numCache>
                <c:formatCode>0%</c:formatCode>
                <c:ptCount val="1"/>
                <c:pt idx="0">
                  <c:v>0</c:v>
                </c:pt>
              </c:numCache>
            </c:numRef>
          </c:val>
        </c:ser>
        <c:ser>
          <c:idx val="6"/>
          <c:order val="6"/>
          <c:tx>
            <c:strRef>
              <c:f>Bilans!$A$72</c:f>
              <c:strCache>
                <c:ptCount val="1"/>
                <c:pt idx="0">
                  <c:v>Perralière-Grandclément</c:v>
                </c:pt>
              </c:strCache>
            </c:strRef>
          </c:tx>
          <c:spPr>
            <a:solidFill>
              <a:srgbClr val="FFFF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Bilans!$E$72</c:f>
              <c:numCache>
                <c:formatCode>0%</c:formatCode>
                <c:ptCount val="1"/>
                <c:pt idx="0">
                  <c:v>0</c:v>
                </c:pt>
              </c:numCache>
            </c:numRef>
          </c:val>
        </c:ser>
        <c:ser>
          <c:idx val="7"/>
          <c:order val="7"/>
          <c:tx>
            <c:strRef>
              <c:f>Bilans!$A$75</c:f>
              <c:strCache>
                <c:ptCount val="1"/>
                <c:pt idx="0">
                  <c:v>Saint Jean</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Bilans!$E$75</c:f>
              <c:numCache>
                <c:formatCode>0%</c:formatCode>
                <c:ptCount val="1"/>
                <c:pt idx="0">
                  <c:v>0</c:v>
                </c:pt>
              </c:numCache>
            </c:numRef>
          </c:val>
        </c:ser>
        <c:dLbls>
          <c:showLegendKey val="0"/>
          <c:showVal val="1"/>
          <c:showCatName val="0"/>
          <c:showSerName val="0"/>
          <c:showPercent val="0"/>
          <c:showBubbleSize val="0"/>
        </c:dLbls>
        <c:gapWidth val="150"/>
        <c:overlap val="-25"/>
        <c:axId val="541097344"/>
        <c:axId val="541095808"/>
      </c:barChart>
      <c:valAx>
        <c:axId val="541095808"/>
        <c:scaling>
          <c:orientation val="minMax"/>
        </c:scaling>
        <c:delete val="1"/>
        <c:axPos val="b"/>
        <c:numFmt formatCode="0%" sourceLinked="1"/>
        <c:majorTickMark val="out"/>
        <c:minorTickMark val="none"/>
        <c:tickLblPos val="nextTo"/>
        <c:crossAx val="541097344"/>
        <c:crosses val="autoZero"/>
        <c:crossBetween val="between"/>
      </c:valAx>
      <c:catAx>
        <c:axId val="54109734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4109580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 de classes</a:t>
            </a:r>
            <a:r>
              <a:rPr lang="fr-FR" baseline="0"/>
              <a:t> </a:t>
            </a:r>
            <a:r>
              <a:rPr lang="fr-FR"/>
              <a:t>d'élémentaires</a:t>
            </a:r>
            <a:r>
              <a:rPr lang="fr-FR" baseline="0"/>
              <a:t> </a:t>
            </a:r>
            <a:r>
              <a:rPr lang="fr-FR"/>
              <a:t>accueillies </a:t>
            </a:r>
            <a:r>
              <a:rPr lang="fr-FR" baseline="0"/>
              <a:t>par rapport aux effectifs connus, par quartier</a:t>
            </a:r>
            <a:endParaRPr lang="fr-FR"/>
          </a:p>
        </c:rich>
      </c:tx>
      <c:overlay val="0"/>
      <c:spPr>
        <a:noFill/>
        <a:ln>
          <a:noFill/>
        </a:ln>
        <a:effectLst/>
      </c:spPr>
    </c:title>
    <c:autoTitleDeleted val="0"/>
    <c:plotArea>
      <c:layout>
        <c:manualLayout>
          <c:layoutTarget val="inner"/>
          <c:xMode val="edge"/>
          <c:yMode val="edge"/>
          <c:x val="2.97756693851834E-2"/>
          <c:y val="0.20924992394535999"/>
          <c:w val="0.95313572067792396"/>
          <c:h val="0.76230657392044399"/>
        </c:manualLayout>
      </c:layout>
      <c:barChart>
        <c:barDir val="bar"/>
        <c:grouping val="clustered"/>
        <c:varyColors val="0"/>
        <c:ser>
          <c:idx val="0"/>
          <c:order val="0"/>
          <c:tx>
            <c:strRef>
              <c:f>Bilans!$A$54</c:f>
              <c:strCache>
                <c:ptCount val="1"/>
                <c:pt idx="0">
                  <c:v>Buers-Croix-Luizet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Bilans!$H$54</c:f>
              <c:numCache>
                <c:formatCode>0%</c:formatCode>
                <c:ptCount val="1"/>
                <c:pt idx="0">
                  <c:v>0</c:v>
                </c:pt>
              </c:numCache>
            </c:numRef>
          </c:val>
        </c:ser>
        <c:ser>
          <c:idx val="1"/>
          <c:order val="1"/>
          <c:tx>
            <c:strRef>
              <c:f>Bilans!$A$57</c:f>
              <c:strCache>
                <c:ptCount val="1"/>
                <c:pt idx="0">
                  <c:v>Charpennes-Tonkin</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Bilans!$H$57</c:f>
              <c:numCache>
                <c:formatCode>0%</c:formatCode>
                <c:ptCount val="1"/>
                <c:pt idx="0">
                  <c:v>0</c:v>
                </c:pt>
              </c:numCache>
            </c:numRef>
          </c:val>
        </c:ser>
        <c:ser>
          <c:idx val="2"/>
          <c:order val="2"/>
          <c:tx>
            <c:strRef>
              <c:f>Bilans!$A$60</c:f>
              <c:strCache>
                <c:ptCount val="1"/>
                <c:pt idx="0">
                  <c:v>Cusset-Bonnevay</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Bilans!$H$60</c:f>
              <c:numCache>
                <c:formatCode>0%</c:formatCode>
                <c:ptCount val="1"/>
                <c:pt idx="0">
                  <c:v>0</c:v>
                </c:pt>
              </c:numCache>
            </c:numRef>
          </c:val>
        </c:ser>
        <c:ser>
          <c:idx val="3"/>
          <c:order val="3"/>
          <c:tx>
            <c:strRef>
              <c:f>Bilans!$A$63</c:f>
              <c:strCache>
                <c:ptCount val="1"/>
                <c:pt idx="0">
                  <c:v>Cyprian-les-Brosses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Bilans!$H$63</c:f>
              <c:numCache>
                <c:formatCode>0%</c:formatCode>
                <c:ptCount val="1"/>
                <c:pt idx="0">
                  <c:v>0</c:v>
                </c:pt>
              </c:numCache>
            </c:numRef>
          </c:val>
        </c:ser>
        <c:ser>
          <c:idx val="4"/>
          <c:order val="4"/>
          <c:tx>
            <c:strRef>
              <c:f>Bilans!$A$66</c:f>
              <c:strCache>
                <c:ptCount val="1"/>
                <c:pt idx="0">
                  <c:v>Ferrandière-Maisons Neuves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Bilans!$H$66</c:f>
              <c:numCache>
                <c:formatCode>0%</c:formatCode>
                <c:ptCount val="1"/>
                <c:pt idx="0">
                  <c:v>0</c:v>
                </c:pt>
              </c:numCache>
            </c:numRef>
          </c:val>
        </c:ser>
        <c:ser>
          <c:idx val="5"/>
          <c:order val="5"/>
          <c:tx>
            <c:strRef>
              <c:f>Bilans!$A$69</c:f>
              <c:strCache>
                <c:ptCount val="1"/>
                <c:pt idx="0">
                  <c:v>Gratte-ciel-Dedieu-Charmettes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Bilans!$H$69</c:f>
              <c:numCache>
                <c:formatCode>0%</c:formatCode>
                <c:ptCount val="1"/>
                <c:pt idx="0">
                  <c:v>0</c:v>
                </c:pt>
              </c:numCache>
            </c:numRef>
          </c:val>
        </c:ser>
        <c:ser>
          <c:idx val="6"/>
          <c:order val="6"/>
          <c:tx>
            <c:strRef>
              <c:f>Bilans!$A$72</c:f>
              <c:strCache>
                <c:ptCount val="1"/>
                <c:pt idx="0">
                  <c:v>Perralière-Grandclément</c:v>
                </c:pt>
              </c:strCache>
            </c:strRef>
          </c:tx>
          <c:spPr>
            <a:solidFill>
              <a:srgbClr val="FFFF00"/>
            </a:solidFill>
            <a:ln>
              <a:solidFill>
                <a:srgbClr val="FFFF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Bilans!$H$72</c:f>
              <c:numCache>
                <c:formatCode>0%</c:formatCode>
                <c:ptCount val="1"/>
                <c:pt idx="0">
                  <c:v>0</c:v>
                </c:pt>
              </c:numCache>
            </c:numRef>
          </c:val>
        </c:ser>
        <c:ser>
          <c:idx val="7"/>
          <c:order val="7"/>
          <c:tx>
            <c:strRef>
              <c:f>Bilans!$A$75</c:f>
              <c:strCache>
                <c:ptCount val="1"/>
                <c:pt idx="0">
                  <c:v>Saint Jean</c:v>
                </c:pt>
              </c:strCache>
            </c:strRef>
          </c:tx>
          <c:spPr>
            <a:solidFill>
              <a:schemeClr val="bg1">
                <a:lumMod val="6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Bilans!$H$75</c:f>
              <c:numCache>
                <c:formatCode>0%</c:formatCode>
                <c:ptCount val="1"/>
                <c:pt idx="0">
                  <c:v>0</c:v>
                </c:pt>
              </c:numCache>
            </c:numRef>
          </c:val>
        </c:ser>
        <c:dLbls>
          <c:showLegendKey val="0"/>
          <c:showVal val="1"/>
          <c:showCatName val="0"/>
          <c:showSerName val="0"/>
          <c:showPercent val="0"/>
          <c:showBubbleSize val="0"/>
        </c:dLbls>
        <c:gapWidth val="150"/>
        <c:overlap val="-25"/>
        <c:axId val="628889472"/>
        <c:axId val="628887936"/>
      </c:barChart>
      <c:valAx>
        <c:axId val="628887936"/>
        <c:scaling>
          <c:orientation val="minMax"/>
        </c:scaling>
        <c:delete val="1"/>
        <c:axPos val="b"/>
        <c:numFmt formatCode="0%" sourceLinked="1"/>
        <c:majorTickMark val="out"/>
        <c:minorTickMark val="none"/>
        <c:tickLblPos val="nextTo"/>
        <c:crossAx val="628889472"/>
        <c:crosses val="autoZero"/>
        <c:crossBetween val="between"/>
      </c:valAx>
      <c:catAx>
        <c:axId val="62888947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888793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Provenance</a:t>
            </a:r>
            <a:r>
              <a:rPr lang="fr-FR" baseline="0"/>
              <a:t> par quartier des classes accueillies par le Tonkin</a:t>
            </a:r>
            <a:endParaRPr lang="fr-FR"/>
          </a:p>
        </c:rich>
      </c:tx>
      <c:overlay val="0"/>
      <c:spPr>
        <a:noFill/>
        <a:ln>
          <a:noFill/>
        </a:ln>
        <a:effectLst/>
      </c:sp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1"/>
              <c:layout>
                <c:manualLayout>
                  <c:x val="-6.7174776224989297E-2"/>
                  <c:y val="-0.203985636404697"/>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5411405480980996E-2"/>
                  <c:y val="-5.9257296112908003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15:layout>
                    <c:manualLayout>
                      <c:w val="0.16702692162484"/>
                      <c:h val="0.125554359004029"/>
                    </c:manualLayout>
                  </c15:layout>
                </c:ext>
              </c:extLst>
            </c:dLbl>
            <c:dLbl>
              <c:idx val="6"/>
              <c:layout>
                <c:manualLayout>
                  <c:x val="-5.83860839510481E-2"/>
                  <c:y val="2.370291844516279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04528694680251E-2"/>
                  <c:y val="1.18663901948305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(Bilans!$A$54,Bilans!$A$57,Bilans!$A$60,Bilans!$A$63,Bilans!$A$66,Bilans!$A$69,Bilans!$A$72,Bilans!$A$75)</c:f>
              <c:strCache>
                <c:ptCount val="8"/>
                <c:pt idx="0">
                  <c:v>Buers-Croix-Luizet</c:v>
                </c:pt>
                <c:pt idx="1">
                  <c:v>Charpennes-Tonkin</c:v>
                </c:pt>
                <c:pt idx="2">
                  <c:v>Cusset-Bonnevay</c:v>
                </c:pt>
                <c:pt idx="3">
                  <c:v>Cyprian-les-Brosses</c:v>
                </c:pt>
                <c:pt idx="4">
                  <c:v>Ferrandière-Maisons Neuves</c:v>
                </c:pt>
                <c:pt idx="5">
                  <c:v>Gratte-ciel-Dedieu-Charmettes</c:v>
                </c:pt>
                <c:pt idx="6">
                  <c:v>Perralière-Grandclément</c:v>
                </c:pt>
                <c:pt idx="7">
                  <c:v>Saint Jean</c:v>
                </c:pt>
              </c:strCache>
            </c:strRef>
          </c:cat>
          <c:val>
            <c:numRef>
              <c:f>(Bilans!$S$54,Bilans!$S$57,Bilans!$S$60,Bilans!$S$63,Bilans!$S$66,Bilans!$S$69,Bilans!$S$72,Bilans!$S$75)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Provenance</a:t>
            </a:r>
            <a:r>
              <a:rPr lang="fr-FR" baseline="0"/>
              <a:t> par quartier des classes accueillies par le Rize</a:t>
            </a:r>
          </a:p>
        </c:rich>
      </c:tx>
      <c:overlay val="0"/>
      <c:spPr>
        <a:noFill/>
        <a:ln>
          <a:noFill/>
        </a:ln>
        <a:effectLst/>
      </c:sp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1"/>
              <c:layout>
                <c:manualLayout>
                  <c:x val="0.24920889491300999"/>
                  <c:y val="1.185145922258160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2279018427554101E-2"/>
                  <c:y val="1.7840458828777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09932238727881E-2"/>
                  <c:y val="1.50039473757883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(Bilans!$A$54,Bilans!$A$57,Bilans!$A$60,Bilans!$A$63,Bilans!$A$66,Bilans!$A$69,Bilans!$A$72,Bilans!$A$75)</c:f>
              <c:strCache>
                <c:ptCount val="8"/>
                <c:pt idx="0">
                  <c:v>Buers-Croix-Luizet</c:v>
                </c:pt>
                <c:pt idx="1">
                  <c:v>Charpennes-Tonkin</c:v>
                </c:pt>
                <c:pt idx="2">
                  <c:v>Cusset-Bonnevay</c:v>
                </c:pt>
                <c:pt idx="3">
                  <c:v>Cyprian-les-Brosses</c:v>
                </c:pt>
                <c:pt idx="4">
                  <c:v>Ferrandière-Maisons Neuves</c:v>
                </c:pt>
                <c:pt idx="5">
                  <c:v>Gratte-ciel-Dedieu-Charmettes</c:v>
                </c:pt>
                <c:pt idx="6">
                  <c:v>Perralière-Grandclément</c:v>
                </c:pt>
                <c:pt idx="7">
                  <c:v>Saint Jean</c:v>
                </c:pt>
              </c:strCache>
            </c:strRef>
          </c:cat>
          <c:val>
            <c:numRef>
              <c:f>(Bilans!$Q$54,Bilans!$Q$57,Bilans!$Q$60,Bilans!$Q$63,Bilans!$Q$66,Bilans!$Q$69,Bilans!$Q$72,Bilans!$Q$75)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Provenance</a:t>
            </a:r>
            <a:r>
              <a:rPr lang="fr-FR" baseline="0"/>
              <a:t> par quartier des classes accueillies par la MLIS</a:t>
            </a:r>
          </a:p>
        </c:rich>
      </c:tx>
      <c:overlay val="0"/>
      <c:spPr>
        <a:noFill/>
        <a:ln>
          <a:noFill/>
        </a:ln>
        <a:effectLst/>
      </c:sp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6"/>
              <c:layout>
                <c:manualLayout>
                  <c:x val="-1.6368567228822899E-2"/>
                  <c:y val="2.4038865320763901E-4"/>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(Bilans!$A$54,Bilans!$A$57,Bilans!$A$60,Bilans!$A$63,Bilans!$A$66,Bilans!$A$69,Bilans!$A$72,Bilans!$A$75)</c:f>
              <c:strCache>
                <c:ptCount val="8"/>
                <c:pt idx="0">
                  <c:v>Buers-Croix-Luizet</c:v>
                </c:pt>
                <c:pt idx="1">
                  <c:v>Charpennes-Tonkin</c:v>
                </c:pt>
                <c:pt idx="2">
                  <c:v>Cusset-Bonnevay</c:v>
                </c:pt>
                <c:pt idx="3">
                  <c:v>Cyprian-les-Brosses</c:v>
                </c:pt>
                <c:pt idx="4">
                  <c:v>Ferrandière-Maisons Neuves</c:v>
                </c:pt>
                <c:pt idx="5">
                  <c:v>Gratte-ciel-Dedieu-Charmettes</c:v>
                </c:pt>
                <c:pt idx="6">
                  <c:v>Perralière-Grandclément</c:v>
                </c:pt>
                <c:pt idx="7">
                  <c:v>Saint Jean</c:v>
                </c:pt>
              </c:strCache>
            </c:strRef>
          </c:cat>
          <c:val>
            <c:numRef>
              <c:f>(Bilans!$P$54,Bilans!$P$57,Bilans!$P$60,Bilans!$P$63,Bilans!$P$66,Bilans!$P$69,Bilans!$P$72,Bilans!$P$75)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Provenance</a:t>
            </a:r>
            <a:r>
              <a:rPr lang="fr-FR" baseline="0"/>
              <a:t> par quartier des classes accueillies par le PAC-BUS</a:t>
            </a:r>
          </a:p>
        </c:rich>
      </c:tx>
      <c:overlay val="0"/>
      <c:spPr>
        <a:noFill/>
        <a:ln>
          <a:noFill/>
        </a:ln>
        <a:effectLst/>
      </c:sp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37025321529932897"/>
                  <c:y val="0.20147480678388699"/>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33322789376939599"/>
                  <c:y val="0.13510663513742999"/>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29193041975523998"/>
                  <c:y val="7.347904718000590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6128491321307201E-2"/>
                  <c:y val="-0.1168395237766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592405144478927"/>
                  <c:y val="0.27495385396389299"/>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62800641518078504"/>
                  <c:y val="0.20384509862840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63797477097730604"/>
                  <c:y val="0.12799575960388099"/>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698500407199999E-3"/>
                  <c:y val="2.1556217910074501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(Bilans!$A$54,Bilans!$A$57,Bilans!$A$60,Bilans!$A$63,Bilans!$A$66,Bilans!$A$69,Bilans!$A$72,Bilans!$A$75)</c:f>
              <c:strCache>
                <c:ptCount val="8"/>
                <c:pt idx="0">
                  <c:v>Buers-Croix-Luizet</c:v>
                </c:pt>
                <c:pt idx="1">
                  <c:v>Charpennes-Tonkin</c:v>
                </c:pt>
                <c:pt idx="2">
                  <c:v>Cusset-Bonnevay</c:v>
                </c:pt>
                <c:pt idx="3">
                  <c:v>Cyprian-les-Brosses</c:v>
                </c:pt>
                <c:pt idx="4">
                  <c:v>Ferrandière-Maisons Neuves</c:v>
                </c:pt>
                <c:pt idx="5">
                  <c:v>Gratte-ciel-Dedieu-Charmettes</c:v>
                </c:pt>
                <c:pt idx="6">
                  <c:v>Perralière-Grandclément</c:v>
                </c:pt>
                <c:pt idx="7">
                  <c:v>Saint Jean</c:v>
                </c:pt>
              </c:strCache>
            </c:strRef>
          </c:cat>
          <c:val>
            <c:numRef>
              <c:f>(Bilans!$R$54,Bilans!$R$57,Bilans!$R$60,Bilans!$R$63,Bilans!$R$66,Bilans!$R$69,Bilans!$R$72,Bilans!$R$75)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a:t>Provenance</a:t>
            </a:r>
            <a:r>
              <a:rPr lang="fr-FR" baseline="0"/>
              <a:t> par quartier des classes accueillies par la FDL</a:t>
            </a:r>
          </a:p>
        </c:rich>
      </c:tx>
      <c:overlay val="0"/>
      <c:spPr>
        <a:noFill/>
        <a:ln>
          <a:noFill/>
        </a:ln>
        <a:effectLst/>
      </c:sp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(Bilans!$A$54,Bilans!$A$57,Bilans!$A$60,Bilans!$A$63,Bilans!$A$66,Bilans!$A$69,Bilans!$A$72,Bilans!$A$75)</c:f>
              <c:strCache>
                <c:ptCount val="8"/>
                <c:pt idx="0">
                  <c:v>Buers-Croix-Luizet</c:v>
                </c:pt>
                <c:pt idx="1">
                  <c:v>Charpennes-Tonkin</c:v>
                </c:pt>
                <c:pt idx="2">
                  <c:v>Cusset-Bonnevay</c:v>
                </c:pt>
                <c:pt idx="3">
                  <c:v>Cyprian-les-Brosses</c:v>
                </c:pt>
                <c:pt idx="4">
                  <c:v>Ferrandière-Maisons Neuves</c:v>
                </c:pt>
                <c:pt idx="5">
                  <c:v>Gratte-ciel-Dedieu-Charmettes</c:v>
                </c:pt>
                <c:pt idx="6">
                  <c:v>Perralière-Grandclément</c:v>
                </c:pt>
                <c:pt idx="7">
                  <c:v>Saint Jean</c:v>
                </c:pt>
              </c:strCache>
            </c:strRef>
          </c:cat>
          <c:val>
            <c:numRef>
              <c:f>(Bilans!$O$54,Bilans!$O$57,Bilans!$O$60,Bilans!$O$63,Bilans!$O$66,Bilans!$O$69,Bilans!$O$72,Bilans!$O$75)</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130969</xdr:colOff>
          <xdr:row>14</xdr:row>
          <xdr:rowOff>17782</xdr:rowOff>
        </xdr:from>
        <xdr:to>
          <xdr:col>8</xdr:col>
          <xdr:colOff>1145381</xdr:colOff>
          <xdr:row>51</xdr:row>
          <xdr:rowOff>90488</xdr:rowOff>
        </xdr:to>
        <xdr:pic>
          <xdr:nvPicPr>
            <xdr:cNvPr id="2" name="Image 1"/>
            <xdr:cNvPicPr>
              <a:picLocks noChangeAspect="1" noChangeArrowheads="1"/>
              <a:extLst>
                <a:ext uri="{84589F7E-364E-4C9E-8A38-B11213B215E9}">
                  <a14:cameraTool cellRange="Bilans!$A$1:$L$24" spid="_x0000_s2074"/>
                </a:ext>
              </a:extLst>
            </xdr:cNvPicPr>
          </xdr:nvPicPr>
          <xdr:blipFill>
            <a:blip xmlns:r="http://schemas.openxmlformats.org/officeDocument/2006/relationships" r:embed="rId1"/>
            <a:srcRect/>
            <a:stretch>
              <a:fillRect/>
            </a:stretch>
          </xdr:blipFill>
          <xdr:spPr bwMode="auto">
            <a:xfrm>
              <a:off x="2309813" y="3208657"/>
              <a:ext cx="9670256" cy="71093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7055</xdr:colOff>
      <xdr:row>47</xdr:row>
      <xdr:rowOff>0</xdr:rowOff>
    </xdr:from>
    <xdr:to>
      <xdr:col>33</xdr:col>
      <xdr:colOff>529165</xdr:colOff>
      <xdr:row>67</xdr:row>
      <xdr:rowOff>3527</xdr:rowOff>
    </xdr:to>
    <xdr:graphicFrame macro="">
      <xdr:nvGraphicFramePr>
        <xdr:cNvPr id="3" name="Graphique 2" title="% de Maternelles accueillis par rapport aux effectifs connu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617361</xdr:colOff>
      <xdr:row>47</xdr:row>
      <xdr:rowOff>0</xdr:rowOff>
    </xdr:from>
    <xdr:to>
      <xdr:col>44</xdr:col>
      <xdr:colOff>377471</xdr:colOff>
      <xdr:row>65</xdr:row>
      <xdr:rowOff>175683</xdr:rowOff>
    </xdr:to>
    <xdr:graphicFrame macro="">
      <xdr:nvGraphicFramePr>
        <xdr:cNvPr id="4" name="Graphique 3"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619125</xdr:colOff>
      <xdr:row>85</xdr:row>
      <xdr:rowOff>47625</xdr:rowOff>
    </xdr:from>
    <xdr:to>
      <xdr:col>44</xdr:col>
      <xdr:colOff>449791</xdr:colOff>
      <xdr:row>118</xdr:row>
      <xdr:rowOff>66324</xdr:rowOff>
    </xdr:to>
    <xdr:graphicFrame macro="">
      <xdr:nvGraphicFramePr>
        <xdr:cNvPr id="5" name="Graphique 4"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619125</xdr:colOff>
      <xdr:row>65</xdr:row>
      <xdr:rowOff>190500</xdr:rowOff>
    </xdr:from>
    <xdr:to>
      <xdr:col>44</xdr:col>
      <xdr:colOff>449791</xdr:colOff>
      <xdr:row>84</xdr:row>
      <xdr:rowOff>189796</xdr:rowOff>
    </xdr:to>
    <xdr:graphicFrame macro="">
      <xdr:nvGraphicFramePr>
        <xdr:cNvPr id="6" name="Graphique 5"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59531</xdr:colOff>
      <xdr:row>85</xdr:row>
      <xdr:rowOff>142875</xdr:rowOff>
    </xdr:from>
    <xdr:to>
      <xdr:col>33</xdr:col>
      <xdr:colOff>652196</xdr:colOff>
      <xdr:row>117</xdr:row>
      <xdr:rowOff>161574</xdr:rowOff>
    </xdr:to>
    <xdr:graphicFrame macro="">
      <xdr:nvGraphicFramePr>
        <xdr:cNvPr id="8" name="Graphique 7"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190500</xdr:colOff>
      <xdr:row>116</xdr:row>
      <xdr:rowOff>47625</xdr:rowOff>
    </xdr:from>
    <xdr:to>
      <xdr:col>34</xdr:col>
      <xdr:colOff>21165</xdr:colOff>
      <xdr:row>148</xdr:row>
      <xdr:rowOff>94546</xdr:rowOff>
    </xdr:to>
    <xdr:graphicFrame macro="">
      <xdr:nvGraphicFramePr>
        <xdr:cNvPr id="9" name="Graphique 8"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238125</xdr:colOff>
      <xdr:row>66</xdr:row>
      <xdr:rowOff>142875</xdr:rowOff>
    </xdr:from>
    <xdr:to>
      <xdr:col>33</xdr:col>
      <xdr:colOff>571500</xdr:colOff>
      <xdr:row>85</xdr:row>
      <xdr:rowOff>285750</xdr:rowOff>
    </xdr:to>
    <xdr:graphicFrame macro="">
      <xdr:nvGraphicFramePr>
        <xdr:cNvPr id="10" name="Graphique 9" title="% de Maternelles accueillis par rapport aux effectifs connu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13</xdr:col>
          <xdr:colOff>0</xdr:colOff>
          <xdr:row>4</xdr:row>
          <xdr:rowOff>9525</xdr:rowOff>
        </xdr:from>
        <xdr:to>
          <xdr:col>14</xdr:col>
          <xdr:colOff>295275</xdr:colOff>
          <xdr:row>17</xdr:row>
          <xdr:rowOff>9525</xdr:rowOff>
        </xdr:to>
        <xdr:pic>
          <xdr:nvPicPr>
            <xdr:cNvPr id="11" name="Image 10"/>
            <xdr:cNvPicPr>
              <a:picLocks noChangeAspect="1" noChangeArrowheads="1"/>
              <a:extLst>
                <a:ext uri="{84589F7E-364E-4C9E-8A38-B11213B215E9}">
                  <a14:cameraTool cellRange="listes!$B$2:$B$12" spid="_x0000_s1042"/>
                </a:ext>
              </a:extLst>
            </xdr:cNvPicPr>
          </xdr:nvPicPr>
          <xdr:blipFill>
            <a:blip xmlns:r="http://schemas.openxmlformats.org/officeDocument/2006/relationships" r:embed="rId8"/>
            <a:srcRect/>
            <a:stretch>
              <a:fillRect/>
            </a:stretch>
          </xdr:blipFill>
          <xdr:spPr bwMode="auto">
            <a:xfrm>
              <a:off x="11449050" y="1581150"/>
              <a:ext cx="857250" cy="42005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12</xdr:row>
          <xdr:rowOff>180975</xdr:rowOff>
        </xdr:from>
        <xdr:to>
          <xdr:col>5</xdr:col>
          <xdr:colOff>152400</xdr:colOff>
          <xdr:row>30</xdr:row>
          <xdr:rowOff>170839</xdr:rowOff>
        </xdr:to>
        <xdr:pic>
          <xdr:nvPicPr>
            <xdr:cNvPr id="2" name="Image 1"/>
            <xdr:cNvPicPr>
              <a:picLocks noChangeAspect="1" noChangeArrowheads="1"/>
              <a:extLst>
                <a:ext uri="{84589F7E-364E-4C9E-8A38-B11213B215E9}">
                  <a14:cameraTool cellRange="Bilans!$K$1:$L$13" spid="_x0000_s6148"/>
                </a:ext>
              </a:extLst>
            </xdr:cNvPicPr>
          </xdr:nvPicPr>
          <xdr:blipFill>
            <a:blip xmlns:r="http://schemas.openxmlformats.org/officeDocument/2006/relationships" r:embed="rId1"/>
            <a:srcRect/>
            <a:stretch>
              <a:fillRect/>
            </a:stretch>
          </xdr:blipFill>
          <xdr:spPr bwMode="auto">
            <a:xfrm>
              <a:off x="504825" y="3924300"/>
              <a:ext cx="1819275" cy="341886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c/animations/Copie%20DE%20CLAS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tembre-décembre"/>
      <sheetName val="janvier-juillet"/>
      <sheetName val="Bilans"/>
      <sheetName val="Bilan détaillé"/>
      <sheetName val="listes"/>
      <sheetName val="mémo pour remplir le tableau"/>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id="1" name="T_sept_dec" displayName="T_sept_dec" ref="A1:U250" totalsRowShown="0" headerRowDxfId="22" dataDxfId="21">
  <autoFilter ref="A1:U250"/>
  <sortState ref="A2:N143">
    <sortCondition ref="A1:A143"/>
  </sortState>
  <tableColumns count="21">
    <tableColumn id="1" name="Date venue" dataDxfId="20"/>
    <tableColumn id="2" name="Secteur organisateur" dataDxfId="19"/>
    <tableColumn id="3" name="Secteur organisateur binôme" dataDxfId="18"/>
    <tableColumn id="4" name="Etablissement scolaire" dataDxfId="17"/>
    <tableColumn id="5" name="Niveau de classe" dataDxfId="16"/>
    <tableColumn id="6" name="Enseignant référent (Nom Prénom)" dataDxfId="15"/>
    <tableColumn id="7" name="Nombre enfants" dataDxfId="14"/>
    <tableColumn id="8" name="In situ / hors les murs" dataDxfId="13"/>
    <tableColumn id="9" name="Type de visite" dataDxfId="12"/>
    <tableColumn id="11" name="Commentaires" dataDxfId="11"/>
    <tableColumn id="12" name="Groupe niveau" dataDxfId="10">
      <calculatedColumnFormula>IF(COUNTIF(Maternelle,E2)=1,listes!$T$1,IF(COUNTIF(Elémentaire,E2)=1,listes!$U$1,IF(COUNTIF(Collège,E2)=1,listes!$V$1,IF(COUNTIF(Lycée,E2)=1,listes!$W$1,""))))</calculatedColumnFormula>
    </tableColumn>
    <tableColumn id="14" name="Quartier" dataDxfId="9">
      <calculatedColumnFormula>IF(COUNTIF(Perralière,D2)=1,listes!$P$1,IF(COUNTIF(Buers,D2)=1,listes!$J$1,IF(COUNTIF(Charpennes,D2)=1,listes!$K$1,IF(COUNTIF(Cusset,D2)=1,listes!$L$1,IF(COUNTIF(Cyprien,D2)=1,listes!$M$1,IF(COUNTIF(Ferrandière,D2)=1,listes!$N$1,IF(COUNTIF(Gratteciel,D2)=1,listes!$O$1,IF(COUNTIF(Saintjean,D2)=1,listes!$Q$1,IF(COUNTIF(horsvilleurbanne,D2)=1,listes!$R$1,"")))))))))</calculatedColumnFormula>
    </tableColumn>
    <tableColumn id="13" name="Etablissement accueillant" dataDxfId="8">
      <calculatedColumnFormula>IF(COUNTIF(FDL,B2)=1,"FDL",IF(COUNTIF(RIZE,B2)=1,"RIZE",IF(COUNTIF(MLIS,B2)=1,"MLIS",IF(COUNTIF(PACBUS,B2)=1,"PAC-BUS",IF(COUNTIF(Tonkin,B2)=1,"Tonkin","")))))</calculatedColumnFormula>
    </tableColumn>
    <tableColumn id="10" name="CléEtablissement" dataDxfId="7">
      <calculatedColumnFormula>T_sept_dec[[#This Row],[Etablissement accueillant]]&amp;"-"&amp;T_sept_dec[[#This Row],[Enseignant référent (Nom Prénom)]]</calculatedColumnFormula>
    </tableColumn>
    <tableColumn id="15" name="cptEtablissement" dataDxfId="6">
      <calculatedColumnFormula>1/COUNTIF(T_sept_dec[CléEtablissement],T_sept_dec[[#This Row],[CléEtablissement]])</calculatedColumnFormula>
    </tableColumn>
    <tableColumn id="16" name="CléRéseau-Rize horsmed" dataDxfId="5">
      <calculatedColumnFormula>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calculatedColumnFormula>
    </tableColumn>
    <tableColumn id="17" name="cptréseau-rizehormed" dataDxfId="4">
      <calculatedColumnFormula>1/COUNTIF(T_sept_dec[CléRéseau-Rize horsmed],T_sept_dec[[#This Row],[CléRéseau-Rize horsmed]])</calculatedColumnFormula>
    </tableColumn>
    <tableColumn id="18" name="CléRize" dataDxfId="3">
      <calculatedColumnFormula>IF(COUNTIF(RIZE,T_sept_dec[[#This Row],[Secteur organisateur]]),"Rize_"&amp;T_sept_dec[[#This Row],[Enseignant référent (Nom Prénom)]],"")</calculatedColumnFormula>
    </tableColumn>
    <tableColumn id="19" name="cptrize" dataDxfId="2">
      <calculatedColumnFormula>1/COUNTIF(T_sept_dec[CléRize],T_sept_dec[[#This Row],[CléRize]])</calculatedColumnFormula>
    </tableColumn>
    <tableColumn id="21" name="cléTotal" dataDxfId="1">
      <calculatedColumnFormula>IF(COUNTIF(Total,T_sept_dec[[#This Row],[Secteur organisateur]]),"Total_"&amp;T_sept_dec[[#This Row],[Enseignant référent (Nom Prénom)]],"")</calculatedColumnFormula>
    </tableColumn>
    <tableColumn id="20" name="cptTotal" dataDxfId="0">
      <calculatedColumnFormula>1/COUNTIF(T_sept_dec[cléTotal],T_sept_dec[[#This Row],[cléTotal]])</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24"/>
  <sheetViews>
    <sheetView showGridLines="0" topLeftCell="A10" workbookViewId="0">
      <selection activeCell="B25" sqref="B25"/>
    </sheetView>
  </sheetViews>
  <sheetFormatPr baseColWidth="10" defaultRowHeight="15"/>
  <cols>
    <col min="1" max="1" width="4.42578125" customWidth="1"/>
    <col min="2" max="2" width="97.42578125" customWidth="1"/>
  </cols>
  <sheetData>
    <row r="1" spans="1:2" ht="18.95">
      <c r="A1" s="251" t="s">
        <v>190</v>
      </c>
      <c r="B1" s="251"/>
    </row>
    <row r="2" spans="1:2">
      <c r="A2" s="123"/>
      <c r="B2" s="124"/>
    </row>
    <row r="3" spans="1:2" ht="18.75">
      <c r="A3" s="252" t="s">
        <v>191</v>
      </c>
      <c r="B3" s="252"/>
    </row>
    <row r="4" spans="1:2">
      <c r="A4" s="125" t="s">
        <v>192</v>
      </c>
      <c r="B4" s="124" t="s">
        <v>198</v>
      </c>
    </row>
    <row r="5" spans="1:2">
      <c r="A5" s="125" t="s">
        <v>192</v>
      </c>
      <c r="B5" s="128" t="s">
        <v>199</v>
      </c>
    </row>
    <row r="6" spans="1:2">
      <c r="A6" s="125" t="s">
        <v>192</v>
      </c>
      <c r="B6" s="124" t="s">
        <v>200</v>
      </c>
    </row>
    <row r="7" spans="1:2" ht="30">
      <c r="A7" s="125" t="s">
        <v>192</v>
      </c>
      <c r="B7" s="124" t="s">
        <v>207</v>
      </c>
    </row>
    <row r="8" spans="1:2">
      <c r="A8" s="125" t="s">
        <v>192</v>
      </c>
      <c r="B8" s="124" t="s">
        <v>203</v>
      </c>
    </row>
    <row r="9" spans="1:2" ht="60">
      <c r="A9" s="129" t="s">
        <v>192</v>
      </c>
      <c r="B9" s="124" t="s">
        <v>213</v>
      </c>
    </row>
    <row r="10" spans="1:2">
      <c r="A10" s="125"/>
      <c r="B10" s="124"/>
    </row>
    <row r="11" spans="1:2" ht="18.75">
      <c r="A11" s="252" t="s">
        <v>208</v>
      </c>
      <c r="B11" s="252"/>
    </row>
    <row r="12" spans="1:2">
      <c r="A12" s="125" t="s">
        <v>192</v>
      </c>
      <c r="B12" s="126" t="s">
        <v>193</v>
      </c>
    </row>
    <row r="13" spans="1:2">
      <c r="A13" s="125" t="s">
        <v>192</v>
      </c>
      <c r="B13" s="126" t="s">
        <v>194</v>
      </c>
    </row>
    <row r="14" spans="1:2" ht="45">
      <c r="A14" s="125" t="s">
        <v>192</v>
      </c>
      <c r="B14" s="126" t="s">
        <v>212</v>
      </c>
    </row>
    <row r="15" spans="1:2">
      <c r="A15" s="125"/>
      <c r="B15" s="124"/>
    </row>
    <row r="16" spans="1:2" ht="18.75">
      <c r="A16" s="252" t="s">
        <v>195</v>
      </c>
      <c r="B16" s="252"/>
    </row>
    <row r="17" spans="1:2">
      <c r="A17" s="125" t="s">
        <v>192</v>
      </c>
      <c r="B17" s="127" t="s">
        <v>209</v>
      </c>
    </row>
    <row r="18" spans="1:2" ht="30">
      <c r="A18" s="125" t="s">
        <v>192</v>
      </c>
      <c r="B18" s="124" t="s">
        <v>196</v>
      </c>
    </row>
    <row r="19" spans="1:2" ht="30">
      <c r="A19" s="125" t="s">
        <v>192</v>
      </c>
      <c r="B19" s="124" t="s">
        <v>197</v>
      </c>
    </row>
    <row r="21" spans="1:2" ht="18.95">
      <c r="A21" s="252" t="s">
        <v>201</v>
      </c>
      <c r="B21" s="252"/>
    </row>
    <row r="22" spans="1:2" ht="45">
      <c r="A22" s="125" t="s">
        <v>192</v>
      </c>
      <c r="B22" s="127" t="s">
        <v>211</v>
      </c>
    </row>
    <row r="23" spans="1:2" ht="45">
      <c r="A23" s="125" t="s">
        <v>192</v>
      </c>
      <c r="B23" s="124" t="s">
        <v>202</v>
      </c>
    </row>
    <row r="24" spans="1:2" ht="45">
      <c r="A24" s="125" t="s">
        <v>192</v>
      </c>
      <c r="B24" s="124" t="s">
        <v>210</v>
      </c>
    </row>
  </sheetData>
  <mergeCells count="5">
    <mergeCell ref="A1:B1"/>
    <mergeCell ref="A3:B3"/>
    <mergeCell ref="A11:B11"/>
    <mergeCell ref="A16:B16"/>
    <mergeCell ref="A21: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enableFormatConditionsCalculation="0">
    <pageSetUpPr fitToPage="1"/>
  </sheetPr>
  <dimension ref="A1:U328"/>
  <sheetViews>
    <sheetView zoomScale="80" zoomScaleNormal="80" zoomScalePageLayoutView="80" workbookViewId="0">
      <pane ySplit="1" topLeftCell="A2" activePane="bottomLeft" state="frozen"/>
      <selection pane="bottomLeft" activeCell="E8" sqref="E8"/>
    </sheetView>
  </sheetViews>
  <sheetFormatPr baseColWidth="10" defaultRowHeight="15"/>
  <cols>
    <col min="1" max="1" width="13.42578125" style="122" bestFit="1" customWidth="1"/>
    <col min="2" max="2" width="19.28515625" style="20" customWidth="1"/>
    <col min="3" max="3" width="23" style="20" customWidth="1"/>
    <col min="4" max="4" width="22.140625" style="20" customWidth="1"/>
    <col min="5" max="5" width="16.140625" style="20" customWidth="1"/>
    <col min="6" max="6" width="30" style="20" customWidth="1"/>
    <col min="7" max="7" width="18.7109375" style="20" customWidth="1"/>
    <col min="8" max="8" width="19.85546875" style="20" customWidth="1"/>
    <col min="9" max="9" width="23.7109375" style="20" customWidth="1"/>
    <col min="10" max="10" width="15.140625" style="20" customWidth="1"/>
    <col min="11" max="11" width="14.85546875" style="21" customWidth="1"/>
    <col min="13" max="13" width="32.85546875" style="21" customWidth="1"/>
    <col min="14" max="14" width="22.85546875" style="21" customWidth="1"/>
    <col min="16" max="16" width="22.85546875" customWidth="1"/>
    <col min="20" max="20" width="22" customWidth="1"/>
  </cols>
  <sheetData>
    <row r="1" spans="1:21" s="19" customFormat="1" ht="56.25" customHeight="1">
      <c r="A1" s="121" t="s">
        <v>0</v>
      </c>
      <c r="B1" s="19" t="s">
        <v>118</v>
      </c>
      <c r="C1" s="19" t="s">
        <v>147</v>
      </c>
      <c r="D1" s="19" t="s">
        <v>205</v>
      </c>
      <c r="E1" s="19" t="s">
        <v>2</v>
      </c>
      <c r="F1" s="19" t="s">
        <v>125</v>
      </c>
      <c r="G1" s="19" t="s">
        <v>90</v>
      </c>
      <c r="H1" s="19" t="s">
        <v>101</v>
      </c>
      <c r="I1" t="s">
        <v>204</v>
      </c>
      <c r="J1" s="19" t="s">
        <v>1</v>
      </c>
      <c r="K1" s="22" t="s">
        <v>139</v>
      </c>
      <c r="L1" s="22" t="s">
        <v>135</v>
      </c>
      <c r="M1" s="22" t="s">
        <v>162</v>
      </c>
      <c r="N1" s="22" t="s">
        <v>225</v>
      </c>
      <c r="O1" s="22" t="s">
        <v>231</v>
      </c>
      <c r="P1" s="22" t="s">
        <v>229</v>
      </c>
      <c r="Q1" s="22" t="s">
        <v>230</v>
      </c>
      <c r="R1" s="22" t="s">
        <v>227</v>
      </c>
      <c r="S1" s="22" t="s">
        <v>234</v>
      </c>
      <c r="T1" s="22" t="s">
        <v>232</v>
      </c>
      <c r="U1" s="22" t="s">
        <v>233</v>
      </c>
    </row>
    <row r="2" spans="1:21">
      <c r="B2" s="20" t="s">
        <v>109</v>
      </c>
      <c r="E2" s="20" t="s">
        <v>27</v>
      </c>
      <c r="F2" s="20" t="s">
        <v>235</v>
      </c>
      <c r="G2" s="20">
        <v>29</v>
      </c>
      <c r="I2" s="171"/>
      <c r="K2" s="21" t="str">
        <f>IF(COUNTIF(Maternelle,E2)=1,listes!$T$1,IF(COUNTIF(Elémentaire,E2)=1,listes!$U$1,IF(COUNTIF(Collège,E2)=1,listes!$V$1,IF(COUNTIF(Lycée,E2)=1,listes!$W$1,""))))</f>
        <v>Maternelle</v>
      </c>
      <c r="L2" s="21" t="str">
        <f>IF(COUNTIF(Perralière,D2)=1,listes!$P$1,IF(COUNTIF(Buers,D2)=1,listes!$J$1,IF(COUNTIF(Charpennes,D2)=1,listes!$K$1,IF(COUNTIF(Cusset,D2)=1,listes!$L$1,IF(COUNTIF(Cyprien,D2)=1,listes!$M$1,IF(COUNTIF(Ferrandière,D2)=1,listes!$N$1,IF(COUNTIF(Gratteciel,D2)=1,listes!$O$1,IF(COUNTIF(Saintjean,D2)=1,listes!$Q$1,IF(COUNTIF(horsvilleurbanne,D2)=1,listes!$R$1,"")))))))))</f>
        <v/>
      </c>
      <c r="M2" s="21" t="str">
        <f t="shared" ref="M2:M65" si="0">IF(COUNTIF(FDL,B2)=1,"FDL",IF(COUNTIF(RIZE,B2)=1,"RIZE",IF(COUNTIF(MLIS,B2)=1,"MLIS",IF(COUNTIF(PACBUS,B2)=1,"PAC-BUS",IF(COUNTIF(Tonkin,B2)=1,"Tonkin","")))))</f>
        <v>Tonkin</v>
      </c>
      <c r="N2" s="21" t="str">
        <f>T_sept_dec[[#This Row],[Etablissement accueillant]]&amp;"-"&amp;T_sept_dec[[#This Row],[Enseignant référent (Nom Prénom)]]</f>
        <v>Tonkin-GRIS Jean</v>
      </c>
      <c r="O2" s="21">
        <f>1/COUNTIF(T_sept_dec[CléEtablissement],T_sept_dec[[#This Row],[CléEtablissement]])</f>
        <v>0.5</v>
      </c>
      <c r="P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Réseau_GRIS Jean</v>
      </c>
      <c r="Q2" s="186">
        <f>1/COUNTIF(T_sept_dec[CléRéseau-Rize horsmed],T_sept_dec[[#This Row],[CléRéseau-Rize horsmed]])</f>
        <v>0.5</v>
      </c>
      <c r="R2" s="186" t="str">
        <f>IF(COUNTIF(RIZE,T_sept_dec[[#This Row],[Secteur organisateur]]),"Rize_"&amp;T_sept_dec[[#This Row],[Enseignant référent (Nom Prénom)]],"")</f>
        <v/>
      </c>
      <c r="S2" s="186">
        <f>1/COUNTIF(T_sept_dec[CléRize],T_sept_dec[[#This Row],[CléRize]])</f>
        <v>4.048582995951417E-3</v>
      </c>
      <c r="T2" s="186" t="str">
        <f>IF(COUNTIF(Total,T_sept_dec[[#This Row],[Secteur organisateur]]),"Total_"&amp;T_sept_dec[[#This Row],[Enseignant référent (Nom Prénom)]],"")</f>
        <v>Total_GRIS Jean</v>
      </c>
      <c r="U2" s="186">
        <f>1/COUNTIF(T_sept_dec[cléTotal],T_sept_dec[[#This Row],[cléTotal]])</f>
        <v>0.5</v>
      </c>
    </row>
    <row r="3" spans="1:21">
      <c r="B3" s="20" t="s">
        <v>109</v>
      </c>
      <c r="E3" s="20" t="s">
        <v>6</v>
      </c>
      <c r="F3" s="20" t="s">
        <v>235</v>
      </c>
      <c r="G3" s="20">
        <v>30</v>
      </c>
      <c r="K3" s="21" t="str">
        <f>IF(COUNTIF(Maternelle,E3)=1,listes!$T$1,IF(COUNTIF(Elémentaire,E3)=1,listes!$U$1,IF(COUNTIF(Collège,E3)=1,listes!$V$1,IF(COUNTIF(Lycée,E3)=1,listes!$W$1,""))))</f>
        <v>Maternelle</v>
      </c>
      <c r="L3" s="21" t="str">
        <f>IF(COUNTIF(Perralière,D3)=1,listes!$P$1,IF(COUNTIF(Buers,D3)=1,listes!$J$1,IF(COUNTIF(Charpennes,D3)=1,listes!$K$1,IF(COUNTIF(Cusset,D3)=1,listes!$L$1,IF(COUNTIF(Cyprien,D3)=1,listes!$M$1,IF(COUNTIF(Ferrandière,D3)=1,listes!$N$1,IF(COUNTIF(Gratteciel,D3)=1,listes!$O$1,IF(COUNTIF(Saintjean,D3)=1,listes!$Q$1,IF(COUNTIF(horsvilleurbanne,D3)=1,listes!$R$1,"")))))))))</f>
        <v/>
      </c>
      <c r="M3" s="21" t="str">
        <f t="shared" si="0"/>
        <v>Tonkin</v>
      </c>
      <c r="N3" s="21" t="str">
        <f>T_sept_dec[[#This Row],[Etablissement accueillant]]&amp;"-"&amp;T_sept_dec[[#This Row],[Enseignant référent (Nom Prénom)]]</f>
        <v>Tonkin-GRIS Jean</v>
      </c>
      <c r="O3" s="21">
        <f>1/COUNTIF(T_sept_dec[CléEtablissement],T_sept_dec[[#This Row],[CléEtablissement]])</f>
        <v>0.5</v>
      </c>
      <c r="P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Réseau_GRIS Jean</v>
      </c>
      <c r="Q3" s="186">
        <f>1/COUNTIF(T_sept_dec[CléRéseau-Rize horsmed],T_sept_dec[[#This Row],[CléRéseau-Rize horsmed]])</f>
        <v>0.5</v>
      </c>
      <c r="R3" s="186" t="str">
        <f>IF(COUNTIF(RIZE,T_sept_dec[[#This Row],[Secteur organisateur]]),"Rize_"&amp;T_sept_dec[[#This Row],[Enseignant référent (Nom Prénom)]],"")</f>
        <v/>
      </c>
      <c r="S3" s="186">
        <f>1/COUNTIF(T_sept_dec[CléRize],T_sept_dec[[#This Row],[CléRize]])</f>
        <v>4.048582995951417E-3</v>
      </c>
      <c r="T3" s="186" t="str">
        <f>IF(COUNTIF(Total,T_sept_dec[[#This Row],[Secteur organisateur]]),"Total_"&amp;T_sept_dec[[#This Row],[Enseignant référent (Nom Prénom)]],"")</f>
        <v>Total_GRIS Jean</v>
      </c>
      <c r="U3" s="186">
        <f>1/COUNTIF(T_sept_dec[cléTotal],T_sept_dec[[#This Row],[cléTotal]])</f>
        <v>0.5</v>
      </c>
    </row>
    <row r="4" spans="1:21">
      <c r="B4" s="20" t="s">
        <v>124</v>
      </c>
      <c r="E4" s="20" t="s">
        <v>27</v>
      </c>
      <c r="F4" s="20" t="s">
        <v>226</v>
      </c>
      <c r="G4" s="20">
        <v>30</v>
      </c>
      <c r="K4" s="21" t="str">
        <f>IF(COUNTIF(Maternelle,E4)=1,listes!$T$1,IF(COUNTIF(Elémentaire,E4)=1,listes!$U$1,IF(COUNTIF(Collège,E4)=1,listes!$V$1,IF(COUNTIF(Lycée,E4)=1,listes!$W$1,""))))</f>
        <v>Maternelle</v>
      </c>
      <c r="L4" s="21" t="str">
        <f>IF(COUNTIF(Perralière,D4)=1,listes!$P$1,IF(COUNTIF(Buers,D4)=1,listes!$J$1,IF(COUNTIF(Charpennes,D4)=1,listes!$K$1,IF(COUNTIF(Cusset,D4)=1,listes!$L$1,IF(COUNTIF(Cyprien,D4)=1,listes!$M$1,IF(COUNTIF(Ferrandière,D4)=1,listes!$N$1,IF(COUNTIF(Gratteciel,D4)=1,listes!$O$1,IF(COUNTIF(Saintjean,D4)=1,listes!$Q$1,IF(COUNTIF(horsvilleurbanne,D4)=1,listes!$R$1,"")))))))))</f>
        <v/>
      </c>
      <c r="M4" s="21" t="str">
        <f t="shared" si="0"/>
        <v>FDL</v>
      </c>
      <c r="N4" s="21" t="str">
        <f>T_sept_dec[[#This Row],[Etablissement accueillant]]&amp;"-"&amp;T_sept_dec[[#This Row],[Enseignant référent (Nom Prénom)]]</f>
        <v>FDL-DUPONT Laure</v>
      </c>
      <c r="O4" s="21">
        <f>1/COUNTIF(T_sept_dec[CléEtablissement],T_sept_dec[[#This Row],[CléEtablissement]])</f>
        <v>0.33333333333333331</v>
      </c>
      <c r="P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FDL_DUPONT Laure</v>
      </c>
      <c r="Q4" s="186">
        <f>1/COUNTIF(T_sept_dec[CléRéseau-Rize horsmed],T_sept_dec[[#This Row],[CléRéseau-Rize horsmed]])</f>
        <v>0.33333333333333331</v>
      </c>
      <c r="R4" s="186" t="str">
        <f>IF(COUNTIF(RIZE,T_sept_dec[[#This Row],[Secteur organisateur]]),"Rize_"&amp;T_sept_dec[[#This Row],[Enseignant référent (Nom Prénom)]],"")</f>
        <v/>
      </c>
      <c r="S4" s="186">
        <f>1/COUNTIF(T_sept_dec[CléRize],T_sept_dec[[#This Row],[CléRize]])</f>
        <v>4.048582995951417E-3</v>
      </c>
      <c r="T4" s="186" t="str">
        <f>IF(COUNTIF(Total,T_sept_dec[[#This Row],[Secteur organisateur]]),"Total_"&amp;T_sept_dec[[#This Row],[Enseignant référent (Nom Prénom)]],"")</f>
        <v>Total_DUPONT Laure</v>
      </c>
      <c r="U4" s="186">
        <f>1/COUNTIF(T_sept_dec[cléTotal],T_sept_dec[[#This Row],[cléTotal]])</f>
        <v>0.16666666666666666</v>
      </c>
    </row>
    <row r="5" spans="1:21">
      <c r="B5" s="20" t="s">
        <v>124</v>
      </c>
      <c r="E5" s="20" t="s">
        <v>27</v>
      </c>
      <c r="F5" s="20" t="s">
        <v>226</v>
      </c>
      <c r="G5" s="20">
        <v>30</v>
      </c>
      <c r="K5" s="21" t="str">
        <f>IF(COUNTIF(Maternelle,E5)=1,listes!$T$1,IF(COUNTIF(Elémentaire,E5)=1,listes!$U$1,IF(COUNTIF(Collège,E5)=1,listes!$V$1,IF(COUNTIF(Lycée,E5)=1,listes!$W$1,""))))</f>
        <v>Maternelle</v>
      </c>
      <c r="L5" s="21" t="str">
        <f>IF(COUNTIF(Perralière,D5)=1,listes!$P$1,IF(COUNTIF(Buers,D5)=1,listes!$J$1,IF(COUNTIF(Charpennes,D5)=1,listes!$K$1,IF(COUNTIF(Cusset,D5)=1,listes!$L$1,IF(COUNTIF(Cyprien,D5)=1,listes!$M$1,IF(COUNTIF(Ferrandière,D5)=1,listes!$N$1,IF(COUNTIF(Gratteciel,D5)=1,listes!$O$1,IF(COUNTIF(Saintjean,D5)=1,listes!$Q$1,IF(COUNTIF(horsvilleurbanne,D5)=1,listes!$R$1,"")))))))))</f>
        <v/>
      </c>
      <c r="M5" s="21" t="str">
        <f t="shared" si="0"/>
        <v>FDL</v>
      </c>
      <c r="N5" s="21" t="str">
        <f>T_sept_dec[[#This Row],[Etablissement accueillant]]&amp;"-"&amp;T_sept_dec[[#This Row],[Enseignant référent (Nom Prénom)]]</f>
        <v>FDL-DUPONT Laure</v>
      </c>
      <c r="O5" s="21">
        <f>1/COUNTIF(T_sept_dec[CléEtablissement],T_sept_dec[[#This Row],[CléEtablissement]])</f>
        <v>0.33333333333333331</v>
      </c>
      <c r="P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FDL_DUPONT Laure</v>
      </c>
      <c r="Q5" s="186">
        <f>1/COUNTIF(T_sept_dec[CléRéseau-Rize horsmed],T_sept_dec[[#This Row],[CléRéseau-Rize horsmed]])</f>
        <v>0.33333333333333331</v>
      </c>
      <c r="R5" s="186" t="str">
        <f>IF(COUNTIF(RIZE,T_sept_dec[[#This Row],[Secteur organisateur]]),"Rize_"&amp;T_sept_dec[[#This Row],[Enseignant référent (Nom Prénom)]],"")</f>
        <v/>
      </c>
      <c r="S5" s="186">
        <f>1/COUNTIF(T_sept_dec[CléRize],T_sept_dec[[#This Row],[CléRize]])</f>
        <v>4.048582995951417E-3</v>
      </c>
      <c r="T5" s="186" t="str">
        <f>IF(COUNTIF(Total,T_sept_dec[[#This Row],[Secteur organisateur]]),"Total_"&amp;T_sept_dec[[#This Row],[Enseignant référent (Nom Prénom)]],"")</f>
        <v>Total_DUPONT Laure</v>
      </c>
      <c r="U5" s="186">
        <f>1/COUNTIF(T_sept_dec[cléTotal],T_sept_dec[[#This Row],[cléTotal]])</f>
        <v>0.16666666666666666</v>
      </c>
    </row>
    <row r="6" spans="1:21">
      <c r="B6" s="20" t="s">
        <v>112</v>
      </c>
      <c r="F6" s="20" t="s">
        <v>236</v>
      </c>
      <c r="G6" s="20">
        <v>30</v>
      </c>
      <c r="K6" s="21" t="str">
        <f>IF(COUNTIF(Maternelle,E6)=1,listes!$T$1,IF(COUNTIF(Elémentaire,E6)=1,listes!$U$1,IF(COUNTIF(Collège,E6)=1,listes!$V$1,IF(COUNTIF(Lycée,E6)=1,listes!$W$1,""))))</f>
        <v/>
      </c>
      <c r="L6" s="21" t="str">
        <f>IF(COUNTIF(Perralière,D6)=1,listes!$P$1,IF(COUNTIF(Buers,D6)=1,listes!$J$1,IF(COUNTIF(Charpennes,D6)=1,listes!$K$1,IF(COUNTIF(Cusset,D6)=1,listes!$L$1,IF(COUNTIF(Cyprien,D6)=1,listes!$M$1,IF(COUNTIF(Ferrandière,D6)=1,listes!$N$1,IF(COUNTIF(Gratteciel,D6)=1,listes!$O$1,IF(COUNTIF(Saintjean,D6)=1,listes!$Q$1,IF(COUNTIF(horsvilleurbanne,D6)=1,listes!$R$1,"")))))))))</f>
        <v/>
      </c>
      <c r="M6" s="21" t="str">
        <f t="shared" si="0"/>
        <v>MLIS</v>
      </c>
      <c r="N6" s="21" t="str">
        <f>T_sept_dec[[#This Row],[Etablissement accueillant]]&amp;"-"&amp;T_sept_dec[[#This Row],[Enseignant référent (Nom Prénom)]]</f>
        <v>MLIS-TROIS Pierre</v>
      </c>
      <c r="O6" s="21">
        <f>1/COUNTIF(T_sept_dec[CléEtablissement],T_sept_dec[[#This Row],[CléEtablissement]])</f>
        <v>1</v>
      </c>
      <c r="P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Réseau_TROIS Pierre</v>
      </c>
      <c r="Q6" s="186">
        <f>1/COUNTIF(T_sept_dec[CléRéseau-Rize horsmed],T_sept_dec[[#This Row],[CléRéseau-Rize horsmed]])</f>
        <v>1</v>
      </c>
      <c r="R6" s="186" t="str">
        <f>IF(COUNTIF(RIZE,T_sept_dec[[#This Row],[Secteur organisateur]]),"Rize_"&amp;T_sept_dec[[#This Row],[Enseignant référent (Nom Prénom)]],"")</f>
        <v/>
      </c>
      <c r="S6" s="186">
        <f>1/COUNTIF(T_sept_dec[CléRize],T_sept_dec[[#This Row],[CléRize]])</f>
        <v>4.048582995951417E-3</v>
      </c>
      <c r="T6" s="186" t="str">
        <f>IF(COUNTIF(Total,T_sept_dec[[#This Row],[Secteur organisateur]]),"Total_"&amp;T_sept_dec[[#This Row],[Enseignant référent (Nom Prénom)]],"")</f>
        <v>Total_TROIS Pierre</v>
      </c>
      <c r="U6" s="186">
        <f>1/COUNTIF(T_sept_dec[cléTotal],T_sept_dec[[#This Row],[cléTotal]])</f>
        <v>0.5</v>
      </c>
    </row>
    <row r="7" spans="1:21">
      <c r="B7" s="20" t="s">
        <v>119</v>
      </c>
      <c r="F7" s="20" t="s">
        <v>226</v>
      </c>
      <c r="G7" s="20">
        <v>30</v>
      </c>
      <c r="K7" s="21" t="str">
        <f>IF(COUNTIF(Maternelle,E7)=1,listes!$T$1,IF(COUNTIF(Elémentaire,E7)=1,listes!$U$1,IF(COUNTIF(Collège,E7)=1,listes!$V$1,IF(COUNTIF(Lycée,E7)=1,listes!$W$1,""))))</f>
        <v/>
      </c>
      <c r="L7" s="21" t="str">
        <f>IF(COUNTIF(Perralière,D7)=1,listes!$P$1,IF(COUNTIF(Buers,D7)=1,listes!$J$1,IF(COUNTIF(Charpennes,D7)=1,listes!$K$1,IF(COUNTIF(Cusset,D7)=1,listes!$L$1,IF(COUNTIF(Cyprien,D7)=1,listes!$M$1,IF(COUNTIF(Ferrandière,D7)=1,listes!$N$1,IF(COUNTIF(Gratteciel,D7)=1,listes!$O$1,IF(COUNTIF(Saintjean,D7)=1,listes!$Q$1,IF(COUNTIF(horsvilleurbanne,D7)=1,listes!$R$1,"")))))))))</f>
        <v/>
      </c>
      <c r="M7" s="21" t="str">
        <f t="shared" si="0"/>
        <v>MLIS</v>
      </c>
      <c r="N7" s="21" t="str">
        <f>T_sept_dec[[#This Row],[Etablissement accueillant]]&amp;"-"&amp;T_sept_dec[[#This Row],[Enseignant référent (Nom Prénom)]]</f>
        <v>MLIS-DUPONT Laure</v>
      </c>
      <c r="O7" s="21">
        <f>1/COUNTIF(T_sept_dec[CléEtablissement],T_sept_dec[[#This Row],[CléEtablissement]])</f>
        <v>0.5</v>
      </c>
      <c r="P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Réseau_DUPONT Laure</v>
      </c>
      <c r="Q7" s="186">
        <f>1/COUNTIF(T_sept_dec[CléRéseau-Rize horsmed],T_sept_dec[[#This Row],[CléRéseau-Rize horsmed]])</f>
        <v>0.5</v>
      </c>
      <c r="R7" s="186" t="str">
        <f>IF(COUNTIF(RIZE,T_sept_dec[[#This Row],[Secteur organisateur]]),"Rize_"&amp;T_sept_dec[[#This Row],[Enseignant référent (Nom Prénom)]],"")</f>
        <v/>
      </c>
      <c r="S7" s="186">
        <f>1/COUNTIF(T_sept_dec[CléRize],T_sept_dec[[#This Row],[CléRize]])</f>
        <v>4.048582995951417E-3</v>
      </c>
      <c r="T7" s="186" t="str">
        <f>IF(COUNTIF(Total,T_sept_dec[[#This Row],[Secteur organisateur]]),"Total_"&amp;T_sept_dec[[#This Row],[Enseignant référent (Nom Prénom)]],"")</f>
        <v>Total_DUPONT Laure</v>
      </c>
      <c r="U7" s="186">
        <f>1/COUNTIF(T_sept_dec[cléTotal],T_sept_dec[[#This Row],[cléTotal]])</f>
        <v>0.16666666666666666</v>
      </c>
    </row>
    <row r="8" spans="1:21">
      <c r="B8" s="20" t="s">
        <v>124</v>
      </c>
      <c r="E8" s="20" t="s">
        <v>126</v>
      </c>
      <c r="F8" s="20" t="s">
        <v>226</v>
      </c>
      <c r="G8" s="20">
        <v>28</v>
      </c>
      <c r="K8" s="21" t="str">
        <f>IF(COUNTIF(Maternelle,E8)=1,listes!$T$1,IF(COUNTIF(Elémentaire,E8)=1,listes!$U$1,IF(COUNTIF(Collège,E8)=1,listes!$V$1,IF(COUNTIF(Lycée,E8)=1,listes!$W$1,""))))</f>
        <v>Elémentaire</v>
      </c>
      <c r="L8" s="21" t="str">
        <f>IF(COUNTIF(Perralière,D8)=1,listes!$P$1,IF(COUNTIF(Buers,D8)=1,listes!$J$1,IF(COUNTIF(Charpennes,D8)=1,listes!$K$1,IF(COUNTIF(Cusset,D8)=1,listes!$L$1,IF(COUNTIF(Cyprien,D8)=1,listes!$M$1,IF(COUNTIF(Ferrandière,D8)=1,listes!$N$1,IF(COUNTIF(Gratteciel,D8)=1,listes!$O$1,IF(COUNTIF(Saintjean,D8)=1,listes!$Q$1,IF(COUNTIF(horsvilleurbanne,D8)=1,listes!$R$1,"")))))))))</f>
        <v/>
      </c>
      <c r="M8" s="21" t="str">
        <f t="shared" si="0"/>
        <v>FDL</v>
      </c>
      <c r="N8" s="21" t="str">
        <f>T_sept_dec[[#This Row],[Etablissement accueillant]]&amp;"-"&amp;T_sept_dec[[#This Row],[Enseignant référent (Nom Prénom)]]</f>
        <v>FDL-DUPONT Laure</v>
      </c>
      <c r="O8" s="21">
        <f>1/COUNTIF(T_sept_dec[CléEtablissement],T_sept_dec[[#This Row],[CléEtablissement]])</f>
        <v>0.33333333333333331</v>
      </c>
      <c r="P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FDL_DUPONT Laure</v>
      </c>
      <c r="Q8" s="186">
        <f>1/COUNTIF(T_sept_dec[CléRéseau-Rize horsmed],T_sept_dec[[#This Row],[CléRéseau-Rize horsmed]])</f>
        <v>0.33333333333333331</v>
      </c>
      <c r="R8" s="186" t="str">
        <f>IF(COUNTIF(RIZE,T_sept_dec[[#This Row],[Secteur organisateur]]),"Rize_"&amp;T_sept_dec[[#This Row],[Enseignant référent (Nom Prénom)]],"")</f>
        <v/>
      </c>
      <c r="S8" s="186">
        <f>1/COUNTIF(T_sept_dec[CléRize],T_sept_dec[[#This Row],[CléRize]])</f>
        <v>4.048582995951417E-3</v>
      </c>
      <c r="T8" s="186" t="str">
        <f>IF(COUNTIF(Total,T_sept_dec[[#This Row],[Secteur organisateur]]),"Total_"&amp;T_sept_dec[[#This Row],[Enseignant référent (Nom Prénom)]],"")</f>
        <v>Total_DUPONT Laure</v>
      </c>
      <c r="U8" s="186">
        <f>1/COUNTIF(T_sept_dec[cléTotal],T_sept_dec[[#This Row],[cléTotal]])</f>
        <v>0.16666666666666666</v>
      </c>
    </row>
    <row r="9" spans="1:21">
      <c r="B9" s="20" t="s">
        <v>119</v>
      </c>
      <c r="F9" s="20" t="s">
        <v>226</v>
      </c>
      <c r="G9" s="20">
        <v>28</v>
      </c>
      <c r="K9" s="21" t="str">
        <f>IF(COUNTIF(Maternelle,E9)=1,listes!$T$1,IF(COUNTIF(Elémentaire,E9)=1,listes!$U$1,IF(COUNTIF(Collège,E9)=1,listes!$V$1,IF(COUNTIF(Lycée,E9)=1,listes!$W$1,""))))</f>
        <v/>
      </c>
      <c r="L9" s="21" t="str">
        <f>IF(COUNTIF(Perralière,D9)=1,listes!$P$1,IF(COUNTIF(Buers,D9)=1,listes!$J$1,IF(COUNTIF(Charpennes,D9)=1,listes!$K$1,IF(COUNTIF(Cusset,D9)=1,listes!$L$1,IF(COUNTIF(Cyprien,D9)=1,listes!$M$1,IF(COUNTIF(Ferrandière,D9)=1,listes!$N$1,IF(COUNTIF(Gratteciel,D9)=1,listes!$O$1,IF(COUNTIF(Saintjean,D9)=1,listes!$Q$1,IF(COUNTIF(horsvilleurbanne,D9)=1,listes!$R$1,"")))))))))</f>
        <v/>
      </c>
      <c r="M9" s="21" t="str">
        <f t="shared" si="0"/>
        <v>MLIS</v>
      </c>
      <c r="N9" s="21" t="str">
        <f>T_sept_dec[[#This Row],[Etablissement accueillant]]&amp;"-"&amp;T_sept_dec[[#This Row],[Enseignant référent (Nom Prénom)]]</f>
        <v>MLIS-DUPONT Laure</v>
      </c>
      <c r="O9" s="21">
        <f>1/COUNTIF(T_sept_dec[CléEtablissement],T_sept_dec[[#This Row],[CléEtablissement]])</f>
        <v>0.5</v>
      </c>
      <c r="P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Réseau_DUPONT Laure</v>
      </c>
      <c r="Q9" s="186">
        <f>1/COUNTIF(T_sept_dec[CléRéseau-Rize horsmed],T_sept_dec[[#This Row],[CléRéseau-Rize horsmed]])</f>
        <v>0.5</v>
      </c>
      <c r="R9" s="186" t="str">
        <f>IF(COUNTIF(RIZE,T_sept_dec[[#This Row],[Secteur organisateur]]),"Rize_"&amp;T_sept_dec[[#This Row],[Enseignant référent (Nom Prénom)]],"")</f>
        <v/>
      </c>
      <c r="S9" s="186">
        <f>1/COUNTIF(T_sept_dec[CléRize],T_sept_dec[[#This Row],[CléRize]])</f>
        <v>4.048582995951417E-3</v>
      </c>
      <c r="T9" s="186" t="str">
        <f>IF(COUNTIF(Total,T_sept_dec[[#This Row],[Secteur organisateur]]),"Total_"&amp;T_sept_dec[[#This Row],[Enseignant référent (Nom Prénom)]],"")</f>
        <v>Total_DUPONT Laure</v>
      </c>
      <c r="U9" s="186">
        <f>1/COUNTIF(T_sept_dec[cléTotal],T_sept_dec[[#This Row],[cléTotal]])</f>
        <v>0.16666666666666666</v>
      </c>
    </row>
    <row r="10" spans="1:21">
      <c r="B10" s="20" t="s">
        <v>161</v>
      </c>
      <c r="F10" s="20" t="s">
        <v>226</v>
      </c>
      <c r="G10" s="20">
        <v>30</v>
      </c>
      <c r="K10" s="21" t="str">
        <f>IF(COUNTIF(Maternelle,E10)=1,listes!$T$1,IF(COUNTIF(Elémentaire,E10)=1,listes!$U$1,IF(COUNTIF(Collège,E10)=1,listes!$V$1,IF(COUNTIF(Lycée,E10)=1,listes!$W$1,""))))</f>
        <v/>
      </c>
      <c r="L10" s="21" t="str">
        <f>IF(COUNTIF(Perralière,D10)=1,listes!$P$1,IF(COUNTIF(Buers,D10)=1,listes!$J$1,IF(COUNTIF(Charpennes,D10)=1,listes!$K$1,IF(COUNTIF(Cusset,D10)=1,listes!$L$1,IF(COUNTIF(Cyprien,D10)=1,listes!$M$1,IF(COUNTIF(Ferrandière,D10)=1,listes!$N$1,IF(COUNTIF(Gratteciel,D10)=1,listes!$O$1,IF(COUNTIF(Saintjean,D10)=1,listes!$Q$1,IF(COUNTIF(horsvilleurbanne,D10)=1,listes!$R$1,"")))))))))</f>
        <v/>
      </c>
      <c r="M10" s="21" t="str">
        <f t="shared" si="0"/>
        <v>RIZE</v>
      </c>
      <c r="N10" s="21" t="str">
        <f>T_sept_dec[[#This Row],[Etablissement accueillant]]&amp;"-"&amp;T_sept_dec[[#This Row],[Enseignant référent (Nom Prénom)]]</f>
        <v>RIZE-DUPONT Laure</v>
      </c>
      <c r="O10" s="21">
        <f>1/COUNTIF(T_sept_dec[CléEtablissement],T_sept_dec[[#This Row],[CléEtablissement]])</f>
        <v>1</v>
      </c>
      <c r="P1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Rizehorsmed_DUPONT Laure</v>
      </c>
      <c r="Q10" s="186">
        <f>1/COUNTIF(T_sept_dec[CléRéseau-Rize horsmed],T_sept_dec[[#This Row],[CléRéseau-Rize horsmed]])</f>
        <v>1</v>
      </c>
      <c r="R10" s="186" t="str">
        <f>IF(COUNTIF(RIZE,T_sept_dec[[#This Row],[Secteur organisateur]]),"Rize_"&amp;T_sept_dec[[#This Row],[Enseignant référent (Nom Prénom)]],"")</f>
        <v>Rize_DUPONT Laure</v>
      </c>
      <c r="S10" s="186">
        <f>1/COUNTIF(T_sept_dec[CléRize],T_sept_dec[[#This Row],[CléRize]])</f>
        <v>1</v>
      </c>
      <c r="T10" s="186" t="str">
        <f>IF(COUNTIF(Total,T_sept_dec[[#This Row],[Secteur organisateur]]),"Total_"&amp;T_sept_dec[[#This Row],[Enseignant référent (Nom Prénom)]],"")</f>
        <v>Total_DUPONT Laure</v>
      </c>
      <c r="U10" s="186">
        <f>1/COUNTIF(T_sept_dec[cléTotal],T_sept_dec[[#This Row],[cléTotal]])</f>
        <v>0.16666666666666666</v>
      </c>
    </row>
    <row r="11" spans="1:21">
      <c r="B11" s="20" t="s">
        <v>169</v>
      </c>
      <c r="F11" s="20" t="s">
        <v>236</v>
      </c>
      <c r="G11" s="20">
        <v>30</v>
      </c>
      <c r="K11" s="21" t="str">
        <f>IF(COUNTIF(Maternelle,E11)=1,listes!$T$1,IF(COUNTIF(Elémentaire,E11)=1,listes!$U$1,IF(COUNTIF(Collège,E11)=1,listes!$V$1,IF(COUNTIF(Lycée,E11)=1,listes!$W$1,""))))</f>
        <v/>
      </c>
      <c r="L11" s="21" t="str">
        <f>IF(COUNTIF(Perralière,D11)=1,listes!$P$1,IF(COUNTIF(Buers,D11)=1,listes!$J$1,IF(COUNTIF(Charpennes,D11)=1,listes!$K$1,IF(COUNTIF(Cusset,D11)=1,listes!$L$1,IF(COUNTIF(Cyprien,D11)=1,listes!$M$1,IF(COUNTIF(Ferrandière,D11)=1,listes!$N$1,IF(COUNTIF(Gratteciel,D11)=1,listes!$O$1,IF(COUNTIF(Saintjean,D11)=1,listes!$Q$1,IF(COUNTIF(horsvilleurbanne,D11)=1,listes!$R$1,"")))))))))</f>
        <v/>
      </c>
      <c r="M11" s="21" t="str">
        <f t="shared" si="0"/>
        <v>RIZE</v>
      </c>
      <c r="N11" s="21" t="str">
        <f>T_sept_dec[[#This Row],[Etablissement accueillant]]&amp;"-"&amp;T_sept_dec[[#This Row],[Enseignant référent (Nom Prénom)]]</f>
        <v>RIZE-TROIS Pierre</v>
      </c>
      <c r="O11" s="21">
        <f>1/COUNTIF(T_sept_dec[CléEtablissement],T_sept_dec[[#This Row],[CléEtablissement]])</f>
        <v>1</v>
      </c>
      <c r="P1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Rizehorsmed_TROIS Pierre</v>
      </c>
      <c r="Q11" s="186">
        <f>1/COUNTIF(T_sept_dec[CléRéseau-Rize horsmed],T_sept_dec[[#This Row],[CléRéseau-Rize horsmed]])</f>
        <v>1</v>
      </c>
      <c r="R11" s="186" t="str">
        <f>IF(COUNTIF(RIZE,T_sept_dec[[#This Row],[Secteur organisateur]]),"Rize_"&amp;T_sept_dec[[#This Row],[Enseignant référent (Nom Prénom)]],"")</f>
        <v>Rize_TROIS Pierre</v>
      </c>
      <c r="S11" s="186">
        <f>1/COUNTIF(T_sept_dec[CléRize],T_sept_dec[[#This Row],[CléRize]])</f>
        <v>1</v>
      </c>
      <c r="T11" s="186" t="str">
        <f>IF(COUNTIF(Total,T_sept_dec[[#This Row],[Secteur organisateur]]),"Total_"&amp;T_sept_dec[[#This Row],[Enseignant référent (Nom Prénom)]],"")</f>
        <v>Total_TROIS Pierre</v>
      </c>
      <c r="U11" s="186">
        <f>1/COUNTIF(T_sept_dec[cléTotal],T_sept_dec[[#This Row],[cléTotal]])</f>
        <v>0.5</v>
      </c>
    </row>
    <row r="12" spans="1:21">
      <c r="K12" s="21" t="str">
        <f>IF(COUNTIF(Maternelle,E12)=1,listes!$T$1,IF(COUNTIF(Elémentaire,E12)=1,listes!$U$1,IF(COUNTIF(Collège,E12)=1,listes!$V$1,IF(COUNTIF(Lycée,E12)=1,listes!$W$1,""))))</f>
        <v/>
      </c>
      <c r="L12" s="21" t="str">
        <f>IF(COUNTIF(Perralière,D12)=1,listes!$P$1,IF(COUNTIF(Buers,D12)=1,listes!$J$1,IF(COUNTIF(Charpennes,D12)=1,listes!$K$1,IF(COUNTIF(Cusset,D12)=1,listes!$L$1,IF(COUNTIF(Cyprien,D12)=1,listes!$M$1,IF(COUNTIF(Ferrandière,D12)=1,listes!$N$1,IF(COUNTIF(Gratteciel,D12)=1,listes!$O$1,IF(COUNTIF(Saintjean,D12)=1,listes!$Q$1,IF(COUNTIF(horsvilleurbanne,D12)=1,listes!$R$1,"")))))))))</f>
        <v/>
      </c>
      <c r="M12" s="21" t="str">
        <f t="shared" si="0"/>
        <v/>
      </c>
      <c r="N12" s="21" t="str">
        <f>T_sept_dec[[#This Row],[Etablissement accueillant]]&amp;"-"&amp;T_sept_dec[[#This Row],[Enseignant référent (Nom Prénom)]]</f>
        <v>-</v>
      </c>
      <c r="O12" s="21">
        <f>1/COUNTIF(T_sept_dec[CléEtablissement],T_sept_dec[[#This Row],[CléEtablissement]])</f>
        <v>4.1841004184100415E-3</v>
      </c>
      <c r="P1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 s="186">
        <f>1/COUNTIF(T_sept_dec[CléRéseau-Rize horsmed],T_sept_dec[[#This Row],[CléRéseau-Rize horsmed]])</f>
        <v>4.1841004184100415E-3</v>
      </c>
      <c r="R12" s="186" t="str">
        <f>IF(COUNTIF(RIZE,T_sept_dec[[#This Row],[Secteur organisateur]]),"Rize_"&amp;T_sept_dec[[#This Row],[Enseignant référent (Nom Prénom)]],"")</f>
        <v/>
      </c>
      <c r="S12" s="186">
        <f>1/COUNTIF(T_sept_dec[CléRize],T_sept_dec[[#This Row],[CléRize]])</f>
        <v>4.048582995951417E-3</v>
      </c>
      <c r="T12" s="186" t="str">
        <f>IF(COUNTIF(Total,T_sept_dec[[#This Row],[Secteur organisateur]]),"Total_"&amp;T_sept_dec[[#This Row],[Enseignant référent (Nom Prénom)]],"")</f>
        <v/>
      </c>
      <c r="U12" s="186">
        <f>1/COUNTIF(T_sept_dec[cléTotal],T_sept_dec[[#This Row],[cléTotal]])</f>
        <v>4.1841004184100415E-3</v>
      </c>
    </row>
    <row r="13" spans="1:21">
      <c r="K13" s="21" t="str">
        <f>IF(COUNTIF(Maternelle,E13)=1,listes!$T$1,IF(COUNTIF(Elémentaire,E13)=1,listes!$U$1,IF(COUNTIF(Collège,E13)=1,listes!$V$1,IF(COUNTIF(Lycée,E13)=1,listes!$W$1,""))))</f>
        <v/>
      </c>
      <c r="L13" s="21" t="str">
        <f>IF(COUNTIF(Perralière,D13)=1,listes!$P$1,IF(COUNTIF(Buers,D13)=1,listes!$J$1,IF(COUNTIF(Charpennes,D13)=1,listes!$K$1,IF(COUNTIF(Cusset,D13)=1,listes!$L$1,IF(COUNTIF(Cyprien,D13)=1,listes!$M$1,IF(COUNTIF(Ferrandière,D13)=1,listes!$N$1,IF(COUNTIF(Gratteciel,D13)=1,listes!$O$1,IF(COUNTIF(Saintjean,D13)=1,listes!$Q$1,IF(COUNTIF(horsvilleurbanne,D13)=1,listes!$R$1,"")))))))))</f>
        <v/>
      </c>
      <c r="M13" s="21" t="str">
        <f t="shared" si="0"/>
        <v/>
      </c>
      <c r="N13" s="21" t="str">
        <f>T_sept_dec[[#This Row],[Etablissement accueillant]]&amp;"-"&amp;T_sept_dec[[#This Row],[Enseignant référent (Nom Prénom)]]</f>
        <v>-</v>
      </c>
      <c r="O13" s="21">
        <f>1/COUNTIF(T_sept_dec[CléEtablissement],T_sept_dec[[#This Row],[CléEtablissement]])</f>
        <v>4.1841004184100415E-3</v>
      </c>
      <c r="P1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 s="186">
        <f>1/COUNTIF(T_sept_dec[CléRéseau-Rize horsmed],T_sept_dec[[#This Row],[CléRéseau-Rize horsmed]])</f>
        <v>4.1841004184100415E-3</v>
      </c>
      <c r="R13" s="186" t="str">
        <f>IF(COUNTIF(RIZE,T_sept_dec[[#This Row],[Secteur organisateur]]),"Rize_"&amp;T_sept_dec[[#This Row],[Enseignant référent (Nom Prénom)]],"")</f>
        <v/>
      </c>
      <c r="S13" s="186">
        <f>1/COUNTIF(T_sept_dec[CléRize],T_sept_dec[[#This Row],[CléRize]])</f>
        <v>4.048582995951417E-3</v>
      </c>
      <c r="T13" s="186" t="str">
        <f>IF(COUNTIF(Total,T_sept_dec[[#This Row],[Secteur organisateur]]),"Total_"&amp;T_sept_dec[[#This Row],[Enseignant référent (Nom Prénom)]],"")</f>
        <v/>
      </c>
      <c r="U13" s="186">
        <f>1/COUNTIF(T_sept_dec[cléTotal],T_sept_dec[[#This Row],[cléTotal]])</f>
        <v>4.1841004184100415E-3</v>
      </c>
    </row>
    <row r="14" spans="1:21">
      <c r="K14" s="21" t="str">
        <f>IF(COUNTIF(Maternelle,E14)=1,listes!$T$1,IF(COUNTIF(Elémentaire,E14)=1,listes!$U$1,IF(COUNTIF(Collège,E14)=1,listes!$V$1,IF(COUNTIF(Lycée,E14)=1,listes!$W$1,""))))</f>
        <v/>
      </c>
      <c r="L14" s="21" t="str">
        <f>IF(COUNTIF(Perralière,D14)=1,listes!$P$1,IF(COUNTIF(Buers,D14)=1,listes!$J$1,IF(COUNTIF(Charpennes,D14)=1,listes!$K$1,IF(COUNTIF(Cusset,D14)=1,listes!$L$1,IF(COUNTIF(Cyprien,D14)=1,listes!$M$1,IF(COUNTIF(Ferrandière,D14)=1,listes!$N$1,IF(COUNTIF(Gratteciel,D14)=1,listes!$O$1,IF(COUNTIF(Saintjean,D14)=1,listes!$Q$1,IF(COUNTIF(horsvilleurbanne,D14)=1,listes!$R$1,"")))))))))</f>
        <v/>
      </c>
      <c r="M14" s="21" t="str">
        <f t="shared" si="0"/>
        <v/>
      </c>
      <c r="N14" s="21" t="str">
        <f>T_sept_dec[[#This Row],[Etablissement accueillant]]&amp;"-"&amp;T_sept_dec[[#This Row],[Enseignant référent (Nom Prénom)]]</f>
        <v>-</v>
      </c>
      <c r="O14" s="21">
        <f>1/COUNTIF(T_sept_dec[CléEtablissement],T_sept_dec[[#This Row],[CléEtablissement]])</f>
        <v>4.1841004184100415E-3</v>
      </c>
      <c r="P1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 s="186">
        <f>1/COUNTIF(T_sept_dec[CléRéseau-Rize horsmed],T_sept_dec[[#This Row],[CléRéseau-Rize horsmed]])</f>
        <v>4.1841004184100415E-3</v>
      </c>
      <c r="R14" s="186" t="str">
        <f>IF(COUNTIF(RIZE,T_sept_dec[[#This Row],[Secteur organisateur]]),"Rize_"&amp;T_sept_dec[[#This Row],[Enseignant référent (Nom Prénom)]],"")</f>
        <v/>
      </c>
      <c r="S14" s="186">
        <f>1/COUNTIF(T_sept_dec[CléRize],T_sept_dec[[#This Row],[CléRize]])</f>
        <v>4.048582995951417E-3</v>
      </c>
      <c r="T14" s="186" t="str">
        <f>IF(COUNTIF(Total,T_sept_dec[[#This Row],[Secteur organisateur]]),"Total_"&amp;T_sept_dec[[#This Row],[Enseignant référent (Nom Prénom)]],"")</f>
        <v/>
      </c>
      <c r="U14" s="186">
        <f>1/COUNTIF(T_sept_dec[cléTotal],T_sept_dec[[#This Row],[cléTotal]])</f>
        <v>4.1841004184100415E-3</v>
      </c>
    </row>
    <row r="15" spans="1:21">
      <c r="K15" s="21" t="str">
        <f>IF(COUNTIF(Maternelle,E15)=1,listes!$T$1,IF(COUNTIF(Elémentaire,E15)=1,listes!$U$1,IF(COUNTIF(Collège,E15)=1,listes!$V$1,IF(COUNTIF(Lycée,E15)=1,listes!$W$1,""))))</f>
        <v/>
      </c>
      <c r="L15" s="21" t="str">
        <f>IF(COUNTIF(Perralière,D15)=1,listes!$P$1,IF(COUNTIF(Buers,D15)=1,listes!$J$1,IF(COUNTIF(Charpennes,D15)=1,listes!$K$1,IF(COUNTIF(Cusset,D15)=1,listes!$L$1,IF(COUNTIF(Cyprien,D15)=1,listes!$M$1,IF(COUNTIF(Ferrandière,D15)=1,listes!$N$1,IF(COUNTIF(Gratteciel,D15)=1,listes!$O$1,IF(COUNTIF(Saintjean,D15)=1,listes!$Q$1,IF(COUNTIF(horsvilleurbanne,D15)=1,listes!$R$1,"")))))))))</f>
        <v/>
      </c>
      <c r="M15" s="21" t="str">
        <f t="shared" si="0"/>
        <v/>
      </c>
      <c r="N15" s="21" t="str">
        <f>T_sept_dec[[#This Row],[Etablissement accueillant]]&amp;"-"&amp;T_sept_dec[[#This Row],[Enseignant référent (Nom Prénom)]]</f>
        <v>-</v>
      </c>
      <c r="O15" s="21">
        <f>1/COUNTIF(T_sept_dec[CléEtablissement],T_sept_dec[[#This Row],[CléEtablissement]])</f>
        <v>4.1841004184100415E-3</v>
      </c>
      <c r="P1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 s="186">
        <f>1/COUNTIF(T_sept_dec[CléRéseau-Rize horsmed],T_sept_dec[[#This Row],[CléRéseau-Rize horsmed]])</f>
        <v>4.1841004184100415E-3</v>
      </c>
      <c r="R15" s="186" t="str">
        <f>IF(COUNTIF(RIZE,T_sept_dec[[#This Row],[Secteur organisateur]]),"Rize_"&amp;T_sept_dec[[#This Row],[Enseignant référent (Nom Prénom)]],"")</f>
        <v/>
      </c>
      <c r="S15" s="186">
        <f>1/COUNTIF(T_sept_dec[CléRize],T_sept_dec[[#This Row],[CléRize]])</f>
        <v>4.048582995951417E-3</v>
      </c>
      <c r="T15" s="186" t="str">
        <f>IF(COUNTIF(Total,T_sept_dec[[#This Row],[Secteur organisateur]]),"Total_"&amp;T_sept_dec[[#This Row],[Enseignant référent (Nom Prénom)]],"")</f>
        <v/>
      </c>
      <c r="U15" s="186">
        <f>1/COUNTIF(T_sept_dec[cléTotal],T_sept_dec[[#This Row],[cléTotal]])</f>
        <v>4.1841004184100415E-3</v>
      </c>
    </row>
    <row r="16" spans="1:21">
      <c r="K16" s="21" t="str">
        <f>IF(COUNTIF(Maternelle,E16)=1,listes!$T$1,IF(COUNTIF(Elémentaire,E16)=1,listes!$U$1,IF(COUNTIF(Collège,E16)=1,listes!$V$1,IF(COUNTIF(Lycée,E16)=1,listes!$W$1,""))))</f>
        <v/>
      </c>
      <c r="L16" s="21" t="str">
        <f>IF(COUNTIF(Perralière,D16)=1,listes!$P$1,IF(COUNTIF(Buers,D16)=1,listes!$J$1,IF(COUNTIF(Charpennes,D16)=1,listes!$K$1,IF(COUNTIF(Cusset,D16)=1,listes!$L$1,IF(COUNTIF(Cyprien,D16)=1,listes!$M$1,IF(COUNTIF(Ferrandière,D16)=1,listes!$N$1,IF(COUNTIF(Gratteciel,D16)=1,listes!$O$1,IF(COUNTIF(Saintjean,D16)=1,listes!$Q$1,IF(COUNTIF(horsvilleurbanne,D16)=1,listes!$R$1,"")))))))))</f>
        <v/>
      </c>
      <c r="M16" s="21" t="str">
        <f t="shared" si="0"/>
        <v/>
      </c>
      <c r="N16" s="21" t="str">
        <f>T_sept_dec[[#This Row],[Etablissement accueillant]]&amp;"-"&amp;T_sept_dec[[#This Row],[Enseignant référent (Nom Prénom)]]</f>
        <v>-</v>
      </c>
      <c r="O16" s="21">
        <f>1/COUNTIF(T_sept_dec[CléEtablissement],T_sept_dec[[#This Row],[CléEtablissement]])</f>
        <v>4.1841004184100415E-3</v>
      </c>
      <c r="P1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 s="186">
        <f>1/COUNTIF(T_sept_dec[CléRéseau-Rize horsmed],T_sept_dec[[#This Row],[CléRéseau-Rize horsmed]])</f>
        <v>4.1841004184100415E-3</v>
      </c>
      <c r="R16" s="186" t="str">
        <f>IF(COUNTIF(RIZE,T_sept_dec[[#This Row],[Secteur organisateur]]),"Rize_"&amp;T_sept_dec[[#This Row],[Enseignant référent (Nom Prénom)]],"")</f>
        <v/>
      </c>
      <c r="S16" s="186">
        <f>1/COUNTIF(T_sept_dec[CléRize],T_sept_dec[[#This Row],[CléRize]])</f>
        <v>4.048582995951417E-3</v>
      </c>
      <c r="T16" s="186" t="str">
        <f>IF(COUNTIF(Total,T_sept_dec[[#This Row],[Secteur organisateur]]),"Total_"&amp;T_sept_dec[[#This Row],[Enseignant référent (Nom Prénom)]],"")</f>
        <v/>
      </c>
      <c r="U16" s="186">
        <f>1/COUNTIF(T_sept_dec[cléTotal],T_sept_dec[[#This Row],[cléTotal]])</f>
        <v>4.1841004184100415E-3</v>
      </c>
    </row>
    <row r="17" spans="1:21">
      <c r="K17" s="21" t="str">
        <f>IF(COUNTIF(Maternelle,E17)=1,listes!$T$1,IF(COUNTIF(Elémentaire,E17)=1,listes!$U$1,IF(COUNTIF(Collège,E17)=1,listes!$V$1,IF(COUNTIF(Lycée,E17)=1,listes!$W$1,""))))</f>
        <v/>
      </c>
      <c r="L17" s="21" t="str">
        <f>IF(COUNTIF(Perralière,D17)=1,listes!$P$1,IF(COUNTIF(Buers,D17)=1,listes!$J$1,IF(COUNTIF(Charpennes,D17)=1,listes!$K$1,IF(COUNTIF(Cusset,D17)=1,listes!$L$1,IF(COUNTIF(Cyprien,D17)=1,listes!$M$1,IF(COUNTIF(Ferrandière,D17)=1,listes!$N$1,IF(COUNTIF(Gratteciel,D17)=1,listes!$O$1,IF(COUNTIF(Saintjean,D17)=1,listes!$Q$1,IF(COUNTIF(horsvilleurbanne,D17)=1,listes!$R$1,"")))))))))</f>
        <v/>
      </c>
      <c r="M17" s="21" t="str">
        <f t="shared" si="0"/>
        <v/>
      </c>
      <c r="N17" s="21" t="str">
        <f>T_sept_dec[[#This Row],[Etablissement accueillant]]&amp;"-"&amp;T_sept_dec[[#This Row],[Enseignant référent (Nom Prénom)]]</f>
        <v>-</v>
      </c>
      <c r="O17" s="21">
        <f>1/COUNTIF(T_sept_dec[CléEtablissement],T_sept_dec[[#This Row],[CléEtablissement]])</f>
        <v>4.1841004184100415E-3</v>
      </c>
      <c r="P1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 s="186">
        <f>1/COUNTIF(T_sept_dec[CléRéseau-Rize horsmed],T_sept_dec[[#This Row],[CléRéseau-Rize horsmed]])</f>
        <v>4.1841004184100415E-3</v>
      </c>
      <c r="R17" s="186" t="str">
        <f>IF(COUNTIF(RIZE,T_sept_dec[[#This Row],[Secteur organisateur]]),"Rize_"&amp;T_sept_dec[[#This Row],[Enseignant référent (Nom Prénom)]],"")</f>
        <v/>
      </c>
      <c r="S17" s="186">
        <f>1/COUNTIF(T_sept_dec[CléRize],T_sept_dec[[#This Row],[CléRize]])</f>
        <v>4.048582995951417E-3</v>
      </c>
      <c r="T17" s="186" t="str">
        <f>IF(COUNTIF(Total,T_sept_dec[[#This Row],[Secteur organisateur]]),"Total_"&amp;T_sept_dec[[#This Row],[Enseignant référent (Nom Prénom)]],"")</f>
        <v/>
      </c>
      <c r="U17" s="186">
        <f>1/COUNTIF(T_sept_dec[cléTotal],T_sept_dec[[#This Row],[cléTotal]])</f>
        <v>4.1841004184100415E-3</v>
      </c>
    </row>
    <row r="18" spans="1:21">
      <c r="K18" s="21" t="str">
        <f>IF(COUNTIF(Maternelle,E18)=1,listes!$T$1,IF(COUNTIF(Elémentaire,E18)=1,listes!$U$1,IF(COUNTIF(Collège,E18)=1,listes!$V$1,IF(COUNTIF(Lycée,E18)=1,listes!$W$1,""))))</f>
        <v/>
      </c>
      <c r="L18" s="21" t="str">
        <f>IF(COUNTIF(Perralière,D18)=1,listes!$P$1,IF(COUNTIF(Buers,D18)=1,listes!$J$1,IF(COUNTIF(Charpennes,D18)=1,listes!$K$1,IF(COUNTIF(Cusset,D18)=1,listes!$L$1,IF(COUNTIF(Cyprien,D18)=1,listes!$M$1,IF(COUNTIF(Ferrandière,D18)=1,listes!$N$1,IF(COUNTIF(Gratteciel,D18)=1,listes!$O$1,IF(COUNTIF(Saintjean,D18)=1,listes!$Q$1,IF(COUNTIF(horsvilleurbanne,D18)=1,listes!$R$1,"")))))))))</f>
        <v/>
      </c>
      <c r="M18" s="21" t="str">
        <f t="shared" si="0"/>
        <v/>
      </c>
      <c r="N18" s="21" t="str">
        <f>T_sept_dec[[#This Row],[Etablissement accueillant]]&amp;"-"&amp;T_sept_dec[[#This Row],[Enseignant référent (Nom Prénom)]]</f>
        <v>-</v>
      </c>
      <c r="O18" s="21">
        <f>1/COUNTIF(T_sept_dec[CléEtablissement],T_sept_dec[[#This Row],[CléEtablissement]])</f>
        <v>4.1841004184100415E-3</v>
      </c>
      <c r="P1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 s="186">
        <f>1/COUNTIF(T_sept_dec[CléRéseau-Rize horsmed],T_sept_dec[[#This Row],[CléRéseau-Rize horsmed]])</f>
        <v>4.1841004184100415E-3</v>
      </c>
      <c r="R18" s="186" t="str">
        <f>IF(COUNTIF(RIZE,T_sept_dec[[#This Row],[Secteur organisateur]]),"Rize_"&amp;T_sept_dec[[#This Row],[Enseignant référent (Nom Prénom)]],"")</f>
        <v/>
      </c>
      <c r="S18" s="186">
        <f>1/COUNTIF(T_sept_dec[CléRize],T_sept_dec[[#This Row],[CléRize]])</f>
        <v>4.048582995951417E-3</v>
      </c>
      <c r="T18" s="186" t="str">
        <f>IF(COUNTIF(Total,T_sept_dec[[#This Row],[Secteur organisateur]]),"Total_"&amp;T_sept_dec[[#This Row],[Enseignant référent (Nom Prénom)]],"")</f>
        <v/>
      </c>
      <c r="U18" s="186">
        <f>1/COUNTIF(T_sept_dec[cléTotal],T_sept_dec[[#This Row],[cléTotal]])</f>
        <v>4.1841004184100415E-3</v>
      </c>
    </row>
    <row r="19" spans="1:21">
      <c r="K19" s="21" t="str">
        <f>IF(COUNTIF(Maternelle,E19)=1,listes!$T$1,IF(COUNTIF(Elémentaire,E19)=1,listes!$U$1,IF(COUNTIF(Collège,E19)=1,listes!$V$1,IF(COUNTIF(Lycée,E19)=1,listes!$W$1,""))))</f>
        <v/>
      </c>
      <c r="L19" s="21" t="str">
        <f>IF(COUNTIF(Perralière,D19)=1,listes!$P$1,IF(COUNTIF(Buers,D19)=1,listes!$J$1,IF(COUNTIF(Charpennes,D19)=1,listes!$K$1,IF(COUNTIF(Cusset,D19)=1,listes!$L$1,IF(COUNTIF(Cyprien,D19)=1,listes!$M$1,IF(COUNTIF(Ferrandière,D19)=1,listes!$N$1,IF(COUNTIF(Gratteciel,D19)=1,listes!$O$1,IF(COUNTIF(Saintjean,D19)=1,listes!$Q$1,IF(COUNTIF(horsvilleurbanne,D19)=1,listes!$R$1,"")))))))))</f>
        <v/>
      </c>
      <c r="M19" s="21" t="str">
        <f t="shared" si="0"/>
        <v/>
      </c>
      <c r="N19" s="21" t="str">
        <f>T_sept_dec[[#This Row],[Etablissement accueillant]]&amp;"-"&amp;T_sept_dec[[#This Row],[Enseignant référent (Nom Prénom)]]</f>
        <v>-</v>
      </c>
      <c r="O19" s="21">
        <f>1/COUNTIF(T_sept_dec[CléEtablissement],T_sept_dec[[#This Row],[CléEtablissement]])</f>
        <v>4.1841004184100415E-3</v>
      </c>
      <c r="P1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 s="186">
        <f>1/COUNTIF(T_sept_dec[CléRéseau-Rize horsmed],T_sept_dec[[#This Row],[CléRéseau-Rize horsmed]])</f>
        <v>4.1841004184100415E-3</v>
      </c>
      <c r="R19" s="186" t="str">
        <f>IF(COUNTIF(RIZE,T_sept_dec[[#This Row],[Secteur organisateur]]),"Rize_"&amp;T_sept_dec[[#This Row],[Enseignant référent (Nom Prénom)]],"")</f>
        <v/>
      </c>
      <c r="S19" s="186">
        <f>1/COUNTIF(T_sept_dec[CléRize],T_sept_dec[[#This Row],[CléRize]])</f>
        <v>4.048582995951417E-3</v>
      </c>
      <c r="T19" s="186" t="str">
        <f>IF(COUNTIF(Total,T_sept_dec[[#This Row],[Secteur organisateur]]),"Total_"&amp;T_sept_dec[[#This Row],[Enseignant référent (Nom Prénom)]],"")</f>
        <v/>
      </c>
      <c r="U19" s="186">
        <f>1/COUNTIF(T_sept_dec[cléTotal],T_sept_dec[[#This Row],[cléTotal]])</f>
        <v>4.1841004184100415E-3</v>
      </c>
    </row>
    <row r="20" spans="1:21">
      <c r="K20" s="21" t="str">
        <f>IF(COUNTIF(Maternelle,E20)=1,listes!$T$1,IF(COUNTIF(Elémentaire,E20)=1,listes!$U$1,IF(COUNTIF(Collège,E20)=1,listes!$V$1,IF(COUNTIF(Lycée,E20)=1,listes!$W$1,""))))</f>
        <v/>
      </c>
      <c r="L20" s="21" t="str">
        <f>IF(COUNTIF(Perralière,D20)=1,listes!$P$1,IF(COUNTIF(Buers,D20)=1,listes!$J$1,IF(COUNTIF(Charpennes,D20)=1,listes!$K$1,IF(COUNTIF(Cusset,D20)=1,listes!$L$1,IF(COUNTIF(Cyprien,D20)=1,listes!$M$1,IF(COUNTIF(Ferrandière,D20)=1,listes!$N$1,IF(COUNTIF(Gratteciel,D20)=1,listes!$O$1,IF(COUNTIF(Saintjean,D20)=1,listes!$Q$1,IF(COUNTIF(horsvilleurbanne,D20)=1,listes!$R$1,"")))))))))</f>
        <v/>
      </c>
      <c r="M20" s="21" t="str">
        <f t="shared" si="0"/>
        <v/>
      </c>
      <c r="N20" s="21" t="str">
        <f>T_sept_dec[[#This Row],[Etablissement accueillant]]&amp;"-"&amp;T_sept_dec[[#This Row],[Enseignant référent (Nom Prénom)]]</f>
        <v>-</v>
      </c>
      <c r="O20" s="21">
        <f>1/COUNTIF(T_sept_dec[CléEtablissement],T_sept_dec[[#This Row],[CléEtablissement]])</f>
        <v>4.1841004184100415E-3</v>
      </c>
      <c r="P2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 s="186">
        <f>1/COUNTIF(T_sept_dec[CléRéseau-Rize horsmed],T_sept_dec[[#This Row],[CléRéseau-Rize horsmed]])</f>
        <v>4.1841004184100415E-3</v>
      </c>
      <c r="R20" s="186" t="str">
        <f>IF(COUNTIF(RIZE,T_sept_dec[[#This Row],[Secteur organisateur]]),"Rize_"&amp;T_sept_dec[[#This Row],[Enseignant référent (Nom Prénom)]],"")</f>
        <v/>
      </c>
      <c r="S20" s="186">
        <f>1/COUNTIF(T_sept_dec[CléRize],T_sept_dec[[#This Row],[CléRize]])</f>
        <v>4.048582995951417E-3</v>
      </c>
      <c r="T20" s="186" t="str">
        <f>IF(COUNTIF(Total,T_sept_dec[[#This Row],[Secteur organisateur]]),"Total_"&amp;T_sept_dec[[#This Row],[Enseignant référent (Nom Prénom)]],"")</f>
        <v/>
      </c>
      <c r="U20" s="186">
        <f>1/COUNTIF(T_sept_dec[cléTotal],T_sept_dec[[#This Row],[cléTotal]])</f>
        <v>4.1841004184100415E-3</v>
      </c>
    </row>
    <row r="21" spans="1:21">
      <c r="C21" s="153"/>
      <c r="K21" s="21" t="str">
        <f>IF(COUNTIF(Maternelle,E21)=1,listes!$T$1,IF(COUNTIF(Elémentaire,E21)=1,listes!$U$1,IF(COUNTIF(Collège,E21)=1,listes!$V$1,IF(COUNTIF(Lycée,E21)=1,listes!$W$1,""))))</f>
        <v/>
      </c>
      <c r="L21" s="21" t="str">
        <f>IF(COUNTIF(Perralière,D21)=1,listes!$P$1,IF(COUNTIF(Buers,D21)=1,listes!$J$1,IF(COUNTIF(Charpennes,D21)=1,listes!$K$1,IF(COUNTIF(Cusset,D21)=1,listes!$L$1,IF(COUNTIF(Cyprien,D21)=1,listes!$M$1,IF(COUNTIF(Ferrandière,D21)=1,listes!$N$1,IF(COUNTIF(Gratteciel,D21)=1,listes!$O$1,IF(COUNTIF(Saintjean,D21)=1,listes!$Q$1,IF(COUNTIF(horsvilleurbanne,D21)=1,listes!$R$1,"")))))))))</f>
        <v/>
      </c>
      <c r="M21" s="21" t="str">
        <f t="shared" si="0"/>
        <v/>
      </c>
      <c r="N21" s="21" t="str">
        <f>T_sept_dec[[#This Row],[Etablissement accueillant]]&amp;"-"&amp;T_sept_dec[[#This Row],[Enseignant référent (Nom Prénom)]]</f>
        <v>-</v>
      </c>
      <c r="O21" s="21">
        <f>1/COUNTIF(T_sept_dec[CléEtablissement],T_sept_dec[[#This Row],[CléEtablissement]])</f>
        <v>4.1841004184100415E-3</v>
      </c>
      <c r="P2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 s="186">
        <f>1/COUNTIF(T_sept_dec[CléRéseau-Rize horsmed],T_sept_dec[[#This Row],[CléRéseau-Rize horsmed]])</f>
        <v>4.1841004184100415E-3</v>
      </c>
      <c r="R21" s="186" t="str">
        <f>IF(COUNTIF(RIZE,T_sept_dec[[#This Row],[Secteur organisateur]]),"Rize_"&amp;T_sept_dec[[#This Row],[Enseignant référent (Nom Prénom)]],"")</f>
        <v/>
      </c>
      <c r="S21" s="186">
        <f>1/COUNTIF(T_sept_dec[CléRize],T_sept_dec[[#This Row],[CléRize]])</f>
        <v>4.048582995951417E-3</v>
      </c>
      <c r="T21" s="186" t="str">
        <f>IF(COUNTIF(Total,T_sept_dec[[#This Row],[Secteur organisateur]]),"Total_"&amp;T_sept_dec[[#This Row],[Enseignant référent (Nom Prénom)]],"")</f>
        <v/>
      </c>
      <c r="U21" s="186">
        <f>1/COUNTIF(T_sept_dec[cléTotal],T_sept_dec[[#This Row],[cléTotal]])</f>
        <v>4.1841004184100415E-3</v>
      </c>
    </row>
    <row r="22" spans="1:21" ht="14.45" customHeight="1">
      <c r="K22" s="21" t="str">
        <f>IF(COUNTIF(Maternelle,E22)=1,listes!$T$1,IF(COUNTIF(Elémentaire,E22)=1,listes!$U$1,IF(COUNTIF(Collège,E22)=1,listes!$V$1,IF(COUNTIF(Lycée,E22)=1,listes!$W$1,""))))</f>
        <v/>
      </c>
      <c r="L22" s="21" t="str">
        <f>IF(COUNTIF(Perralière,D22)=1,listes!$P$1,IF(COUNTIF(Buers,D22)=1,listes!$J$1,IF(COUNTIF(Charpennes,D22)=1,listes!$K$1,IF(COUNTIF(Cusset,D22)=1,listes!$L$1,IF(COUNTIF(Cyprien,D22)=1,listes!$M$1,IF(COUNTIF(Ferrandière,D22)=1,listes!$N$1,IF(COUNTIF(Gratteciel,D22)=1,listes!$O$1,IF(COUNTIF(Saintjean,D22)=1,listes!$Q$1,IF(COUNTIF(horsvilleurbanne,D22)=1,listes!$R$1,"")))))))))</f>
        <v/>
      </c>
      <c r="M22" s="21" t="str">
        <f t="shared" si="0"/>
        <v/>
      </c>
      <c r="N22" s="21" t="str">
        <f>T_sept_dec[[#This Row],[Etablissement accueillant]]&amp;"-"&amp;T_sept_dec[[#This Row],[Enseignant référent (Nom Prénom)]]</f>
        <v>-</v>
      </c>
      <c r="O22" s="21">
        <f>1/COUNTIF(T_sept_dec[CléEtablissement],T_sept_dec[[#This Row],[CléEtablissement]])</f>
        <v>4.1841004184100415E-3</v>
      </c>
      <c r="P2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 s="186">
        <f>1/COUNTIF(T_sept_dec[CléRéseau-Rize horsmed],T_sept_dec[[#This Row],[CléRéseau-Rize horsmed]])</f>
        <v>4.1841004184100415E-3</v>
      </c>
      <c r="R22" s="186" t="str">
        <f>IF(COUNTIF(RIZE,T_sept_dec[[#This Row],[Secteur organisateur]]),"Rize_"&amp;T_sept_dec[[#This Row],[Enseignant référent (Nom Prénom)]],"")</f>
        <v/>
      </c>
      <c r="S22" s="186">
        <f>1/COUNTIF(T_sept_dec[CléRize],T_sept_dec[[#This Row],[CléRize]])</f>
        <v>4.048582995951417E-3</v>
      </c>
      <c r="T22" s="186" t="str">
        <f>IF(COUNTIF(Total,T_sept_dec[[#This Row],[Secteur organisateur]]),"Total_"&amp;T_sept_dec[[#This Row],[Enseignant référent (Nom Prénom)]],"")</f>
        <v/>
      </c>
      <c r="U22" s="186">
        <f>1/COUNTIF(T_sept_dec[cléTotal],T_sept_dec[[#This Row],[cléTotal]])</f>
        <v>4.1841004184100415E-3</v>
      </c>
    </row>
    <row r="23" spans="1:21">
      <c r="A23" s="151"/>
      <c r="B23" s="152"/>
      <c r="C23" s="153"/>
      <c r="D23" s="152"/>
      <c r="E23" s="152"/>
      <c r="F23" s="152"/>
      <c r="G23" s="154"/>
      <c r="H23" s="152"/>
      <c r="I23" s="152"/>
      <c r="K23" s="21" t="str">
        <f>IF(COUNTIF(Maternelle,E23)=1,listes!$T$1,IF(COUNTIF(Elémentaire,E23)=1,listes!$U$1,IF(COUNTIF(Collège,E23)=1,listes!$V$1,IF(COUNTIF(Lycée,E23)=1,listes!$W$1,""))))</f>
        <v/>
      </c>
      <c r="L23" s="21" t="str">
        <f>IF(COUNTIF(Perralière,D23)=1,listes!$P$1,IF(COUNTIF(Buers,D23)=1,listes!$J$1,IF(COUNTIF(Charpennes,D23)=1,listes!$K$1,IF(COUNTIF(Cusset,D23)=1,listes!$L$1,IF(COUNTIF(Cyprien,D23)=1,listes!$M$1,IF(COUNTIF(Ferrandière,D23)=1,listes!$N$1,IF(COUNTIF(Gratteciel,D23)=1,listes!$O$1,IF(COUNTIF(Saintjean,D23)=1,listes!$Q$1,IF(COUNTIF(horsvilleurbanne,D23)=1,listes!$R$1,"")))))))))</f>
        <v/>
      </c>
      <c r="M23" s="21" t="str">
        <f t="shared" si="0"/>
        <v/>
      </c>
      <c r="N23" s="21" t="str">
        <f>T_sept_dec[[#This Row],[Etablissement accueillant]]&amp;"-"&amp;T_sept_dec[[#This Row],[Enseignant référent (Nom Prénom)]]</f>
        <v>-</v>
      </c>
      <c r="O23" s="21">
        <f>1/COUNTIF(T_sept_dec[CléEtablissement],T_sept_dec[[#This Row],[CléEtablissement]])</f>
        <v>4.1841004184100415E-3</v>
      </c>
      <c r="P2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 s="186">
        <f>1/COUNTIF(T_sept_dec[CléRéseau-Rize horsmed],T_sept_dec[[#This Row],[CléRéseau-Rize horsmed]])</f>
        <v>4.1841004184100415E-3</v>
      </c>
      <c r="R23" s="186" t="str">
        <f>IF(COUNTIF(RIZE,T_sept_dec[[#This Row],[Secteur organisateur]]),"Rize_"&amp;T_sept_dec[[#This Row],[Enseignant référent (Nom Prénom)]],"")</f>
        <v/>
      </c>
      <c r="S23" s="186">
        <f>1/COUNTIF(T_sept_dec[CléRize],T_sept_dec[[#This Row],[CléRize]])</f>
        <v>4.048582995951417E-3</v>
      </c>
      <c r="T23" s="186" t="str">
        <f>IF(COUNTIF(Total,T_sept_dec[[#This Row],[Secteur organisateur]]),"Total_"&amp;T_sept_dec[[#This Row],[Enseignant référent (Nom Prénom)]],"")</f>
        <v/>
      </c>
      <c r="U23" s="186">
        <f>1/COUNTIF(T_sept_dec[cléTotal],T_sept_dec[[#This Row],[cléTotal]])</f>
        <v>4.1841004184100415E-3</v>
      </c>
    </row>
    <row r="24" spans="1:21">
      <c r="K24" s="21" t="str">
        <f>IF(COUNTIF(Maternelle,E24)=1,listes!$T$1,IF(COUNTIF(Elémentaire,E24)=1,listes!$U$1,IF(COUNTIF(Collège,E24)=1,listes!$V$1,IF(COUNTIF(Lycée,E24)=1,listes!$W$1,""))))</f>
        <v/>
      </c>
      <c r="L24" s="21" t="str">
        <f>IF(COUNTIF(Perralière,D24)=1,listes!$P$1,IF(COUNTIF(Buers,D24)=1,listes!$J$1,IF(COUNTIF(Charpennes,D24)=1,listes!$K$1,IF(COUNTIF(Cusset,D24)=1,listes!$L$1,IF(COUNTIF(Cyprien,D24)=1,listes!$M$1,IF(COUNTIF(Ferrandière,D24)=1,listes!$N$1,IF(COUNTIF(Gratteciel,D24)=1,listes!$O$1,IF(COUNTIF(Saintjean,D24)=1,listes!$Q$1,IF(COUNTIF(horsvilleurbanne,D24)=1,listes!$R$1,"")))))))))</f>
        <v/>
      </c>
      <c r="M24" s="21" t="str">
        <f t="shared" si="0"/>
        <v/>
      </c>
      <c r="N24" s="21" t="str">
        <f>T_sept_dec[[#This Row],[Etablissement accueillant]]&amp;"-"&amp;T_sept_dec[[#This Row],[Enseignant référent (Nom Prénom)]]</f>
        <v>-</v>
      </c>
      <c r="O24" s="21">
        <f>1/COUNTIF(T_sept_dec[CléEtablissement],T_sept_dec[[#This Row],[CléEtablissement]])</f>
        <v>4.1841004184100415E-3</v>
      </c>
      <c r="P2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 s="186">
        <f>1/COUNTIF(T_sept_dec[CléRéseau-Rize horsmed],T_sept_dec[[#This Row],[CléRéseau-Rize horsmed]])</f>
        <v>4.1841004184100415E-3</v>
      </c>
      <c r="R24" s="186" t="str">
        <f>IF(COUNTIF(RIZE,T_sept_dec[[#This Row],[Secteur organisateur]]),"Rize_"&amp;T_sept_dec[[#This Row],[Enseignant référent (Nom Prénom)]],"")</f>
        <v/>
      </c>
      <c r="S24" s="186">
        <f>1/COUNTIF(T_sept_dec[CléRize],T_sept_dec[[#This Row],[CléRize]])</f>
        <v>4.048582995951417E-3</v>
      </c>
      <c r="T24" s="186" t="str">
        <f>IF(COUNTIF(Total,T_sept_dec[[#This Row],[Secteur organisateur]]),"Total_"&amp;T_sept_dec[[#This Row],[Enseignant référent (Nom Prénom)]],"")</f>
        <v/>
      </c>
      <c r="U24" s="186">
        <f>1/COUNTIF(T_sept_dec[cléTotal],T_sept_dec[[#This Row],[cléTotal]])</f>
        <v>4.1841004184100415E-3</v>
      </c>
    </row>
    <row r="25" spans="1:21">
      <c r="A25" s="151"/>
      <c r="B25" s="152"/>
      <c r="C25" s="153"/>
      <c r="D25" s="152"/>
      <c r="E25" s="152"/>
      <c r="F25" s="152"/>
      <c r="G25" s="154"/>
      <c r="H25" s="152"/>
      <c r="I25" s="152"/>
      <c r="K25" s="21" t="str">
        <f>IF(COUNTIF(Maternelle,E25)=1,listes!$T$1,IF(COUNTIF(Elémentaire,E25)=1,listes!$U$1,IF(COUNTIF(Collège,E25)=1,listes!$V$1,IF(COUNTIF(Lycée,E25)=1,listes!$W$1,""))))</f>
        <v/>
      </c>
      <c r="L25" s="21" t="str">
        <f>IF(COUNTIF(Perralière,D25)=1,listes!$P$1,IF(COUNTIF(Buers,D25)=1,listes!$J$1,IF(COUNTIF(Charpennes,D25)=1,listes!$K$1,IF(COUNTIF(Cusset,D25)=1,listes!$L$1,IF(COUNTIF(Cyprien,D25)=1,listes!$M$1,IF(COUNTIF(Ferrandière,D25)=1,listes!$N$1,IF(COUNTIF(Gratteciel,D25)=1,listes!$O$1,IF(COUNTIF(Saintjean,D25)=1,listes!$Q$1,IF(COUNTIF(horsvilleurbanne,D25)=1,listes!$R$1,"")))))))))</f>
        <v/>
      </c>
      <c r="M25" s="21" t="str">
        <f t="shared" si="0"/>
        <v/>
      </c>
      <c r="N25" s="21" t="str">
        <f>T_sept_dec[[#This Row],[Etablissement accueillant]]&amp;"-"&amp;T_sept_dec[[#This Row],[Enseignant référent (Nom Prénom)]]</f>
        <v>-</v>
      </c>
      <c r="O25" s="21">
        <f>1/COUNTIF(T_sept_dec[CléEtablissement],T_sept_dec[[#This Row],[CléEtablissement]])</f>
        <v>4.1841004184100415E-3</v>
      </c>
      <c r="P2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5" s="186">
        <f>1/COUNTIF(T_sept_dec[CléRéseau-Rize horsmed],T_sept_dec[[#This Row],[CléRéseau-Rize horsmed]])</f>
        <v>4.1841004184100415E-3</v>
      </c>
      <c r="R25" s="186" t="str">
        <f>IF(COUNTIF(RIZE,T_sept_dec[[#This Row],[Secteur organisateur]]),"Rize_"&amp;T_sept_dec[[#This Row],[Enseignant référent (Nom Prénom)]],"")</f>
        <v/>
      </c>
      <c r="S25" s="186">
        <f>1/COUNTIF(T_sept_dec[CléRize],T_sept_dec[[#This Row],[CléRize]])</f>
        <v>4.048582995951417E-3</v>
      </c>
      <c r="T25" s="186" t="str">
        <f>IF(COUNTIF(Total,T_sept_dec[[#This Row],[Secteur organisateur]]),"Total_"&amp;T_sept_dec[[#This Row],[Enseignant référent (Nom Prénom)]],"")</f>
        <v/>
      </c>
      <c r="U25" s="186">
        <f>1/COUNTIF(T_sept_dec[cléTotal],T_sept_dec[[#This Row],[cléTotal]])</f>
        <v>4.1841004184100415E-3</v>
      </c>
    </row>
    <row r="26" spans="1:21">
      <c r="K26" s="21" t="str">
        <f>IF(COUNTIF(Maternelle,E26)=1,listes!$T$1,IF(COUNTIF(Elémentaire,E26)=1,listes!$U$1,IF(COUNTIF(Collège,E26)=1,listes!$V$1,IF(COUNTIF(Lycée,E26)=1,listes!$W$1,""))))</f>
        <v/>
      </c>
      <c r="L26" s="21" t="str">
        <f>IF(COUNTIF(Perralière,D26)=1,listes!$P$1,IF(COUNTIF(Buers,D26)=1,listes!$J$1,IF(COUNTIF(Charpennes,D26)=1,listes!$K$1,IF(COUNTIF(Cusset,D26)=1,listes!$L$1,IF(COUNTIF(Cyprien,D26)=1,listes!$M$1,IF(COUNTIF(Ferrandière,D26)=1,listes!$N$1,IF(COUNTIF(Gratteciel,D26)=1,listes!$O$1,IF(COUNTIF(Saintjean,D26)=1,listes!$Q$1,IF(COUNTIF(horsvilleurbanne,D26)=1,listes!$R$1,"")))))))))</f>
        <v/>
      </c>
      <c r="M26" s="21" t="str">
        <f t="shared" si="0"/>
        <v/>
      </c>
      <c r="N26" s="21" t="str">
        <f>T_sept_dec[[#This Row],[Etablissement accueillant]]&amp;"-"&amp;T_sept_dec[[#This Row],[Enseignant référent (Nom Prénom)]]</f>
        <v>-</v>
      </c>
      <c r="O26" s="21">
        <f>1/COUNTIF(T_sept_dec[CléEtablissement],T_sept_dec[[#This Row],[CléEtablissement]])</f>
        <v>4.1841004184100415E-3</v>
      </c>
      <c r="P2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6" s="186">
        <f>1/COUNTIF(T_sept_dec[CléRéseau-Rize horsmed],T_sept_dec[[#This Row],[CléRéseau-Rize horsmed]])</f>
        <v>4.1841004184100415E-3</v>
      </c>
      <c r="R26" s="186" t="str">
        <f>IF(COUNTIF(RIZE,T_sept_dec[[#This Row],[Secteur organisateur]]),"Rize_"&amp;T_sept_dec[[#This Row],[Enseignant référent (Nom Prénom)]],"")</f>
        <v/>
      </c>
      <c r="S26" s="186">
        <f>1/COUNTIF(T_sept_dec[CléRize],T_sept_dec[[#This Row],[CléRize]])</f>
        <v>4.048582995951417E-3</v>
      </c>
      <c r="T26" s="186" t="str">
        <f>IF(COUNTIF(Total,T_sept_dec[[#This Row],[Secteur organisateur]]),"Total_"&amp;T_sept_dec[[#This Row],[Enseignant référent (Nom Prénom)]],"")</f>
        <v/>
      </c>
      <c r="U26" s="186">
        <f>1/COUNTIF(T_sept_dec[cléTotal],T_sept_dec[[#This Row],[cléTotal]])</f>
        <v>4.1841004184100415E-3</v>
      </c>
    </row>
    <row r="27" spans="1:21">
      <c r="K27" s="21" t="str">
        <f>IF(COUNTIF(Maternelle,E27)=1,listes!$T$1,IF(COUNTIF(Elémentaire,E27)=1,listes!$U$1,IF(COUNTIF(Collège,E27)=1,listes!$V$1,IF(COUNTIF(Lycée,E27)=1,listes!$W$1,""))))</f>
        <v/>
      </c>
      <c r="L27" s="21" t="str">
        <f>IF(COUNTIF(Perralière,D27)=1,listes!$P$1,IF(COUNTIF(Buers,D27)=1,listes!$J$1,IF(COUNTIF(Charpennes,D27)=1,listes!$K$1,IF(COUNTIF(Cusset,D27)=1,listes!$L$1,IF(COUNTIF(Cyprien,D27)=1,listes!$M$1,IF(COUNTIF(Ferrandière,D27)=1,listes!$N$1,IF(COUNTIF(Gratteciel,D27)=1,listes!$O$1,IF(COUNTIF(Saintjean,D27)=1,listes!$Q$1,IF(COUNTIF(horsvilleurbanne,D27)=1,listes!$R$1,"")))))))))</f>
        <v/>
      </c>
      <c r="M27" s="21" t="str">
        <f t="shared" si="0"/>
        <v/>
      </c>
      <c r="N27" s="21" t="str">
        <f>T_sept_dec[[#This Row],[Etablissement accueillant]]&amp;"-"&amp;T_sept_dec[[#This Row],[Enseignant référent (Nom Prénom)]]</f>
        <v>-</v>
      </c>
      <c r="O27" s="21">
        <f>1/COUNTIF(T_sept_dec[CléEtablissement],T_sept_dec[[#This Row],[CléEtablissement]])</f>
        <v>4.1841004184100415E-3</v>
      </c>
      <c r="P2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7" s="186">
        <f>1/COUNTIF(T_sept_dec[CléRéseau-Rize horsmed],T_sept_dec[[#This Row],[CléRéseau-Rize horsmed]])</f>
        <v>4.1841004184100415E-3</v>
      </c>
      <c r="R27" s="186" t="str">
        <f>IF(COUNTIF(RIZE,T_sept_dec[[#This Row],[Secteur organisateur]]),"Rize_"&amp;T_sept_dec[[#This Row],[Enseignant référent (Nom Prénom)]],"")</f>
        <v/>
      </c>
      <c r="S27" s="186">
        <f>1/COUNTIF(T_sept_dec[CléRize],T_sept_dec[[#This Row],[CléRize]])</f>
        <v>4.048582995951417E-3</v>
      </c>
      <c r="T27" s="186" t="str">
        <f>IF(COUNTIF(Total,T_sept_dec[[#This Row],[Secteur organisateur]]),"Total_"&amp;T_sept_dec[[#This Row],[Enseignant référent (Nom Prénom)]],"")</f>
        <v/>
      </c>
      <c r="U27" s="186">
        <f>1/COUNTIF(T_sept_dec[cléTotal],T_sept_dec[[#This Row],[cléTotal]])</f>
        <v>4.1841004184100415E-3</v>
      </c>
    </row>
    <row r="28" spans="1:21">
      <c r="K28" s="21" t="str">
        <f>IF(COUNTIF(Maternelle,E28)=1,listes!$T$1,IF(COUNTIF(Elémentaire,E28)=1,listes!$U$1,IF(COUNTIF(Collège,E28)=1,listes!$V$1,IF(COUNTIF(Lycée,E28)=1,listes!$W$1,""))))</f>
        <v/>
      </c>
      <c r="L28" s="21" t="str">
        <f>IF(COUNTIF(Perralière,D28)=1,listes!$P$1,IF(COUNTIF(Buers,D28)=1,listes!$J$1,IF(COUNTIF(Charpennes,D28)=1,listes!$K$1,IF(COUNTIF(Cusset,D28)=1,listes!$L$1,IF(COUNTIF(Cyprien,D28)=1,listes!$M$1,IF(COUNTIF(Ferrandière,D28)=1,listes!$N$1,IF(COUNTIF(Gratteciel,D28)=1,listes!$O$1,IF(COUNTIF(Saintjean,D28)=1,listes!$Q$1,IF(COUNTIF(horsvilleurbanne,D28)=1,listes!$R$1,"")))))))))</f>
        <v/>
      </c>
      <c r="M28" s="21" t="str">
        <f t="shared" si="0"/>
        <v/>
      </c>
      <c r="N28" s="21" t="str">
        <f>T_sept_dec[[#This Row],[Etablissement accueillant]]&amp;"-"&amp;T_sept_dec[[#This Row],[Enseignant référent (Nom Prénom)]]</f>
        <v>-</v>
      </c>
      <c r="O28" s="21">
        <f>1/COUNTIF(T_sept_dec[CléEtablissement],T_sept_dec[[#This Row],[CléEtablissement]])</f>
        <v>4.1841004184100415E-3</v>
      </c>
      <c r="P2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8" s="186">
        <f>1/COUNTIF(T_sept_dec[CléRéseau-Rize horsmed],T_sept_dec[[#This Row],[CléRéseau-Rize horsmed]])</f>
        <v>4.1841004184100415E-3</v>
      </c>
      <c r="R28" s="186" t="str">
        <f>IF(COUNTIF(RIZE,T_sept_dec[[#This Row],[Secteur organisateur]]),"Rize_"&amp;T_sept_dec[[#This Row],[Enseignant référent (Nom Prénom)]],"")</f>
        <v/>
      </c>
      <c r="S28" s="186">
        <f>1/COUNTIF(T_sept_dec[CléRize],T_sept_dec[[#This Row],[CléRize]])</f>
        <v>4.048582995951417E-3</v>
      </c>
      <c r="T28" s="186" t="str">
        <f>IF(COUNTIF(Total,T_sept_dec[[#This Row],[Secteur organisateur]]),"Total_"&amp;T_sept_dec[[#This Row],[Enseignant référent (Nom Prénom)]],"")</f>
        <v/>
      </c>
      <c r="U28" s="186">
        <f>1/COUNTIF(T_sept_dec[cléTotal],T_sept_dec[[#This Row],[cléTotal]])</f>
        <v>4.1841004184100415E-3</v>
      </c>
    </row>
    <row r="29" spans="1:21">
      <c r="K29" s="21" t="str">
        <f>IF(COUNTIF(Maternelle,E29)=1,listes!$T$1,IF(COUNTIF(Elémentaire,E29)=1,listes!$U$1,IF(COUNTIF(Collège,E29)=1,listes!$V$1,IF(COUNTIF(Lycée,E29)=1,listes!$W$1,""))))</f>
        <v/>
      </c>
      <c r="L29" s="21" t="str">
        <f>IF(COUNTIF(Perralière,D29)=1,listes!$P$1,IF(COUNTIF(Buers,D29)=1,listes!$J$1,IF(COUNTIF(Charpennes,D29)=1,listes!$K$1,IF(COUNTIF(Cusset,D29)=1,listes!$L$1,IF(COUNTIF(Cyprien,D29)=1,listes!$M$1,IF(COUNTIF(Ferrandière,D29)=1,listes!$N$1,IF(COUNTIF(Gratteciel,D29)=1,listes!$O$1,IF(COUNTIF(Saintjean,D29)=1,listes!$Q$1,IF(COUNTIF(horsvilleurbanne,D29)=1,listes!$R$1,"")))))))))</f>
        <v/>
      </c>
      <c r="M29" s="21" t="str">
        <f t="shared" si="0"/>
        <v/>
      </c>
      <c r="N29" s="21" t="str">
        <f>T_sept_dec[[#This Row],[Etablissement accueillant]]&amp;"-"&amp;T_sept_dec[[#This Row],[Enseignant référent (Nom Prénom)]]</f>
        <v>-</v>
      </c>
      <c r="O29" s="21">
        <f>1/COUNTIF(T_sept_dec[CléEtablissement],T_sept_dec[[#This Row],[CléEtablissement]])</f>
        <v>4.1841004184100415E-3</v>
      </c>
      <c r="P2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9" s="186">
        <f>1/COUNTIF(T_sept_dec[CléRéseau-Rize horsmed],T_sept_dec[[#This Row],[CléRéseau-Rize horsmed]])</f>
        <v>4.1841004184100415E-3</v>
      </c>
      <c r="R29" s="186" t="str">
        <f>IF(COUNTIF(RIZE,T_sept_dec[[#This Row],[Secteur organisateur]]),"Rize_"&amp;T_sept_dec[[#This Row],[Enseignant référent (Nom Prénom)]],"")</f>
        <v/>
      </c>
      <c r="S29" s="186">
        <f>1/COUNTIF(T_sept_dec[CléRize],T_sept_dec[[#This Row],[CléRize]])</f>
        <v>4.048582995951417E-3</v>
      </c>
      <c r="T29" s="186" t="str">
        <f>IF(COUNTIF(Total,T_sept_dec[[#This Row],[Secteur organisateur]]),"Total_"&amp;T_sept_dec[[#This Row],[Enseignant référent (Nom Prénom)]],"")</f>
        <v/>
      </c>
      <c r="U29" s="186">
        <f>1/COUNTIF(T_sept_dec[cléTotal],T_sept_dec[[#This Row],[cléTotal]])</f>
        <v>4.1841004184100415E-3</v>
      </c>
    </row>
    <row r="30" spans="1:21">
      <c r="K30" s="21" t="str">
        <f>IF(COUNTIF(Maternelle,E30)=1,listes!$T$1,IF(COUNTIF(Elémentaire,E30)=1,listes!$U$1,IF(COUNTIF(Collège,E30)=1,listes!$V$1,IF(COUNTIF(Lycée,E30)=1,listes!$W$1,""))))</f>
        <v/>
      </c>
      <c r="L30" s="21" t="str">
        <f>IF(COUNTIF(Perralière,D30)=1,listes!$P$1,IF(COUNTIF(Buers,D30)=1,listes!$J$1,IF(COUNTIF(Charpennes,D30)=1,listes!$K$1,IF(COUNTIF(Cusset,D30)=1,listes!$L$1,IF(COUNTIF(Cyprien,D30)=1,listes!$M$1,IF(COUNTIF(Ferrandière,D30)=1,listes!$N$1,IF(COUNTIF(Gratteciel,D30)=1,listes!$O$1,IF(COUNTIF(Saintjean,D30)=1,listes!$Q$1,IF(COUNTIF(horsvilleurbanne,D30)=1,listes!$R$1,"")))))))))</f>
        <v/>
      </c>
      <c r="M30" s="21" t="str">
        <f t="shared" si="0"/>
        <v/>
      </c>
      <c r="N30" s="21" t="str">
        <f>T_sept_dec[[#This Row],[Etablissement accueillant]]&amp;"-"&amp;T_sept_dec[[#This Row],[Enseignant référent (Nom Prénom)]]</f>
        <v>-</v>
      </c>
      <c r="O30" s="21">
        <f>1/COUNTIF(T_sept_dec[CléEtablissement],T_sept_dec[[#This Row],[CléEtablissement]])</f>
        <v>4.1841004184100415E-3</v>
      </c>
      <c r="P3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0" s="186">
        <f>1/COUNTIF(T_sept_dec[CléRéseau-Rize horsmed],T_sept_dec[[#This Row],[CléRéseau-Rize horsmed]])</f>
        <v>4.1841004184100415E-3</v>
      </c>
      <c r="R30" s="186" t="str">
        <f>IF(COUNTIF(RIZE,T_sept_dec[[#This Row],[Secteur organisateur]]),"Rize_"&amp;T_sept_dec[[#This Row],[Enseignant référent (Nom Prénom)]],"")</f>
        <v/>
      </c>
      <c r="S30" s="186">
        <f>1/COUNTIF(T_sept_dec[CléRize],T_sept_dec[[#This Row],[CléRize]])</f>
        <v>4.048582995951417E-3</v>
      </c>
      <c r="T30" s="186" t="str">
        <f>IF(COUNTIF(Total,T_sept_dec[[#This Row],[Secteur organisateur]]),"Total_"&amp;T_sept_dec[[#This Row],[Enseignant référent (Nom Prénom)]],"")</f>
        <v/>
      </c>
      <c r="U30" s="186">
        <f>1/COUNTIF(T_sept_dec[cléTotal],T_sept_dec[[#This Row],[cléTotal]])</f>
        <v>4.1841004184100415E-3</v>
      </c>
    </row>
    <row r="31" spans="1:21">
      <c r="K31" s="21" t="str">
        <f>IF(COUNTIF(Maternelle,E31)=1,listes!$T$1,IF(COUNTIF(Elémentaire,E31)=1,listes!$U$1,IF(COUNTIF(Collège,E31)=1,listes!$V$1,IF(COUNTIF(Lycée,E31)=1,listes!$W$1,""))))</f>
        <v/>
      </c>
      <c r="L31" s="21" t="str">
        <f>IF(COUNTIF(Perralière,D31)=1,listes!$P$1,IF(COUNTIF(Buers,D31)=1,listes!$J$1,IF(COUNTIF(Charpennes,D31)=1,listes!$K$1,IF(COUNTIF(Cusset,D31)=1,listes!$L$1,IF(COUNTIF(Cyprien,D31)=1,listes!$M$1,IF(COUNTIF(Ferrandière,D31)=1,listes!$N$1,IF(COUNTIF(Gratteciel,D31)=1,listes!$O$1,IF(COUNTIF(Saintjean,D31)=1,listes!$Q$1,IF(COUNTIF(horsvilleurbanne,D31)=1,listes!$R$1,"")))))))))</f>
        <v/>
      </c>
      <c r="M31" s="21" t="str">
        <f t="shared" si="0"/>
        <v/>
      </c>
      <c r="N31" s="21" t="str">
        <f>T_sept_dec[[#This Row],[Etablissement accueillant]]&amp;"-"&amp;T_sept_dec[[#This Row],[Enseignant référent (Nom Prénom)]]</f>
        <v>-</v>
      </c>
      <c r="O31" s="21">
        <f>1/COUNTIF(T_sept_dec[CléEtablissement],T_sept_dec[[#This Row],[CléEtablissement]])</f>
        <v>4.1841004184100415E-3</v>
      </c>
      <c r="P3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1" s="186">
        <f>1/COUNTIF(T_sept_dec[CléRéseau-Rize horsmed],T_sept_dec[[#This Row],[CléRéseau-Rize horsmed]])</f>
        <v>4.1841004184100415E-3</v>
      </c>
      <c r="R31" s="186" t="str">
        <f>IF(COUNTIF(RIZE,T_sept_dec[[#This Row],[Secteur organisateur]]),"Rize_"&amp;T_sept_dec[[#This Row],[Enseignant référent (Nom Prénom)]],"")</f>
        <v/>
      </c>
      <c r="S31" s="186">
        <f>1/COUNTIF(T_sept_dec[CléRize],T_sept_dec[[#This Row],[CléRize]])</f>
        <v>4.048582995951417E-3</v>
      </c>
      <c r="T31" s="186" t="str">
        <f>IF(COUNTIF(Total,T_sept_dec[[#This Row],[Secteur organisateur]]),"Total_"&amp;T_sept_dec[[#This Row],[Enseignant référent (Nom Prénom)]],"")</f>
        <v/>
      </c>
      <c r="U31" s="186">
        <f>1/COUNTIF(T_sept_dec[cléTotal],T_sept_dec[[#This Row],[cléTotal]])</f>
        <v>4.1841004184100415E-3</v>
      </c>
    </row>
    <row r="32" spans="1:21">
      <c r="K32" s="21" t="str">
        <f>IF(COUNTIF(Maternelle,E32)=1,listes!$T$1,IF(COUNTIF(Elémentaire,E32)=1,listes!$U$1,IF(COUNTIF(Collège,E32)=1,listes!$V$1,IF(COUNTIF(Lycée,E32)=1,listes!$W$1,""))))</f>
        <v/>
      </c>
      <c r="L32" s="21" t="str">
        <f>IF(COUNTIF(Perralière,D32)=1,listes!$P$1,IF(COUNTIF(Buers,D32)=1,listes!$J$1,IF(COUNTIF(Charpennes,D32)=1,listes!$K$1,IF(COUNTIF(Cusset,D32)=1,listes!$L$1,IF(COUNTIF(Cyprien,D32)=1,listes!$M$1,IF(COUNTIF(Ferrandière,D32)=1,listes!$N$1,IF(COUNTIF(Gratteciel,D32)=1,listes!$O$1,IF(COUNTIF(Saintjean,D32)=1,listes!$Q$1,IF(COUNTIF(horsvilleurbanne,D32)=1,listes!$R$1,"")))))))))</f>
        <v/>
      </c>
      <c r="M32" s="21" t="str">
        <f t="shared" si="0"/>
        <v/>
      </c>
      <c r="N32" s="21" t="str">
        <f>T_sept_dec[[#This Row],[Etablissement accueillant]]&amp;"-"&amp;T_sept_dec[[#This Row],[Enseignant référent (Nom Prénom)]]</f>
        <v>-</v>
      </c>
      <c r="O32" s="21">
        <f>1/COUNTIF(T_sept_dec[CléEtablissement],T_sept_dec[[#This Row],[CléEtablissement]])</f>
        <v>4.1841004184100415E-3</v>
      </c>
      <c r="P3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2" s="186">
        <f>1/COUNTIF(T_sept_dec[CléRéseau-Rize horsmed],T_sept_dec[[#This Row],[CléRéseau-Rize horsmed]])</f>
        <v>4.1841004184100415E-3</v>
      </c>
      <c r="R32" s="186" t="str">
        <f>IF(COUNTIF(RIZE,T_sept_dec[[#This Row],[Secteur organisateur]]),"Rize_"&amp;T_sept_dec[[#This Row],[Enseignant référent (Nom Prénom)]],"")</f>
        <v/>
      </c>
      <c r="S32" s="186">
        <f>1/COUNTIF(T_sept_dec[CléRize],T_sept_dec[[#This Row],[CléRize]])</f>
        <v>4.048582995951417E-3</v>
      </c>
      <c r="T32" s="186" t="str">
        <f>IF(COUNTIF(Total,T_sept_dec[[#This Row],[Secteur organisateur]]),"Total_"&amp;T_sept_dec[[#This Row],[Enseignant référent (Nom Prénom)]],"")</f>
        <v/>
      </c>
      <c r="U32" s="186">
        <f>1/COUNTIF(T_sept_dec[cléTotal],T_sept_dec[[#This Row],[cléTotal]])</f>
        <v>4.1841004184100415E-3</v>
      </c>
    </row>
    <row r="33" spans="5:21">
      <c r="K33" s="21" t="str">
        <f>IF(COUNTIF(Maternelle,E33)=1,listes!$T$1,IF(COUNTIF(Elémentaire,E33)=1,listes!$U$1,IF(COUNTIF(Collège,E33)=1,listes!$V$1,IF(COUNTIF(Lycée,E33)=1,listes!$W$1,""))))</f>
        <v/>
      </c>
      <c r="L33" s="21" t="str">
        <f>IF(COUNTIF(Perralière,D33)=1,listes!$P$1,IF(COUNTIF(Buers,D33)=1,listes!$J$1,IF(COUNTIF(Charpennes,D33)=1,listes!$K$1,IF(COUNTIF(Cusset,D33)=1,listes!$L$1,IF(COUNTIF(Cyprien,D33)=1,listes!$M$1,IF(COUNTIF(Ferrandière,D33)=1,listes!$N$1,IF(COUNTIF(Gratteciel,D33)=1,listes!$O$1,IF(COUNTIF(Saintjean,D33)=1,listes!$Q$1,IF(COUNTIF(horsvilleurbanne,D33)=1,listes!$R$1,"")))))))))</f>
        <v/>
      </c>
      <c r="M33" s="21" t="str">
        <f t="shared" si="0"/>
        <v/>
      </c>
      <c r="N33" s="21" t="str">
        <f>T_sept_dec[[#This Row],[Etablissement accueillant]]&amp;"-"&amp;T_sept_dec[[#This Row],[Enseignant référent (Nom Prénom)]]</f>
        <v>-</v>
      </c>
      <c r="O33" s="21">
        <f>1/COUNTIF(T_sept_dec[CléEtablissement],T_sept_dec[[#This Row],[CléEtablissement]])</f>
        <v>4.1841004184100415E-3</v>
      </c>
      <c r="P3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3" s="186">
        <f>1/COUNTIF(T_sept_dec[CléRéseau-Rize horsmed],T_sept_dec[[#This Row],[CléRéseau-Rize horsmed]])</f>
        <v>4.1841004184100415E-3</v>
      </c>
      <c r="R33" s="186" t="str">
        <f>IF(COUNTIF(RIZE,T_sept_dec[[#This Row],[Secteur organisateur]]),"Rize_"&amp;T_sept_dec[[#This Row],[Enseignant référent (Nom Prénom)]],"")</f>
        <v/>
      </c>
      <c r="S33" s="186">
        <f>1/COUNTIF(T_sept_dec[CléRize],T_sept_dec[[#This Row],[CléRize]])</f>
        <v>4.048582995951417E-3</v>
      </c>
      <c r="T33" s="186" t="str">
        <f>IF(COUNTIF(Total,T_sept_dec[[#This Row],[Secteur organisateur]]),"Total_"&amp;T_sept_dec[[#This Row],[Enseignant référent (Nom Prénom)]],"")</f>
        <v/>
      </c>
      <c r="U33" s="186">
        <f>1/COUNTIF(T_sept_dec[cléTotal],T_sept_dec[[#This Row],[cléTotal]])</f>
        <v>4.1841004184100415E-3</v>
      </c>
    </row>
    <row r="34" spans="5:21">
      <c r="K34" s="21" t="str">
        <f>IF(COUNTIF(Maternelle,E34)=1,listes!$T$1,IF(COUNTIF(Elémentaire,E34)=1,listes!$U$1,IF(COUNTIF(Collège,E34)=1,listes!$V$1,IF(COUNTIF(Lycée,E34)=1,listes!$W$1,""))))</f>
        <v/>
      </c>
      <c r="L34" s="21" t="str">
        <f>IF(COUNTIF(Perralière,D34)=1,listes!$P$1,IF(COUNTIF(Buers,D34)=1,listes!$J$1,IF(COUNTIF(Charpennes,D34)=1,listes!$K$1,IF(COUNTIF(Cusset,D34)=1,listes!$L$1,IF(COUNTIF(Cyprien,D34)=1,listes!$M$1,IF(COUNTIF(Ferrandière,D34)=1,listes!$N$1,IF(COUNTIF(Gratteciel,D34)=1,listes!$O$1,IF(COUNTIF(Saintjean,D34)=1,listes!$Q$1,IF(COUNTIF(horsvilleurbanne,D34)=1,listes!$R$1,"")))))))))</f>
        <v/>
      </c>
      <c r="M34" s="21" t="str">
        <f t="shared" si="0"/>
        <v/>
      </c>
      <c r="N34" s="21" t="str">
        <f>T_sept_dec[[#This Row],[Etablissement accueillant]]&amp;"-"&amp;T_sept_dec[[#This Row],[Enseignant référent (Nom Prénom)]]</f>
        <v>-</v>
      </c>
      <c r="O34" s="21">
        <f>1/COUNTIF(T_sept_dec[CléEtablissement],T_sept_dec[[#This Row],[CléEtablissement]])</f>
        <v>4.1841004184100415E-3</v>
      </c>
      <c r="P3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4" s="186">
        <f>1/COUNTIF(T_sept_dec[CléRéseau-Rize horsmed],T_sept_dec[[#This Row],[CléRéseau-Rize horsmed]])</f>
        <v>4.1841004184100415E-3</v>
      </c>
      <c r="R34" s="186" t="str">
        <f>IF(COUNTIF(RIZE,T_sept_dec[[#This Row],[Secteur organisateur]]),"Rize_"&amp;T_sept_dec[[#This Row],[Enseignant référent (Nom Prénom)]],"")</f>
        <v/>
      </c>
      <c r="S34" s="186">
        <f>1/COUNTIF(T_sept_dec[CléRize],T_sept_dec[[#This Row],[CléRize]])</f>
        <v>4.048582995951417E-3</v>
      </c>
      <c r="T34" s="186" t="str">
        <f>IF(COUNTIF(Total,T_sept_dec[[#This Row],[Secteur organisateur]]),"Total_"&amp;T_sept_dec[[#This Row],[Enseignant référent (Nom Prénom)]],"")</f>
        <v/>
      </c>
      <c r="U34" s="186">
        <f>1/COUNTIF(T_sept_dec[cléTotal],T_sept_dec[[#This Row],[cléTotal]])</f>
        <v>4.1841004184100415E-3</v>
      </c>
    </row>
    <row r="35" spans="5:21">
      <c r="K35" s="21" t="str">
        <f>IF(COUNTIF(Maternelle,E35)=1,listes!$T$1,IF(COUNTIF(Elémentaire,E35)=1,listes!$U$1,IF(COUNTIF(Collège,E35)=1,listes!$V$1,IF(COUNTIF(Lycée,E35)=1,listes!$W$1,""))))</f>
        <v/>
      </c>
      <c r="L35" s="21" t="str">
        <f>IF(COUNTIF(Perralière,D35)=1,listes!$P$1,IF(COUNTIF(Buers,D35)=1,listes!$J$1,IF(COUNTIF(Charpennes,D35)=1,listes!$K$1,IF(COUNTIF(Cusset,D35)=1,listes!$L$1,IF(COUNTIF(Cyprien,D35)=1,listes!$M$1,IF(COUNTIF(Ferrandière,D35)=1,listes!$N$1,IF(COUNTIF(Gratteciel,D35)=1,listes!$O$1,IF(COUNTIF(Saintjean,D35)=1,listes!$Q$1,IF(COUNTIF(horsvilleurbanne,D35)=1,listes!$R$1,"")))))))))</f>
        <v/>
      </c>
      <c r="M35" s="21" t="str">
        <f t="shared" si="0"/>
        <v/>
      </c>
      <c r="N35" s="21" t="str">
        <f>T_sept_dec[[#This Row],[Etablissement accueillant]]&amp;"-"&amp;T_sept_dec[[#This Row],[Enseignant référent (Nom Prénom)]]</f>
        <v>-</v>
      </c>
      <c r="O35" s="21">
        <f>1/COUNTIF(T_sept_dec[CléEtablissement],T_sept_dec[[#This Row],[CléEtablissement]])</f>
        <v>4.1841004184100415E-3</v>
      </c>
      <c r="P3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5" s="186">
        <f>1/COUNTIF(T_sept_dec[CléRéseau-Rize horsmed],T_sept_dec[[#This Row],[CléRéseau-Rize horsmed]])</f>
        <v>4.1841004184100415E-3</v>
      </c>
      <c r="R35" s="186" t="str">
        <f>IF(COUNTIF(RIZE,T_sept_dec[[#This Row],[Secteur organisateur]]),"Rize_"&amp;T_sept_dec[[#This Row],[Enseignant référent (Nom Prénom)]],"")</f>
        <v/>
      </c>
      <c r="S35" s="186">
        <f>1/COUNTIF(T_sept_dec[CléRize],T_sept_dec[[#This Row],[CléRize]])</f>
        <v>4.048582995951417E-3</v>
      </c>
      <c r="T35" s="186" t="str">
        <f>IF(COUNTIF(Total,T_sept_dec[[#This Row],[Secteur organisateur]]),"Total_"&amp;T_sept_dec[[#This Row],[Enseignant référent (Nom Prénom)]],"")</f>
        <v/>
      </c>
      <c r="U35" s="186">
        <f>1/COUNTIF(T_sept_dec[cléTotal],T_sept_dec[[#This Row],[cléTotal]])</f>
        <v>4.1841004184100415E-3</v>
      </c>
    </row>
    <row r="36" spans="5:21">
      <c r="K36" s="21" t="str">
        <f>IF(COUNTIF(Maternelle,E36)=1,listes!$T$1,IF(COUNTIF(Elémentaire,E36)=1,listes!$U$1,IF(COUNTIF(Collège,E36)=1,listes!$V$1,IF(COUNTIF(Lycée,E36)=1,listes!$W$1,""))))</f>
        <v/>
      </c>
      <c r="L36" s="21" t="str">
        <f>IF(COUNTIF(Perralière,D36)=1,listes!$P$1,IF(COUNTIF(Buers,D36)=1,listes!$J$1,IF(COUNTIF(Charpennes,D36)=1,listes!$K$1,IF(COUNTIF(Cusset,D36)=1,listes!$L$1,IF(COUNTIF(Cyprien,D36)=1,listes!$M$1,IF(COUNTIF(Ferrandière,D36)=1,listes!$N$1,IF(COUNTIF(Gratteciel,D36)=1,listes!$O$1,IF(COUNTIF(Saintjean,D36)=1,listes!$Q$1,IF(COUNTIF(horsvilleurbanne,D36)=1,listes!$R$1,"")))))))))</f>
        <v/>
      </c>
      <c r="M36" s="21" t="str">
        <f t="shared" si="0"/>
        <v/>
      </c>
      <c r="N36" s="21" t="str">
        <f>T_sept_dec[[#This Row],[Etablissement accueillant]]&amp;"-"&amp;T_sept_dec[[#This Row],[Enseignant référent (Nom Prénom)]]</f>
        <v>-</v>
      </c>
      <c r="O36" s="21">
        <f>1/COUNTIF(T_sept_dec[CléEtablissement],T_sept_dec[[#This Row],[CléEtablissement]])</f>
        <v>4.1841004184100415E-3</v>
      </c>
      <c r="P3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6" s="186">
        <f>1/COUNTIF(T_sept_dec[CléRéseau-Rize horsmed],T_sept_dec[[#This Row],[CléRéseau-Rize horsmed]])</f>
        <v>4.1841004184100415E-3</v>
      </c>
      <c r="R36" s="186" t="str">
        <f>IF(COUNTIF(RIZE,T_sept_dec[[#This Row],[Secteur organisateur]]),"Rize_"&amp;T_sept_dec[[#This Row],[Enseignant référent (Nom Prénom)]],"")</f>
        <v/>
      </c>
      <c r="S36" s="186">
        <f>1/COUNTIF(T_sept_dec[CléRize],T_sept_dec[[#This Row],[CléRize]])</f>
        <v>4.048582995951417E-3</v>
      </c>
      <c r="T36" s="186" t="str">
        <f>IF(COUNTIF(Total,T_sept_dec[[#This Row],[Secteur organisateur]]),"Total_"&amp;T_sept_dec[[#This Row],[Enseignant référent (Nom Prénom)]],"")</f>
        <v/>
      </c>
      <c r="U36" s="186">
        <f>1/COUNTIF(T_sept_dec[cléTotal],T_sept_dec[[#This Row],[cléTotal]])</f>
        <v>4.1841004184100415E-3</v>
      </c>
    </row>
    <row r="37" spans="5:21">
      <c r="K37" s="21" t="str">
        <f>IF(COUNTIF(Maternelle,E37)=1,listes!$T$1,IF(COUNTIF(Elémentaire,E37)=1,listes!$U$1,IF(COUNTIF(Collège,E37)=1,listes!$V$1,IF(COUNTIF(Lycée,E37)=1,listes!$W$1,""))))</f>
        <v/>
      </c>
      <c r="L37" s="21" t="str">
        <f>IF(COUNTIF(Perralière,D37)=1,listes!$P$1,IF(COUNTIF(Buers,D37)=1,listes!$J$1,IF(COUNTIF(Charpennes,D37)=1,listes!$K$1,IF(COUNTIF(Cusset,D37)=1,listes!$L$1,IF(COUNTIF(Cyprien,D37)=1,listes!$M$1,IF(COUNTIF(Ferrandière,D37)=1,listes!$N$1,IF(COUNTIF(Gratteciel,D37)=1,listes!$O$1,IF(COUNTIF(Saintjean,D37)=1,listes!$Q$1,IF(COUNTIF(horsvilleurbanne,D37)=1,listes!$R$1,"")))))))))</f>
        <v/>
      </c>
      <c r="M37" s="21" t="str">
        <f t="shared" si="0"/>
        <v/>
      </c>
      <c r="N37" s="21" t="str">
        <f>T_sept_dec[[#This Row],[Etablissement accueillant]]&amp;"-"&amp;T_sept_dec[[#This Row],[Enseignant référent (Nom Prénom)]]</f>
        <v>-</v>
      </c>
      <c r="O37" s="21">
        <f>1/COUNTIF(T_sept_dec[CléEtablissement],T_sept_dec[[#This Row],[CléEtablissement]])</f>
        <v>4.1841004184100415E-3</v>
      </c>
      <c r="P3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7" s="186">
        <f>1/COUNTIF(T_sept_dec[CléRéseau-Rize horsmed],T_sept_dec[[#This Row],[CléRéseau-Rize horsmed]])</f>
        <v>4.1841004184100415E-3</v>
      </c>
      <c r="R37" s="186" t="str">
        <f>IF(COUNTIF(RIZE,T_sept_dec[[#This Row],[Secteur organisateur]]),"Rize_"&amp;T_sept_dec[[#This Row],[Enseignant référent (Nom Prénom)]],"")</f>
        <v/>
      </c>
      <c r="S37" s="186">
        <f>1/COUNTIF(T_sept_dec[CléRize],T_sept_dec[[#This Row],[CléRize]])</f>
        <v>4.048582995951417E-3</v>
      </c>
      <c r="T37" s="186" t="str">
        <f>IF(COUNTIF(Total,T_sept_dec[[#This Row],[Secteur organisateur]]),"Total_"&amp;T_sept_dec[[#This Row],[Enseignant référent (Nom Prénom)]],"")</f>
        <v/>
      </c>
      <c r="U37" s="186">
        <f>1/COUNTIF(T_sept_dec[cléTotal],T_sept_dec[[#This Row],[cléTotal]])</f>
        <v>4.1841004184100415E-3</v>
      </c>
    </row>
    <row r="38" spans="5:21">
      <c r="K38" s="21" t="str">
        <f>IF(COUNTIF(Maternelle,E38)=1,listes!$T$1,IF(COUNTIF(Elémentaire,E38)=1,listes!$U$1,IF(COUNTIF(Collège,E38)=1,listes!$V$1,IF(COUNTIF(Lycée,E38)=1,listes!$W$1,""))))</f>
        <v/>
      </c>
      <c r="L38" s="21" t="str">
        <f>IF(COUNTIF(Perralière,D38)=1,listes!$P$1,IF(COUNTIF(Buers,D38)=1,listes!$J$1,IF(COUNTIF(Charpennes,D38)=1,listes!$K$1,IF(COUNTIF(Cusset,D38)=1,listes!$L$1,IF(COUNTIF(Cyprien,D38)=1,listes!$M$1,IF(COUNTIF(Ferrandière,D38)=1,listes!$N$1,IF(COUNTIF(Gratteciel,D38)=1,listes!$O$1,IF(COUNTIF(Saintjean,D38)=1,listes!$Q$1,IF(COUNTIF(horsvilleurbanne,D38)=1,listes!$R$1,"")))))))))</f>
        <v/>
      </c>
      <c r="M38" s="21" t="str">
        <f t="shared" si="0"/>
        <v/>
      </c>
      <c r="N38" s="21" t="str">
        <f>T_sept_dec[[#This Row],[Etablissement accueillant]]&amp;"-"&amp;T_sept_dec[[#This Row],[Enseignant référent (Nom Prénom)]]</f>
        <v>-</v>
      </c>
      <c r="O38" s="21">
        <f>1/COUNTIF(T_sept_dec[CléEtablissement],T_sept_dec[[#This Row],[CléEtablissement]])</f>
        <v>4.1841004184100415E-3</v>
      </c>
      <c r="P3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8" s="186">
        <f>1/COUNTIF(T_sept_dec[CléRéseau-Rize horsmed],T_sept_dec[[#This Row],[CléRéseau-Rize horsmed]])</f>
        <v>4.1841004184100415E-3</v>
      </c>
      <c r="R38" s="186" t="str">
        <f>IF(COUNTIF(RIZE,T_sept_dec[[#This Row],[Secteur organisateur]]),"Rize_"&amp;T_sept_dec[[#This Row],[Enseignant référent (Nom Prénom)]],"")</f>
        <v/>
      </c>
      <c r="S38" s="186">
        <f>1/COUNTIF(T_sept_dec[CléRize],T_sept_dec[[#This Row],[CléRize]])</f>
        <v>4.048582995951417E-3</v>
      </c>
      <c r="T38" s="186" t="str">
        <f>IF(COUNTIF(Total,T_sept_dec[[#This Row],[Secteur organisateur]]),"Total_"&amp;T_sept_dec[[#This Row],[Enseignant référent (Nom Prénom)]],"")</f>
        <v/>
      </c>
      <c r="U38" s="186">
        <f>1/COUNTIF(T_sept_dec[cléTotal],T_sept_dec[[#This Row],[cléTotal]])</f>
        <v>4.1841004184100415E-3</v>
      </c>
    </row>
    <row r="39" spans="5:21">
      <c r="K39" s="21" t="str">
        <f>IF(COUNTIF(Maternelle,E39)=1,listes!$T$1,IF(COUNTIF(Elémentaire,E39)=1,listes!$U$1,IF(COUNTIF(Collège,E39)=1,listes!$V$1,IF(COUNTIF(Lycée,E39)=1,listes!$W$1,""))))</f>
        <v/>
      </c>
      <c r="L39" s="21" t="str">
        <f>IF(COUNTIF(Perralière,D39)=1,listes!$P$1,IF(COUNTIF(Buers,D39)=1,listes!$J$1,IF(COUNTIF(Charpennes,D39)=1,listes!$K$1,IF(COUNTIF(Cusset,D39)=1,listes!$L$1,IF(COUNTIF(Cyprien,D39)=1,listes!$M$1,IF(COUNTIF(Ferrandière,D39)=1,listes!$N$1,IF(COUNTIF(Gratteciel,D39)=1,listes!$O$1,IF(COUNTIF(Saintjean,D39)=1,listes!$Q$1,IF(COUNTIF(horsvilleurbanne,D39)=1,listes!$R$1,"")))))))))</f>
        <v/>
      </c>
      <c r="M39" s="21" t="str">
        <f t="shared" si="0"/>
        <v/>
      </c>
      <c r="N39" s="21" t="str">
        <f>T_sept_dec[[#This Row],[Etablissement accueillant]]&amp;"-"&amp;T_sept_dec[[#This Row],[Enseignant référent (Nom Prénom)]]</f>
        <v>-</v>
      </c>
      <c r="O39" s="21">
        <f>1/COUNTIF(T_sept_dec[CléEtablissement],T_sept_dec[[#This Row],[CléEtablissement]])</f>
        <v>4.1841004184100415E-3</v>
      </c>
      <c r="P3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39" s="186">
        <f>1/COUNTIF(T_sept_dec[CléRéseau-Rize horsmed],T_sept_dec[[#This Row],[CléRéseau-Rize horsmed]])</f>
        <v>4.1841004184100415E-3</v>
      </c>
      <c r="R39" s="186" t="str">
        <f>IF(COUNTIF(RIZE,T_sept_dec[[#This Row],[Secteur organisateur]]),"Rize_"&amp;T_sept_dec[[#This Row],[Enseignant référent (Nom Prénom)]],"")</f>
        <v/>
      </c>
      <c r="S39" s="186">
        <f>1/COUNTIF(T_sept_dec[CléRize],T_sept_dec[[#This Row],[CléRize]])</f>
        <v>4.048582995951417E-3</v>
      </c>
      <c r="T39" s="186" t="str">
        <f>IF(COUNTIF(Total,T_sept_dec[[#This Row],[Secteur organisateur]]),"Total_"&amp;T_sept_dec[[#This Row],[Enseignant référent (Nom Prénom)]],"")</f>
        <v/>
      </c>
      <c r="U39" s="186">
        <f>1/COUNTIF(T_sept_dec[cléTotal],T_sept_dec[[#This Row],[cléTotal]])</f>
        <v>4.1841004184100415E-3</v>
      </c>
    </row>
    <row r="40" spans="5:21">
      <c r="K40" s="21" t="str">
        <f>IF(COUNTIF(Maternelle,E40)=1,listes!$T$1,IF(COUNTIF(Elémentaire,E40)=1,listes!$U$1,IF(COUNTIF(Collège,E40)=1,listes!$V$1,IF(COUNTIF(Lycée,E40)=1,listes!$W$1,""))))</f>
        <v/>
      </c>
      <c r="L40" s="21" t="str">
        <f>IF(COUNTIF(Perralière,D40)=1,listes!$P$1,IF(COUNTIF(Buers,D40)=1,listes!$J$1,IF(COUNTIF(Charpennes,D40)=1,listes!$K$1,IF(COUNTIF(Cusset,D40)=1,listes!$L$1,IF(COUNTIF(Cyprien,D40)=1,listes!$M$1,IF(COUNTIF(Ferrandière,D40)=1,listes!$N$1,IF(COUNTIF(Gratteciel,D40)=1,listes!$O$1,IF(COUNTIF(Saintjean,D40)=1,listes!$Q$1,IF(COUNTIF(horsvilleurbanne,D40)=1,listes!$R$1,"")))))))))</f>
        <v/>
      </c>
      <c r="M40" s="21" t="str">
        <f t="shared" si="0"/>
        <v/>
      </c>
      <c r="N40" s="21" t="str">
        <f>T_sept_dec[[#This Row],[Etablissement accueillant]]&amp;"-"&amp;T_sept_dec[[#This Row],[Enseignant référent (Nom Prénom)]]</f>
        <v>-</v>
      </c>
      <c r="O40" s="21">
        <f>1/COUNTIF(T_sept_dec[CléEtablissement],T_sept_dec[[#This Row],[CléEtablissement]])</f>
        <v>4.1841004184100415E-3</v>
      </c>
      <c r="P4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0" s="186">
        <f>1/COUNTIF(T_sept_dec[CléRéseau-Rize horsmed],T_sept_dec[[#This Row],[CléRéseau-Rize horsmed]])</f>
        <v>4.1841004184100415E-3</v>
      </c>
      <c r="R40" s="186" t="str">
        <f>IF(COUNTIF(RIZE,T_sept_dec[[#This Row],[Secteur organisateur]]),"Rize_"&amp;T_sept_dec[[#This Row],[Enseignant référent (Nom Prénom)]],"")</f>
        <v/>
      </c>
      <c r="S40" s="186">
        <f>1/COUNTIF(T_sept_dec[CléRize],T_sept_dec[[#This Row],[CléRize]])</f>
        <v>4.048582995951417E-3</v>
      </c>
      <c r="T40" s="186" t="str">
        <f>IF(COUNTIF(Total,T_sept_dec[[#This Row],[Secteur organisateur]]),"Total_"&amp;T_sept_dec[[#This Row],[Enseignant référent (Nom Prénom)]],"")</f>
        <v/>
      </c>
      <c r="U40" s="186">
        <f>1/COUNTIF(T_sept_dec[cléTotal],T_sept_dec[[#This Row],[cléTotal]])</f>
        <v>4.1841004184100415E-3</v>
      </c>
    </row>
    <row r="41" spans="5:21">
      <c r="K41" s="21" t="str">
        <f>IF(COUNTIF(Maternelle,E41)=1,listes!$T$1,IF(COUNTIF(Elémentaire,E41)=1,listes!$U$1,IF(COUNTIF(Collège,E41)=1,listes!$V$1,IF(COUNTIF(Lycée,E41)=1,listes!$W$1,""))))</f>
        <v/>
      </c>
      <c r="L41" s="21" t="str">
        <f>IF(COUNTIF(Perralière,D41)=1,listes!$P$1,IF(COUNTIF(Buers,D41)=1,listes!$J$1,IF(COUNTIF(Charpennes,D41)=1,listes!$K$1,IF(COUNTIF(Cusset,D41)=1,listes!$L$1,IF(COUNTIF(Cyprien,D41)=1,listes!$M$1,IF(COUNTIF(Ferrandière,D41)=1,listes!$N$1,IF(COUNTIF(Gratteciel,D41)=1,listes!$O$1,IF(COUNTIF(Saintjean,D41)=1,listes!$Q$1,IF(COUNTIF(horsvilleurbanne,D41)=1,listes!$R$1,"")))))))))</f>
        <v/>
      </c>
      <c r="M41" s="21" t="str">
        <f t="shared" si="0"/>
        <v/>
      </c>
      <c r="N41" s="21" t="str">
        <f>T_sept_dec[[#This Row],[Etablissement accueillant]]&amp;"-"&amp;T_sept_dec[[#This Row],[Enseignant référent (Nom Prénom)]]</f>
        <v>-</v>
      </c>
      <c r="O41" s="21">
        <f>1/COUNTIF(T_sept_dec[CléEtablissement],T_sept_dec[[#This Row],[CléEtablissement]])</f>
        <v>4.1841004184100415E-3</v>
      </c>
      <c r="P4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1" s="186">
        <f>1/COUNTIF(T_sept_dec[CléRéseau-Rize horsmed],T_sept_dec[[#This Row],[CléRéseau-Rize horsmed]])</f>
        <v>4.1841004184100415E-3</v>
      </c>
      <c r="R41" s="186" t="str">
        <f>IF(COUNTIF(RIZE,T_sept_dec[[#This Row],[Secteur organisateur]]),"Rize_"&amp;T_sept_dec[[#This Row],[Enseignant référent (Nom Prénom)]],"")</f>
        <v/>
      </c>
      <c r="S41" s="186">
        <f>1/COUNTIF(T_sept_dec[CléRize],T_sept_dec[[#This Row],[CléRize]])</f>
        <v>4.048582995951417E-3</v>
      </c>
      <c r="T41" s="186" t="str">
        <f>IF(COUNTIF(Total,T_sept_dec[[#This Row],[Secteur organisateur]]),"Total_"&amp;T_sept_dec[[#This Row],[Enseignant référent (Nom Prénom)]],"")</f>
        <v/>
      </c>
      <c r="U41" s="186">
        <f>1/COUNTIF(T_sept_dec[cléTotal],T_sept_dec[[#This Row],[cléTotal]])</f>
        <v>4.1841004184100415E-3</v>
      </c>
    </row>
    <row r="42" spans="5:21">
      <c r="K42" s="21" t="str">
        <f>IF(COUNTIF(Maternelle,E42)=1,listes!$T$1,IF(COUNTIF(Elémentaire,E42)=1,listes!$U$1,IF(COUNTIF(Collège,E42)=1,listes!$V$1,IF(COUNTIF(Lycée,E42)=1,listes!$W$1,""))))</f>
        <v/>
      </c>
      <c r="L42" s="21" t="str">
        <f>IF(COUNTIF(Perralière,D42)=1,listes!$P$1,IF(COUNTIF(Buers,D42)=1,listes!$J$1,IF(COUNTIF(Charpennes,D42)=1,listes!$K$1,IF(COUNTIF(Cusset,D42)=1,listes!$L$1,IF(COUNTIF(Cyprien,D42)=1,listes!$M$1,IF(COUNTIF(Ferrandière,D42)=1,listes!$N$1,IF(COUNTIF(Gratteciel,D42)=1,listes!$O$1,IF(COUNTIF(Saintjean,D42)=1,listes!$Q$1,IF(COUNTIF(horsvilleurbanne,D42)=1,listes!$R$1,"")))))))))</f>
        <v/>
      </c>
      <c r="M42" s="21" t="str">
        <f t="shared" si="0"/>
        <v/>
      </c>
      <c r="N42" s="21" t="str">
        <f>T_sept_dec[[#This Row],[Etablissement accueillant]]&amp;"-"&amp;T_sept_dec[[#This Row],[Enseignant référent (Nom Prénom)]]</f>
        <v>-</v>
      </c>
      <c r="O42" s="21">
        <f>1/COUNTIF(T_sept_dec[CléEtablissement],T_sept_dec[[#This Row],[CléEtablissement]])</f>
        <v>4.1841004184100415E-3</v>
      </c>
      <c r="P4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2" s="186">
        <f>1/COUNTIF(T_sept_dec[CléRéseau-Rize horsmed],T_sept_dec[[#This Row],[CléRéseau-Rize horsmed]])</f>
        <v>4.1841004184100415E-3</v>
      </c>
      <c r="R42" s="186" t="str">
        <f>IF(COUNTIF(RIZE,T_sept_dec[[#This Row],[Secteur organisateur]]),"Rize_"&amp;T_sept_dec[[#This Row],[Enseignant référent (Nom Prénom)]],"")</f>
        <v/>
      </c>
      <c r="S42" s="186">
        <f>1/COUNTIF(T_sept_dec[CléRize],T_sept_dec[[#This Row],[CléRize]])</f>
        <v>4.048582995951417E-3</v>
      </c>
      <c r="T42" s="186" t="str">
        <f>IF(COUNTIF(Total,T_sept_dec[[#This Row],[Secteur organisateur]]),"Total_"&amp;T_sept_dec[[#This Row],[Enseignant référent (Nom Prénom)]],"")</f>
        <v/>
      </c>
      <c r="U42" s="186">
        <f>1/COUNTIF(T_sept_dec[cléTotal],T_sept_dec[[#This Row],[cléTotal]])</f>
        <v>4.1841004184100415E-3</v>
      </c>
    </row>
    <row r="43" spans="5:21">
      <c r="E43" s="153"/>
      <c r="K43" s="21" t="str">
        <f>IF(COUNTIF(Maternelle,E43)=1,listes!$T$1,IF(COUNTIF(Elémentaire,E43)=1,listes!$U$1,IF(COUNTIF(Collège,E43)=1,listes!$V$1,IF(COUNTIF(Lycée,E43)=1,listes!$W$1,""))))</f>
        <v/>
      </c>
      <c r="L43" s="21" t="str">
        <f>IF(COUNTIF(Perralière,D43)=1,listes!$P$1,IF(COUNTIF(Buers,D43)=1,listes!$J$1,IF(COUNTIF(Charpennes,D43)=1,listes!$K$1,IF(COUNTIF(Cusset,D43)=1,listes!$L$1,IF(COUNTIF(Cyprien,D43)=1,listes!$M$1,IF(COUNTIF(Ferrandière,D43)=1,listes!$N$1,IF(COUNTIF(Gratteciel,D43)=1,listes!$O$1,IF(COUNTIF(Saintjean,D43)=1,listes!$Q$1,IF(COUNTIF(horsvilleurbanne,D43)=1,listes!$R$1,"")))))))))</f>
        <v/>
      </c>
      <c r="M43" s="21" t="str">
        <f t="shared" si="0"/>
        <v/>
      </c>
      <c r="N43" s="21" t="str">
        <f>T_sept_dec[[#This Row],[Etablissement accueillant]]&amp;"-"&amp;T_sept_dec[[#This Row],[Enseignant référent (Nom Prénom)]]</f>
        <v>-</v>
      </c>
      <c r="O43" s="21">
        <f>1/COUNTIF(T_sept_dec[CléEtablissement],T_sept_dec[[#This Row],[CléEtablissement]])</f>
        <v>4.1841004184100415E-3</v>
      </c>
      <c r="P4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3" s="186">
        <f>1/COUNTIF(T_sept_dec[CléRéseau-Rize horsmed],T_sept_dec[[#This Row],[CléRéseau-Rize horsmed]])</f>
        <v>4.1841004184100415E-3</v>
      </c>
      <c r="R43" s="186" t="str">
        <f>IF(COUNTIF(RIZE,T_sept_dec[[#This Row],[Secteur organisateur]]),"Rize_"&amp;T_sept_dec[[#This Row],[Enseignant référent (Nom Prénom)]],"")</f>
        <v/>
      </c>
      <c r="S43" s="186">
        <f>1/COUNTIF(T_sept_dec[CléRize],T_sept_dec[[#This Row],[CléRize]])</f>
        <v>4.048582995951417E-3</v>
      </c>
      <c r="T43" s="186" t="str">
        <f>IF(COUNTIF(Total,T_sept_dec[[#This Row],[Secteur organisateur]]),"Total_"&amp;T_sept_dec[[#This Row],[Enseignant référent (Nom Prénom)]],"")</f>
        <v/>
      </c>
      <c r="U43" s="186">
        <f>1/COUNTIF(T_sept_dec[cléTotal],T_sept_dec[[#This Row],[cléTotal]])</f>
        <v>4.1841004184100415E-3</v>
      </c>
    </row>
    <row r="44" spans="5:21">
      <c r="K44" s="21" t="str">
        <f>IF(COUNTIF(Maternelle,E44)=1,listes!$T$1,IF(COUNTIF(Elémentaire,E44)=1,listes!$U$1,IF(COUNTIF(Collège,E44)=1,listes!$V$1,IF(COUNTIF(Lycée,E44)=1,listes!$W$1,""))))</f>
        <v/>
      </c>
      <c r="L44" s="21" t="str">
        <f>IF(COUNTIF(Perralière,D44)=1,listes!$P$1,IF(COUNTIF(Buers,D44)=1,listes!$J$1,IF(COUNTIF(Charpennes,D44)=1,listes!$K$1,IF(COUNTIF(Cusset,D44)=1,listes!$L$1,IF(COUNTIF(Cyprien,D44)=1,listes!$M$1,IF(COUNTIF(Ferrandière,D44)=1,listes!$N$1,IF(COUNTIF(Gratteciel,D44)=1,listes!$O$1,IF(COUNTIF(Saintjean,D44)=1,listes!$Q$1,IF(COUNTIF(horsvilleurbanne,D44)=1,listes!$R$1,"")))))))))</f>
        <v/>
      </c>
      <c r="M44" s="21" t="str">
        <f t="shared" si="0"/>
        <v/>
      </c>
      <c r="N44" s="21" t="str">
        <f>T_sept_dec[[#This Row],[Etablissement accueillant]]&amp;"-"&amp;T_sept_dec[[#This Row],[Enseignant référent (Nom Prénom)]]</f>
        <v>-</v>
      </c>
      <c r="O44" s="21">
        <f>1/COUNTIF(T_sept_dec[CléEtablissement],T_sept_dec[[#This Row],[CléEtablissement]])</f>
        <v>4.1841004184100415E-3</v>
      </c>
      <c r="P4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4" s="186">
        <f>1/COUNTIF(T_sept_dec[CléRéseau-Rize horsmed],T_sept_dec[[#This Row],[CléRéseau-Rize horsmed]])</f>
        <v>4.1841004184100415E-3</v>
      </c>
      <c r="R44" s="186" t="str">
        <f>IF(COUNTIF(RIZE,T_sept_dec[[#This Row],[Secteur organisateur]]),"Rize_"&amp;T_sept_dec[[#This Row],[Enseignant référent (Nom Prénom)]],"")</f>
        <v/>
      </c>
      <c r="S44" s="186">
        <f>1/COUNTIF(T_sept_dec[CléRize],T_sept_dec[[#This Row],[CléRize]])</f>
        <v>4.048582995951417E-3</v>
      </c>
      <c r="T44" s="186" t="str">
        <f>IF(COUNTIF(Total,T_sept_dec[[#This Row],[Secteur organisateur]]),"Total_"&amp;T_sept_dec[[#This Row],[Enseignant référent (Nom Prénom)]],"")</f>
        <v/>
      </c>
      <c r="U44" s="186">
        <f>1/COUNTIF(T_sept_dec[cléTotal],T_sept_dec[[#This Row],[cléTotal]])</f>
        <v>4.1841004184100415E-3</v>
      </c>
    </row>
    <row r="45" spans="5:21">
      <c r="K45" s="21" t="str">
        <f>IF(COUNTIF(Maternelle,E45)=1,listes!$T$1,IF(COUNTIF(Elémentaire,E45)=1,listes!$U$1,IF(COUNTIF(Collège,E45)=1,listes!$V$1,IF(COUNTIF(Lycée,E45)=1,listes!$W$1,""))))</f>
        <v/>
      </c>
      <c r="L45" s="21" t="str">
        <f>IF(COUNTIF(Perralière,D45)=1,listes!$P$1,IF(COUNTIF(Buers,D45)=1,listes!$J$1,IF(COUNTIF(Charpennes,D45)=1,listes!$K$1,IF(COUNTIF(Cusset,D45)=1,listes!$L$1,IF(COUNTIF(Cyprien,D45)=1,listes!$M$1,IF(COUNTIF(Ferrandière,D45)=1,listes!$N$1,IF(COUNTIF(Gratteciel,D45)=1,listes!$O$1,IF(COUNTIF(Saintjean,D45)=1,listes!$Q$1,IF(COUNTIF(horsvilleurbanne,D45)=1,listes!$R$1,"")))))))))</f>
        <v/>
      </c>
      <c r="M45" s="21" t="str">
        <f t="shared" si="0"/>
        <v/>
      </c>
      <c r="N45" s="21" t="str">
        <f>T_sept_dec[[#This Row],[Etablissement accueillant]]&amp;"-"&amp;T_sept_dec[[#This Row],[Enseignant référent (Nom Prénom)]]</f>
        <v>-</v>
      </c>
      <c r="O45" s="21">
        <f>1/COUNTIF(T_sept_dec[CléEtablissement],T_sept_dec[[#This Row],[CléEtablissement]])</f>
        <v>4.1841004184100415E-3</v>
      </c>
      <c r="P4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5" s="186">
        <f>1/COUNTIF(T_sept_dec[CléRéseau-Rize horsmed],T_sept_dec[[#This Row],[CléRéseau-Rize horsmed]])</f>
        <v>4.1841004184100415E-3</v>
      </c>
      <c r="R45" s="186" t="str">
        <f>IF(COUNTIF(RIZE,T_sept_dec[[#This Row],[Secteur organisateur]]),"Rize_"&amp;T_sept_dec[[#This Row],[Enseignant référent (Nom Prénom)]],"")</f>
        <v/>
      </c>
      <c r="S45" s="186">
        <f>1/COUNTIF(T_sept_dec[CléRize],T_sept_dec[[#This Row],[CléRize]])</f>
        <v>4.048582995951417E-3</v>
      </c>
      <c r="T45" s="186" t="str">
        <f>IF(COUNTIF(Total,T_sept_dec[[#This Row],[Secteur organisateur]]),"Total_"&amp;T_sept_dec[[#This Row],[Enseignant référent (Nom Prénom)]],"")</f>
        <v/>
      </c>
      <c r="U45" s="186">
        <f>1/COUNTIF(T_sept_dec[cléTotal],T_sept_dec[[#This Row],[cléTotal]])</f>
        <v>4.1841004184100415E-3</v>
      </c>
    </row>
    <row r="46" spans="5:21">
      <c r="K46" s="21" t="str">
        <f>IF(COUNTIF(Maternelle,E46)=1,listes!$T$1,IF(COUNTIF(Elémentaire,E46)=1,listes!$U$1,IF(COUNTIF(Collège,E46)=1,listes!$V$1,IF(COUNTIF(Lycée,E46)=1,listes!$W$1,""))))</f>
        <v/>
      </c>
      <c r="L46" s="21" t="str">
        <f>IF(COUNTIF(Perralière,D46)=1,listes!$P$1,IF(COUNTIF(Buers,D46)=1,listes!$J$1,IF(COUNTIF(Charpennes,D46)=1,listes!$K$1,IF(COUNTIF(Cusset,D46)=1,listes!$L$1,IF(COUNTIF(Cyprien,D46)=1,listes!$M$1,IF(COUNTIF(Ferrandière,D46)=1,listes!$N$1,IF(COUNTIF(Gratteciel,D46)=1,listes!$O$1,IF(COUNTIF(Saintjean,D46)=1,listes!$Q$1,IF(COUNTIF(horsvilleurbanne,D46)=1,listes!$R$1,"")))))))))</f>
        <v/>
      </c>
      <c r="M46" s="21" t="str">
        <f t="shared" si="0"/>
        <v/>
      </c>
      <c r="N46" s="21" t="str">
        <f>T_sept_dec[[#This Row],[Etablissement accueillant]]&amp;"-"&amp;T_sept_dec[[#This Row],[Enseignant référent (Nom Prénom)]]</f>
        <v>-</v>
      </c>
      <c r="O46" s="21">
        <f>1/COUNTIF(T_sept_dec[CléEtablissement],T_sept_dec[[#This Row],[CléEtablissement]])</f>
        <v>4.1841004184100415E-3</v>
      </c>
      <c r="P4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6" s="186">
        <f>1/COUNTIF(T_sept_dec[CléRéseau-Rize horsmed],T_sept_dec[[#This Row],[CléRéseau-Rize horsmed]])</f>
        <v>4.1841004184100415E-3</v>
      </c>
      <c r="R46" s="186" t="str">
        <f>IF(COUNTIF(RIZE,T_sept_dec[[#This Row],[Secteur organisateur]]),"Rize_"&amp;T_sept_dec[[#This Row],[Enseignant référent (Nom Prénom)]],"")</f>
        <v/>
      </c>
      <c r="S46" s="186">
        <f>1/COUNTIF(T_sept_dec[CléRize],T_sept_dec[[#This Row],[CléRize]])</f>
        <v>4.048582995951417E-3</v>
      </c>
      <c r="T46" s="186" t="str">
        <f>IF(COUNTIF(Total,T_sept_dec[[#This Row],[Secteur organisateur]]),"Total_"&amp;T_sept_dec[[#This Row],[Enseignant référent (Nom Prénom)]],"")</f>
        <v/>
      </c>
      <c r="U46" s="186">
        <f>1/COUNTIF(T_sept_dec[cléTotal],T_sept_dec[[#This Row],[cléTotal]])</f>
        <v>4.1841004184100415E-3</v>
      </c>
    </row>
    <row r="47" spans="5:21">
      <c r="K47" s="21" t="str">
        <f>IF(COUNTIF(Maternelle,E47)=1,listes!$T$1,IF(COUNTIF(Elémentaire,E47)=1,listes!$U$1,IF(COUNTIF(Collège,E47)=1,listes!$V$1,IF(COUNTIF(Lycée,E47)=1,listes!$W$1,""))))</f>
        <v/>
      </c>
      <c r="L47" s="21" t="str">
        <f>IF(COUNTIF(Perralière,D47)=1,listes!$P$1,IF(COUNTIF(Buers,D47)=1,listes!$J$1,IF(COUNTIF(Charpennes,D47)=1,listes!$K$1,IF(COUNTIF(Cusset,D47)=1,listes!$L$1,IF(COUNTIF(Cyprien,D47)=1,listes!$M$1,IF(COUNTIF(Ferrandière,D47)=1,listes!$N$1,IF(COUNTIF(Gratteciel,D47)=1,listes!$O$1,IF(COUNTIF(Saintjean,D47)=1,listes!$Q$1,IF(COUNTIF(horsvilleurbanne,D47)=1,listes!$R$1,"")))))))))</f>
        <v/>
      </c>
      <c r="M47" s="21" t="str">
        <f t="shared" si="0"/>
        <v/>
      </c>
      <c r="N47" s="21" t="str">
        <f>T_sept_dec[[#This Row],[Etablissement accueillant]]&amp;"-"&amp;T_sept_dec[[#This Row],[Enseignant référent (Nom Prénom)]]</f>
        <v>-</v>
      </c>
      <c r="O47" s="21">
        <f>1/COUNTIF(T_sept_dec[CléEtablissement],T_sept_dec[[#This Row],[CléEtablissement]])</f>
        <v>4.1841004184100415E-3</v>
      </c>
      <c r="P4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7" s="186">
        <f>1/COUNTIF(T_sept_dec[CléRéseau-Rize horsmed],T_sept_dec[[#This Row],[CléRéseau-Rize horsmed]])</f>
        <v>4.1841004184100415E-3</v>
      </c>
      <c r="R47" s="186" t="str">
        <f>IF(COUNTIF(RIZE,T_sept_dec[[#This Row],[Secteur organisateur]]),"Rize_"&amp;T_sept_dec[[#This Row],[Enseignant référent (Nom Prénom)]],"")</f>
        <v/>
      </c>
      <c r="S47" s="186">
        <f>1/COUNTIF(T_sept_dec[CléRize],T_sept_dec[[#This Row],[CléRize]])</f>
        <v>4.048582995951417E-3</v>
      </c>
      <c r="T47" s="186" t="str">
        <f>IF(COUNTIF(Total,T_sept_dec[[#This Row],[Secteur organisateur]]),"Total_"&amp;T_sept_dec[[#This Row],[Enseignant référent (Nom Prénom)]],"")</f>
        <v/>
      </c>
      <c r="U47" s="186">
        <f>1/COUNTIF(T_sept_dec[cléTotal],T_sept_dec[[#This Row],[cléTotal]])</f>
        <v>4.1841004184100415E-3</v>
      </c>
    </row>
    <row r="48" spans="5:21">
      <c r="K48" s="21" t="str">
        <f>IF(COUNTIF(Maternelle,E48)=1,listes!$T$1,IF(COUNTIF(Elémentaire,E48)=1,listes!$U$1,IF(COUNTIF(Collège,E48)=1,listes!$V$1,IF(COUNTIF(Lycée,E48)=1,listes!$W$1,""))))</f>
        <v/>
      </c>
      <c r="L48" s="21" t="str">
        <f>IF(COUNTIF(Perralière,D48)=1,listes!$P$1,IF(COUNTIF(Buers,D48)=1,listes!$J$1,IF(COUNTIF(Charpennes,D48)=1,listes!$K$1,IF(COUNTIF(Cusset,D48)=1,listes!$L$1,IF(COUNTIF(Cyprien,D48)=1,listes!$M$1,IF(COUNTIF(Ferrandière,D48)=1,listes!$N$1,IF(COUNTIF(Gratteciel,D48)=1,listes!$O$1,IF(COUNTIF(Saintjean,D48)=1,listes!$Q$1,IF(COUNTIF(horsvilleurbanne,D48)=1,listes!$R$1,"")))))))))</f>
        <v/>
      </c>
      <c r="M48" s="21" t="str">
        <f t="shared" si="0"/>
        <v/>
      </c>
      <c r="N48" s="21" t="str">
        <f>T_sept_dec[[#This Row],[Etablissement accueillant]]&amp;"-"&amp;T_sept_dec[[#This Row],[Enseignant référent (Nom Prénom)]]</f>
        <v>-</v>
      </c>
      <c r="O48" s="21">
        <f>1/COUNTIF(T_sept_dec[CléEtablissement],T_sept_dec[[#This Row],[CléEtablissement]])</f>
        <v>4.1841004184100415E-3</v>
      </c>
      <c r="P4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8" s="186">
        <f>1/COUNTIF(T_sept_dec[CléRéseau-Rize horsmed],T_sept_dec[[#This Row],[CléRéseau-Rize horsmed]])</f>
        <v>4.1841004184100415E-3</v>
      </c>
      <c r="R48" s="186" t="str">
        <f>IF(COUNTIF(RIZE,T_sept_dec[[#This Row],[Secteur organisateur]]),"Rize_"&amp;T_sept_dec[[#This Row],[Enseignant référent (Nom Prénom)]],"")</f>
        <v/>
      </c>
      <c r="S48" s="186">
        <f>1/COUNTIF(T_sept_dec[CléRize],T_sept_dec[[#This Row],[CléRize]])</f>
        <v>4.048582995951417E-3</v>
      </c>
      <c r="T48" s="186" t="str">
        <f>IF(COUNTIF(Total,T_sept_dec[[#This Row],[Secteur organisateur]]),"Total_"&amp;T_sept_dec[[#This Row],[Enseignant référent (Nom Prénom)]],"")</f>
        <v/>
      </c>
      <c r="U48" s="186">
        <f>1/COUNTIF(T_sept_dec[cléTotal],T_sept_dec[[#This Row],[cléTotal]])</f>
        <v>4.1841004184100415E-3</v>
      </c>
    </row>
    <row r="49" spans="3:21">
      <c r="K49" s="21" t="str">
        <f>IF(COUNTIF(Maternelle,E49)=1,listes!$T$1,IF(COUNTIF(Elémentaire,E49)=1,listes!$U$1,IF(COUNTIF(Collège,E49)=1,listes!$V$1,IF(COUNTIF(Lycée,E49)=1,listes!$W$1,""))))</f>
        <v/>
      </c>
      <c r="L49" s="21" t="str">
        <f>IF(COUNTIF(Perralière,D49)=1,listes!$P$1,IF(COUNTIF(Buers,D49)=1,listes!$J$1,IF(COUNTIF(Charpennes,D49)=1,listes!$K$1,IF(COUNTIF(Cusset,D49)=1,listes!$L$1,IF(COUNTIF(Cyprien,D49)=1,listes!$M$1,IF(COUNTIF(Ferrandière,D49)=1,listes!$N$1,IF(COUNTIF(Gratteciel,D49)=1,listes!$O$1,IF(COUNTIF(Saintjean,D49)=1,listes!$Q$1,IF(COUNTIF(horsvilleurbanne,D49)=1,listes!$R$1,"")))))))))</f>
        <v/>
      </c>
      <c r="M49" s="21" t="str">
        <f t="shared" si="0"/>
        <v/>
      </c>
      <c r="N49" s="21" t="str">
        <f>T_sept_dec[[#This Row],[Etablissement accueillant]]&amp;"-"&amp;T_sept_dec[[#This Row],[Enseignant référent (Nom Prénom)]]</f>
        <v>-</v>
      </c>
      <c r="O49" s="21">
        <f>1/COUNTIF(T_sept_dec[CléEtablissement],T_sept_dec[[#This Row],[CléEtablissement]])</f>
        <v>4.1841004184100415E-3</v>
      </c>
      <c r="P4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49" s="186">
        <f>1/COUNTIF(T_sept_dec[CléRéseau-Rize horsmed],T_sept_dec[[#This Row],[CléRéseau-Rize horsmed]])</f>
        <v>4.1841004184100415E-3</v>
      </c>
      <c r="R49" s="186" t="str">
        <f>IF(COUNTIF(RIZE,T_sept_dec[[#This Row],[Secteur organisateur]]),"Rize_"&amp;T_sept_dec[[#This Row],[Enseignant référent (Nom Prénom)]],"")</f>
        <v/>
      </c>
      <c r="S49" s="186">
        <f>1/COUNTIF(T_sept_dec[CléRize],T_sept_dec[[#This Row],[CléRize]])</f>
        <v>4.048582995951417E-3</v>
      </c>
      <c r="T49" s="186" t="str">
        <f>IF(COUNTIF(Total,T_sept_dec[[#This Row],[Secteur organisateur]]),"Total_"&amp;T_sept_dec[[#This Row],[Enseignant référent (Nom Prénom)]],"")</f>
        <v/>
      </c>
      <c r="U49" s="186">
        <f>1/COUNTIF(T_sept_dec[cléTotal],T_sept_dec[[#This Row],[cléTotal]])</f>
        <v>4.1841004184100415E-3</v>
      </c>
    </row>
    <row r="50" spans="3:21">
      <c r="K50" s="21" t="str">
        <f>IF(COUNTIF(Maternelle,E50)=1,listes!$T$1,IF(COUNTIF(Elémentaire,E50)=1,listes!$U$1,IF(COUNTIF(Collège,E50)=1,listes!$V$1,IF(COUNTIF(Lycée,E50)=1,listes!$W$1,""))))</f>
        <v/>
      </c>
      <c r="L50" s="21" t="str">
        <f>IF(COUNTIF(Perralière,D50)=1,listes!$P$1,IF(COUNTIF(Buers,D50)=1,listes!$J$1,IF(COUNTIF(Charpennes,D50)=1,listes!$K$1,IF(COUNTIF(Cusset,D50)=1,listes!$L$1,IF(COUNTIF(Cyprien,D50)=1,listes!$M$1,IF(COUNTIF(Ferrandière,D50)=1,listes!$N$1,IF(COUNTIF(Gratteciel,D50)=1,listes!$O$1,IF(COUNTIF(Saintjean,D50)=1,listes!$Q$1,IF(COUNTIF(horsvilleurbanne,D50)=1,listes!$R$1,"")))))))))</f>
        <v/>
      </c>
      <c r="M50" s="21" t="str">
        <f t="shared" si="0"/>
        <v/>
      </c>
      <c r="N50" s="21" t="str">
        <f>T_sept_dec[[#This Row],[Etablissement accueillant]]&amp;"-"&amp;T_sept_dec[[#This Row],[Enseignant référent (Nom Prénom)]]</f>
        <v>-</v>
      </c>
      <c r="O50" s="21">
        <f>1/COUNTIF(T_sept_dec[CléEtablissement],T_sept_dec[[#This Row],[CléEtablissement]])</f>
        <v>4.1841004184100415E-3</v>
      </c>
      <c r="P5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0" s="186">
        <f>1/COUNTIF(T_sept_dec[CléRéseau-Rize horsmed],T_sept_dec[[#This Row],[CléRéseau-Rize horsmed]])</f>
        <v>4.1841004184100415E-3</v>
      </c>
      <c r="R50" s="186" t="str">
        <f>IF(COUNTIF(RIZE,T_sept_dec[[#This Row],[Secteur organisateur]]),"Rize_"&amp;T_sept_dec[[#This Row],[Enseignant référent (Nom Prénom)]],"")</f>
        <v/>
      </c>
      <c r="S50" s="186">
        <f>1/COUNTIF(T_sept_dec[CléRize],T_sept_dec[[#This Row],[CléRize]])</f>
        <v>4.048582995951417E-3</v>
      </c>
      <c r="T50" s="186" t="str">
        <f>IF(COUNTIF(Total,T_sept_dec[[#This Row],[Secteur organisateur]]),"Total_"&amp;T_sept_dec[[#This Row],[Enseignant référent (Nom Prénom)]],"")</f>
        <v/>
      </c>
      <c r="U50" s="186">
        <f>1/COUNTIF(T_sept_dec[cléTotal],T_sept_dec[[#This Row],[cléTotal]])</f>
        <v>4.1841004184100415E-3</v>
      </c>
    </row>
    <row r="51" spans="3:21">
      <c r="K51" s="21" t="str">
        <f>IF(COUNTIF(Maternelle,E51)=1,listes!$T$1,IF(COUNTIF(Elémentaire,E51)=1,listes!$U$1,IF(COUNTIF(Collège,E51)=1,listes!$V$1,IF(COUNTIF(Lycée,E51)=1,listes!$W$1,""))))</f>
        <v/>
      </c>
      <c r="L51" s="21" t="str">
        <f>IF(COUNTIF(Perralière,D51)=1,listes!$P$1,IF(COUNTIF(Buers,D51)=1,listes!$J$1,IF(COUNTIF(Charpennes,D51)=1,listes!$K$1,IF(COUNTIF(Cusset,D51)=1,listes!$L$1,IF(COUNTIF(Cyprien,D51)=1,listes!$M$1,IF(COUNTIF(Ferrandière,D51)=1,listes!$N$1,IF(COUNTIF(Gratteciel,D51)=1,listes!$O$1,IF(COUNTIF(Saintjean,D51)=1,listes!$Q$1,IF(COUNTIF(horsvilleurbanne,D51)=1,listes!$R$1,"")))))))))</f>
        <v/>
      </c>
      <c r="M51" s="21" t="str">
        <f t="shared" si="0"/>
        <v/>
      </c>
      <c r="N51" s="21" t="str">
        <f>T_sept_dec[[#This Row],[Etablissement accueillant]]&amp;"-"&amp;T_sept_dec[[#This Row],[Enseignant référent (Nom Prénom)]]</f>
        <v>-</v>
      </c>
      <c r="O51" s="21">
        <f>1/COUNTIF(T_sept_dec[CléEtablissement],T_sept_dec[[#This Row],[CléEtablissement]])</f>
        <v>4.1841004184100415E-3</v>
      </c>
      <c r="P5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1" s="186">
        <f>1/COUNTIF(T_sept_dec[CléRéseau-Rize horsmed],T_sept_dec[[#This Row],[CléRéseau-Rize horsmed]])</f>
        <v>4.1841004184100415E-3</v>
      </c>
      <c r="R51" s="186" t="str">
        <f>IF(COUNTIF(RIZE,T_sept_dec[[#This Row],[Secteur organisateur]]),"Rize_"&amp;T_sept_dec[[#This Row],[Enseignant référent (Nom Prénom)]],"")</f>
        <v/>
      </c>
      <c r="S51" s="186">
        <f>1/COUNTIF(T_sept_dec[CléRize],T_sept_dec[[#This Row],[CléRize]])</f>
        <v>4.048582995951417E-3</v>
      </c>
      <c r="T51" s="186" t="str">
        <f>IF(COUNTIF(Total,T_sept_dec[[#This Row],[Secteur organisateur]]),"Total_"&amp;T_sept_dec[[#This Row],[Enseignant référent (Nom Prénom)]],"")</f>
        <v/>
      </c>
      <c r="U51" s="186">
        <f>1/COUNTIF(T_sept_dec[cléTotal],T_sept_dec[[#This Row],[cléTotal]])</f>
        <v>4.1841004184100415E-3</v>
      </c>
    </row>
    <row r="52" spans="3:21">
      <c r="K52" s="21" t="str">
        <f>IF(COUNTIF(Maternelle,E52)=1,listes!$T$1,IF(COUNTIF(Elémentaire,E52)=1,listes!$U$1,IF(COUNTIF(Collège,E52)=1,listes!$V$1,IF(COUNTIF(Lycée,E52)=1,listes!$W$1,""))))</f>
        <v/>
      </c>
      <c r="L52" s="21" t="str">
        <f>IF(COUNTIF(Perralière,D52)=1,listes!$P$1,IF(COUNTIF(Buers,D52)=1,listes!$J$1,IF(COUNTIF(Charpennes,D52)=1,listes!$K$1,IF(COUNTIF(Cusset,D52)=1,listes!$L$1,IF(COUNTIF(Cyprien,D52)=1,listes!$M$1,IF(COUNTIF(Ferrandière,D52)=1,listes!$N$1,IF(COUNTIF(Gratteciel,D52)=1,listes!$O$1,IF(COUNTIF(Saintjean,D52)=1,listes!$Q$1,IF(COUNTIF(horsvilleurbanne,D52)=1,listes!$R$1,"")))))))))</f>
        <v/>
      </c>
      <c r="M52" s="21" t="str">
        <f t="shared" si="0"/>
        <v/>
      </c>
      <c r="N52" s="21" t="str">
        <f>T_sept_dec[[#This Row],[Etablissement accueillant]]&amp;"-"&amp;T_sept_dec[[#This Row],[Enseignant référent (Nom Prénom)]]</f>
        <v>-</v>
      </c>
      <c r="O52" s="21">
        <f>1/COUNTIF(T_sept_dec[CléEtablissement],T_sept_dec[[#This Row],[CléEtablissement]])</f>
        <v>4.1841004184100415E-3</v>
      </c>
      <c r="P5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2" s="186">
        <f>1/COUNTIF(T_sept_dec[CléRéseau-Rize horsmed],T_sept_dec[[#This Row],[CléRéseau-Rize horsmed]])</f>
        <v>4.1841004184100415E-3</v>
      </c>
      <c r="R52" s="186" t="str">
        <f>IF(COUNTIF(RIZE,T_sept_dec[[#This Row],[Secteur organisateur]]),"Rize_"&amp;T_sept_dec[[#This Row],[Enseignant référent (Nom Prénom)]],"")</f>
        <v/>
      </c>
      <c r="S52" s="186">
        <f>1/COUNTIF(T_sept_dec[CléRize],T_sept_dec[[#This Row],[CléRize]])</f>
        <v>4.048582995951417E-3</v>
      </c>
      <c r="T52" s="186" t="str">
        <f>IF(COUNTIF(Total,T_sept_dec[[#This Row],[Secteur organisateur]]),"Total_"&amp;T_sept_dec[[#This Row],[Enseignant référent (Nom Prénom)]],"")</f>
        <v/>
      </c>
      <c r="U52" s="186">
        <f>1/COUNTIF(T_sept_dec[cléTotal],T_sept_dec[[#This Row],[cléTotal]])</f>
        <v>4.1841004184100415E-3</v>
      </c>
    </row>
    <row r="53" spans="3:21">
      <c r="K53" s="21" t="str">
        <f>IF(COUNTIF(Maternelle,E53)=1,listes!$T$1,IF(COUNTIF(Elémentaire,E53)=1,listes!$U$1,IF(COUNTIF(Collège,E53)=1,listes!$V$1,IF(COUNTIF(Lycée,E53)=1,listes!$W$1,""))))</f>
        <v/>
      </c>
      <c r="L53" s="21" t="str">
        <f>IF(COUNTIF(Perralière,D53)=1,listes!$P$1,IF(COUNTIF(Buers,D53)=1,listes!$J$1,IF(COUNTIF(Charpennes,D53)=1,listes!$K$1,IF(COUNTIF(Cusset,D53)=1,listes!$L$1,IF(COUNTIF(Cyprien,D53)=1,listes!$M$1,IF(COUNTIF(Ferrandière,D53)=1,listes!$N$1,IF(COUNTIF(Gratteciel,D53)=1,listes!$O$1,IF(COUNTIF(Saintjean,D53)=1,listes!$Q$1,IF(COUNTIF(horsvilleurbanne,D53)=1,listes!$R$1,"")))))))))</f>
        <v/>
      </c>
      <c r="M53" s="21" t="str">
        <f t="shared" si="0"/>
        <v/>
      </c>
      <c r="N53" s="21" t="str">
        <f>T_sept_dec[[#This Row],[Etablissement accueillant]]&amp;"-"&amp;T_sept_dec[[#This Row],[Enseignant référent (Nom Prénom)]]</f>
        <v>-</v>
      </c>
      <c r="O53" s="21">
        <f>1/COUNTIF(T_sept_dec[CléEtablissement],T_sept_dec[[#This Row],[CléEtablissement]])</f>
        <v>4.1841004184100415E-3</v>
      </c>
      <c r="P5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3" s="186">
        <f>1/COUNTIF(T_sept_dec[CléRéseau-Rize horsmed],T_sept_dec[[#This Row],[CléRéseau-Rize horsmed]])</f>
        <v>4.1841004184100415E-3</v>
      </c>
      <c r="R53" s="186" t="str">
        <f>IF(COUNTIF(RIZE,T_sept_dec[[#This Row],[Secteur organisateur]]),"Rize_"&amp;T_sept_dec[[#This Row],[Enseignant référent (Nom Prénom)]],"")</f>
        <v/>
      </c>
      <c r="S53" s="186">
        <f>1/COUNTIF(T_sept_dec[CléRize],T_sept_dec[[#This Row],[CléRize]])</f>
        <v>4.048582995951417E-3</v>
      </c>
      <c r="T53" s="186" t="str">
        <f>IF(COUNTIF(Total,T_sept_dec[[#This Row],[Secteur organisateur]]),"Total_"&amp;T_sept_dec[[#This Row],[Enseignant référent (Nom Prénom)]],"")</f>
        <v/>
      </c>
      <c r="U53" s="186">
        <f>1/COUNTIF(T_sept_dec[cléTotal],T_sept_dec[[#This Row],[cléTotal]])</f>
        <v>4.1841004184100415E-3</v>
      </c>
    </row>
    <row r="54" spans="3:21">
      <c r="K54" s="21" t="str">
        <f>IF(COUNTIF(Maternelle,E54)=1,listes!$T$1,IF(COUNTIF(Elémentaire,E54)=1,listes!$U$1,IF(COUNTIF(Collège,E54)=1,listes!$V$1,IF(COUNTIF(Lycée,E54)=1,listes!$W$1,""))))</f>
        <v/>
      </c>
      <c r="L54" s="21" t="str">
        <f>IF(COUNTIF(Perralière,D54)=1,listes!$P$1,IF(COUNTIF(Buers,D54)=1,listes!$J$1,IF(COUNTIF(Charpennes,D54)=1,listes!$K$1,IF(COUNTIF(Cusset,D54)=1,listes!$L$1,IF(COUNTIF(Cyprien,D54)=1,listes!$M$1,IF(COUNTIF(Ferrandière,D54)=1,listes!$N$1,IF(COUNTIF(Gratteciel,D54)=1,listes!$O$1,IF(COUNTIF(Saintjean,D54)=1,listes!$Q$1,IF(COUNTIF(horsvilleurbanne,D54)=1,listes!$R$1,"")))))))))</f>
        <v/>
      </c>
      <c r="M54" s="21" t="str">
        <f t="shared" si="0"/>
        <v/>
      </c>
      <c r="N54" s="21" t="str">
        <f>T_sept_dec[[#This Row],[Etablissement accueillant]]&amp;"-"&amp;T_sept_dec[[#This Row],[Enseignant référent (Nom Prénom)]]</f>
        <v>-</v>
      </c>
      <c r="O54" s="21">
        <f>1/COUNTIF(T_sept_dec[CléEtablissement],T_sept_dec[[#This Row],[CléEtablissement]])</f>
        <v>4.1841004184100415E-3</v>
      </c>
      <c r="P5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4" s="186">
        <f>1/COUNTIF(T_sept_dec[CléRéseau-Rize horsmed],T_sept_dec[[#This Row],[CléRéseau-Rize horsmed]])</f>
        <v>4.1841004184100415E-3</v>
      </c>
      <c r="R54" s="186" t="str">
        <f>IF(COUNTIF(RIZE,T_sept_dec[[#This Row],[Secteur organisateur]]),"Rize_"&amp;T_sept_dec[[#This Row],[Enseignant référent (Nom Prénom)]],"")</f>
        <v/>
      </c>
      <c r="S54" s="186">
        <f>1/COUNTIF(T_sept_dec[CléRize],T_sept_dec[[#This Row],[CléRize]])</f>
        <v>4.048582995951417E-3</v>
      </c>
      <c r="T54" s="186" t="str">
        <f>IF(COUNTIF(Total,T_sept_dec[[#This Row],[Secteur organisateur]]),"Total_"&amp;T_sept_dec[[#This Row],[Enseignant référent (Nom Prénom)]],"")</f>
        <v/>
      </c>
      <c r="U54" s="186">
        <f>1/COUNTIF(T_sept_dec[cléTotal],T_sept_dec[[#This Row],[cléTotal]])</f>
        <v>4.1841004184100415E-3</v>
      </c>
    </row>
    <row r="55" spans="3:21">
      <c r="K55" s="21" t="str">
        <f>IF(COUNTIF(Maternelle,E55)=1,listes!$T$1,IF(COUNTIF(Elémentaire,E55)=1,listes!$U$1,IF(COUNTIF(Collège,E55)=1,listes!$V$1,IF(COUNTIF(Lycée,E55)=1,listes!$W$1,""))))</f>
        <v/>
      </c>
      <c r="L55" s="21" t="str">
        <f>IF(COUNTIF(Perralière,D55)=1,listes!$P$1,IF(COUNTIF(Buers,D55)=1,listes!$J$1,IF(COUNTIF(Charpennes,D55)=1,listes!$K$1,IF(COUNTIF(Cusset,D55)=1,listes!$L$1,IF(COUNTIF(Cyprien,D55)=1,listes!$M$1,IF(COUNTIF(Ferrandière,D55)=1,listes!$N$1,IF(COUNTIF(Gratteciel,D55)=1,listes!$O$1,IF(COUNTIF(Saintjean,D55)=1,listes!$Q$1,IF(COUNTIF(horsvilleurbanne,D55)=1,listes!$R$1,"")))))))))</f>
        <v/>
      </c>
      <c r="M55" s="21" t="str">
        <f t="shared" si="0"/>
        <v/>
      </c>
      <c r="N55" s="21" t="str">
        <f>T_sept_dec[[#This Row],[Etablissement accueillant]]&amp;"-"&amp;T_sept_dec[[#This Row],[Enseignant référent (Nom Prénom)]]</f>
        <v>-</v>
      </c>
      <c r="O55" s="21">
        <f>1/COUNTIF(T_sept_dec[CléEtablissement],T_sept_dec[[#This Row],[CléEtablissement]])</f>
        <v>4.1841004184100415E-3</v>
      </c>
      <c r="P5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5" s="186">
        <f>1/COUNTIF(T_sept_dec[CléRéseau-Rize horsmed],T_sept_dec[[#This Row],[CléRéseau-Rize horsmed]])</f>
        <v>4.1841004184100415E-3</v>
      </c>
      <c r="R55" s="186" t="str">
        <f>IF(COUNTIF(RIZE,T_sept_dec[[#This Row],[Secteur organisateur]]),"Rize_"&amp;T_sept_dec[[#This Row],[Enseignant référent (Nom Prénom)]],"")</f>
        <v/>
      </c>
      <c r="S55" s="186">
        <f>1/COUNTIF(T_sept_dec[CléRize],T_sept_dec[[#This Row],[CléRize]])</f>
        <v>4.048582995951417E-3</v>
      </c>
      <c r="T55" s="186" t="str">
        <f>IF(COUNTIF(Total,T_sept_dec[[#This Row],[Secteur organisateur]]),"Total_"&amp;T_sept_dec[[#This Row],[Enseignant référent (Nom Prénom)]],"")</f>
        <v/>
      </c>
      <c r="U55" s="186">
        <f>1/COUNTIF(T_sept_dec[cléTotal],T_sept_dec[[#This Row],[cléTotal]])</f>
        <v>4.1841004184100415E-3</v>
      </c>
    </row>
    <row r="56" spans="3:21">
      <c r="K56" s="21" t="str">
        <f>IF(COUNTIF(Maternelle,E56)=1,listes!$T$1,IF(COUNTIF(Elémentaire,E56)=1,listes!$U$1,IF(COUNTIF(Collège,E56)=1,listes!$V$1,IF(COUNTIF(Lycée,E56)=1,listes!$W$1,""))))</f>
        <v/>
      </c>
      <c r="L56" s="21" t="str">
        <f>IF(COUNTIF(Perralière,D56)=1,listes!$P$1,IF(COUNTIF(Buers,D56)=1,listes!$J$1,IF(COUNTIF(Charpennes,D56)=1,listes!$K$1,IF(COUNTIF(Cusset,D56)=1,listes!$L$1,IF(COUNTIF(Cyprien,D56)=1,listes!$M$1,IF(COUNTIF(Ferrandière,D56)=1,listes!$N$1,IF(COUNTIF(Gratteciel,D56)=1,listes!$O$1,IF(COUNTIF(Saintjean,D56)=1,listes!$Q$1,IF(COUNTIF(horsvilleurbanne,D56)=1,listes!$R$1,"")))))))))</f>
        <v/>
      </c>
      <c r="M56" s="21" t="str">
        <f t="shared" si="0"/>
        <v/>
      </c>
      <c r="N56" s="21" t="str">
        <f>T_sept_dec[[#This Row],[Etablissement accueillant]]&amp;"-"&amp;T_sept_dec[[#This Row],[Enseignant référent (Nom Prénom)]]</f>
        <v>-</v>
      </c>
      <c r="O56" s="21">
        <f>1/COUNTIF(T_sept_dec[CléEtablissement],T_sept_dec[[#This Row],[CléEtablissement]])</f>
        <v>4.1841004184100415E-3</v>
      </c>
      <c r="P5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6" s="186">
        <f>1/COUNTIF(T_sept_dec[CléRéseau-Rize horsmed],T_sept_dec[[#This Row],[CléRéseau-Rize horsmed]])</f>
        <v>4.1841004184100415E-3</v>
      </c>
      <c r="R56" s="186" t="str">
        <f>IF(COUNTIF(RIZE,T_sept_dec[[#This Row],[Secteur organisateur]]),"Rize_"&amp;T_sept_dec[[#This Row],[Enseignant référent (Nom Prénom)]],"")</f>
        <v/>
      </c>
      <c r="S56" s="186">
        <f>1/COUNTIF(T_sept_dec[CléRize],T_sept_dec[[#This Row],[CléRize]])</f>
        <v>4.048582995951417E-3</v>
      </c>
      <c r="T56" s="186" t="str">
        <f>IF(COUNTIF(Total,T_sept_dec[[#This Row],[Secteur organisateur]]),"Total_"&amp;T_sept_dec[[#This Row],[Enseignant référent (Nom Prénom)]],"")</f>
        <v/>
      </c>
      <c r="U56" s="186">
        <f>1/COUNTIF(T_sept_dec[cléTotal],T_sept_dec[[#This Row],[cléTotal]])</f>
        <v>4.1841004184100415E-3</v>
      </c>
    </row>
    <row r="57" spans="3:21">
      <c r="K57" s="21" t="str">
        <f>IF(COUNTIF(Maternelle,E57)=1,listes!$T$1,IF(COUNTIF(Elémentaire,E57)=1,listes!$U$1,IF(COUNTIF(Collège,E57)=1,listes!$V$1,IF(COUNTIF(Lycée,E57)=1,listes!$W$1,""))))</f>
        <v/>
      </c>
      <c r="L57" s="21" t="str">
        <f>IF(COUNTIF(Perralière,D57)=1,listes!$P$1,IF(COUNTIF(Buers,D57)=1,listes!$J$1,IF(COUNTIF(Charpennes,D57)=1,listes!$K$1,IF(COUNTIF(Cusset,D57)=1,listes!$L$1,IF(COUNTIF(Cyprien,D57)=1,listes!$M$1,IF(COUNTIF(Ferrandière,D57)=1,listes!$N$1,IF(COUNTIF(Gratteciel,D57)=1,listes!$O$1,IF(COUNTIF(Saintjean,D57)=1,listes!$Q$1,IF(COUNTIF(horsvilleurbanne,D57)=1,listes!$R$1,"")))))))))</f>
        <v/>
      </c>
      <c r="M57" s="21" t="str">
        <f t="shared" si="0"/>
        <v/>
      </c>
      <c r="N57" s="21" t="str">
        <f>T_sept_dec[[#This Row],[Etablissement accueillant]]&amp;"-"&amp;T_sept_dec[[#This Row],[Enseignant référent (Nom Prénom)]]</f>
        <v>-</v>
      </c>
      <c r="O57" s="21">
        <f>1/COUNTIF(T_sept_dec[CléEtablissement],T_sept_dec[[#This Row],[CléEtablissement]])</f>
        <v>4.1841004184100415E-3</v>
      </c>
      <c r="P5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7" s="186">
        <f>1/COUNTIF(T_sept_dec[CléRéseau-Rize horsmed],T_sept_dec[[#This Row],[CléRéseau-Rize horsmed]])</f>
        <v>4.1841004184100415E-3</v>
      </c>
      <c r="R57" s="186" t="str">
        <f>IF(COUNTIF(RIZE,T_sept_dec[[#This Row],[Secteur organisateur]]),"Rize_"&amp;T_sept_dec[[#This Row],[Enseignant référent (Nom Prénom)]],"")</f>
        <v/>
      </c>
      <c r="S57" s="186">
        <f>1/COUNTIF(T_sept_dec[CléRize],T_sept_dec[[#This Row],[CléRize]])</f>
        <v>4.048582995951417E-3</v>
      </c>
      <c r="T57" s="186" t="str">
        <f>IF(COUNTIF(Total,T_sept_dec[[#This Row],[Secteur organisateur]]),"Total_"&amp;T_sept_dec[[#This Row],[Enseignant référent (Nom Prénom)]],"")</f>
        <v/>
      </c>
      <c r="U57" s="186">
        <f>1/COUNTIF(T_sept_dec[cléTotal],T_sept_dec[[#This Row],[cléTotal]])</f>
        <v>4.1841004184100415E-3</v>
      </c>
    </row>
    <row r="58" spans="3:21">
      <c r="K58" s="21" t="str">
        <f>IF(COUNTIF(Maternelle,E58)=1,listes!$T$1,IF(COUNTIF(Elémentaire,E58)=1,listes!$U$1,IF(COUNTIF(Collège,E58)=1,listes!$V$1,IF(COUNTIF(Lycée,E58)=1,listes!$W$1,""))))</f>
        <v/>
      </c>
      <c r="L58" s="21" t="str">
        <f>IF(COUNTIF(Perralière,D58)=1,listes!$P$1,IF(COUNTIF(Buers,D58)=1,listes!$J$1,IF(COUNTIF(Charpennes,D58)=1,listes!$K$1,IF(COUNTIF(Cusset,D58)=1,listes!$L$1,IF(COUNTIF(Cyprien,D58)=1,listes!$M$1,IF(COUNTIF(Ferrandière,D58)=1,listes!$N$1,IF(COUNTIF(Gratteciel,D58)=1,listes!$O$1,IF(COUNTIF(Saintjean,D58)=1,listes!$Q$1,IF(COUNTIF(horsvilleurbanne,D58)=1,listes!$R$1,"")))))))))</f>
        <v/>
      </c>
      <c r="M58" s="21" t="str">
        <f t="shared" si="0"/>
        <v/>
      </c>
      <c r="N58" s="21" t="str">
        <f>T_sept_dec[[#This Row],[Etablissement accueillant]]&amp;"-"&amp;T_sept_dec[[#This Row],[Enseignant référent (Nom Prénom)]]</f>
        <v>-</v>
      </c>
      <c r="O58" s="21">
        <f>1/COUNTIF(T_sept_dec[CléEtablissement],T_sept_dec[[#This Row],[CléEtablissement]])</f>
        <v>4.1841004184100415E-3</v>
      </c>
      <c r="P5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8" s="186">
        <f>1/COUNTIF(T_sept_dec[CléRéseau-Rize horsmed],T_sept_dec[[#This Row],[CléRéseau-Rize horsmed]])</f>
        <v>4.1841004184100415E-3</v>
      </c>
      <c r="R58" s="186" t="str">
        <f>IF(COUNTIF(RIZE,T_sept_dec[[#This Row],[Secteur organisateur]]),"Rize_"&amp;T_sept_dec[[#This Row],[Enseignant référent (Nom Prénom)]],"")</f>
        <v/>
      </c>
      <c r="S58" s="186">
        <f>1/COUNTIF(T_sept_dec[CléRize],T_sept_dec[[#This Row],[CléRize]])</f>
        <v>4.048582995951417E-3</v>
      </c>
      <c r="T58" s="186" t="str">
        <f>IF(COUNTIF(Total,T_sept_dec[[#This Row],[Secteur organisateur]]),"Total_"&amp;T_sept_dec[[#This Row],[Enseignant référent (Nom Prénom)]],"")</f>
        <v/>
      </c>
      <c r="U58" s="186">
        <f>1/COUNTIF(T_sept_dec[cléTotal],T_sept_dec[[#This Row],[cléTotal]])</f>
        <v>4.1841004184100415E-3</v>
      </c>
    </row>
    <row r="59" spans="3:21">
      <c r="C59" s="153"/>
      <c r="K59" s="21" t="str">
        <f>IF(COUNTIF(Maternelle,E59)=1,listes!$T$1,IF(COUNTIF(Elémentaire,E59)=1,listes!$U$1,IF(COUNTIF(Collège,E59)=1,listes!$V$1,IF(COUNTIF(Lycée,E59)=1,listes!$W$1,""))))</f>
        <v/>
      </c>
      <c r="L59" s="21" t="str">
        <f>IF(COUNTIF(Perralière,D59)=1,listes!$P$1,IF(COUNTIF(Buers,D59)=1,listes!$J$1,IF(COUNTIF(Charpennes,D59)=1,listes!$K$1,IF(COUNTIF(Cusset,D59)=1,listes!$L$1,IF(COUNTIF(Cyprien,D59)=1,listes!$M$1,IF(COUNTIF(Ferrandière,D59)=1,listes!$N$1,IF(COUNTIF(Gratteciel,D59)=1,listes!$O$1,IF(COUNTIF(Saintjean,D59)=1,listes!$Q$1,IF(COUNTIF(horsvilleurbanne,D59)=1,listes!$R$1,"")))))))))</f>
        <v/>
      </c>
      <c r="M59" s="21" t="str">
        <f t="shared" si="0"/>
        <v/>
      </c>
      <c r="N59" s="21" t="str">
        <f>T_sept_dec[[#This Row],[Etablissement accueillant]]&amp;"-"&amp;T_sept_dec[[#This Row],[Enseignant référent (Nom Prénom)]]</f>
        <v>-</v>
      </c>
      <c r="O59" s="21">
        <f>1/COUNTIF(T_sept_dec[CléEtablissement],T_sept_dec[[#This Row],[CléEtablissement]])</f>
        <v>4.1841004184100415E-3</v>
      </c>
      <c r="P5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59" s="186">
        <f>1/COUNTIF(T_sept_dec[CléRéseau-Rize horsmed],T_sept_dec[[#This Row],[CléRéseau-Rize horsmed]])</f>
        <v>4.1841004184100415E-3</v>
      </c>
      <c r="R59" s="186" t="str">
        <f>IF(COUNTIF(RIZE,T_sept_dec[[#This Row],[Secteur organisateur]]),"Rize_"&amp;T_sept_dec[[#This Row],[Enseignant référent (Nom Prénom)]],"")</f>
        <v/>
      </c>
      <c r="S59" s="186">
        <f>1/COUNTIF(T_sept_dec[CléRize],T_sept_dec[[#This Row],[CléRize]])</f>
        <v>4.048582995951417E-3</v>
      </c>
      <c r="T59" s="186" t="str">
        <f>IF(COUNTIF(Total,T_sept_dec[[#This Row],[Secteur organisateur]]),"Total_"&amp;T_sept_dec[[#This Row],[Enseignant référent (Nom Prénom)]],"")</f>
        <v/>
      </c>
      <c r="U59" s="186">
        <f>1/COUNTIF(T_sept_dec[cléTotal],T_sept_dec[[#This Row],[cléTotal]])</f>
        <v>4.1841004184100415E-3</v>
      </c>
    </row>
    <row r="60" spans="3:21">
      <c r="K60" s="21" t="str">
        <f>IF(COUNTIF(Maternelle,E60)=1,listes!$T$1,IF(COUNTIF(Elémentaire,E60)=1,listes!$U$1,IF(COUNTIF(Collège,E60)=1,listes!$V$1,IF(COUNTIF(Lycée,E60)=1,listes!$W$1,""))))</f>
        <v/>
      </c>
      <c r="L60" s="21" t="str">
        <f>IF(COUNTIF(Perralière,D60)=1,listes!$P$1,IF(COUNTIF(Buers,D60)=1,listes!$J$1,IF(COUNTIF(Charpennes,D60)=1,listes!$K$1,IF(COUNTIF(Cusset,D60)=1,listes!$L$1,IF(COUNTIF(Cyprien,D60)=1,listes!$M$1,IF(COUNTIF(Ferrandière,D60)=1,listes!$N$1,IF(COUNTIF(Gratteciel,D60)=1,listes!$O$1,IF(COUNTIF(Saintjean,D60)=1,listes!$Q$1,IF(COUNTIF(horsvilleurbanne,D60)=1,listes!$R$1,"")))))))))</f>
        <v/>
      </c>
      <c r="M60" s="21" t="str">
        <f t="shared" si="0"/>
        <v/>
      </c>
      <c r="N60" s="21" t="str">
        <f>T_sept_dec[[#This Row],[Etablissement accueillant]]&amp;"-"&amp;T_sept_dec[[#This Row],[Enseignant référent (Nom Prénom)]]</f>
        <v>-</v>
      </c>
      <c r="O60" s="21">
        <f>1/COUNTIF(T_sept_dec[CléEtablissement],T_sept_dec[[#This Row],[CléEtablissement]])</f>
        <v>4.1841004184100415E-3</v>
      </c>
      <c r="P6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0" s="186">
        <f>1/COUNTIF(T_sept_dec[CléRéseau-Rize horsmed],T_sept_dec[[#This Row],[CléRéseau-Rize horsmed]])</f>
        <v>4.1841004184100415E-3</v>
      </c>
      <c r="R60" s="186" t="str">
        <f>IF(COUNTIF(RIZE,T_sept_dec[[#This Row],[Secteur organisateur]]),"Rize_"&amp;T_sept_dec[[#This Row],[Enseignant référent (Nom Prénom)]],"")</f>
        <v/>
      </c>
      <c r="S60" s="186">
        <f>1/COUNTIF(T_sept_dec[CléRize],T_sept_dec[[#This Row],[CléRize]])</f>
        <v>4.048582995951417E-3</v>
      </c>
      <c r="T60" s="186" t="str">
        <f>IF(COUNTIF(Total,T_sept_dec[[#This Row],[Secteur organisateur]]),"Total_"&amp;T_sept_dec[[#This Row],[Enseignant référent (Nom Prénom)]],"")</f>
        <v/>
      </c>
      <c r="U60" s="186">
        <f>1/COUNTIF(T_sept_dec[cléTotal],T_sept_dec[[#This Row],[cléTotal]])</f>
        <v>4.1841004184100415E-3</v>
      </c>
    </row>
    <row r="61" spans="3:21">
      <c r="K61" s="21" t="str">
        <f>IF(COUNTIF(Maternelle,E61)=1,listes!$T$1,IF(COUNTIF(Elémentaire,E61)=1,listes!$U$1,IF(COUNTIF(Collège,E61)=1,listes!$V$1,IF(COUNTIF(Lycée,E61)=1,listes!$W$1,""))))</f>
        <v/>
      </c>
      <c r="L61" s="21" t="str">
        <f>IF(COUNTIF(Perralière,D61)=1,listes!$P$1,IF(COUNTIF(Buers,D61)=1,listes!$J$1,IF(COUNTIF(Charpennes,D61)=1,listes!$K$1,IF(COUNTIF(Cusset,D61)=1,listes!$L$1,IF(COUNTIF(Cyprien,D61)=1,listes!$M$1,IF(COUNTIF(Ferrandière,D61)=1,listes!$N$1,IF(COUNTIF(Gratteciel,D61)=1,listes!$O$1,IF(COUNTIF(Saintjean,D61)=1,listes!$Q$1,IF(COUNTIF(horsvilleurbanne,D61)=1,listes!$R$1,"")))))))))</f>
        <v/>
      </c>
      <c r="M61" s="21" t="str">
        <f t="shared" si="0"/>
        <v/>
      </c>
      <c r="N61" s="21" t="str">
        <f>T_sept_dec[[#This Row],[Etablissement accueillant]]&amp;"-"&amp;T_sept_dec[[#This Row],[Enseignant référent (Nom Prénom)]]</f>
        <v>-</v>
      </c>
      <c r="O61" s="21">
        <f>1/COUNTIF(T_sept_dec[CléEtablissement],T_sept_dec[[#This Row],[CléEtablissement]])</f>
        <v>4.1841004184100415E-3</v>
      </c>
      <c r="P6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1" s="186">
        <f>1/COUNTIF(T_sept_dec[CléRéseau-Rize horsmed],T_sept_dec[[#This Row],[CléRéseau-Rize horsmed]])</f>
        <v>4.1841004184100415E-3</v>
      </c>
      <c r="R61" s="186" t="str">
        <f>IF(COUNTIF(RIZE,T_sept_dec[[#This Row],[Secteur organisateur]]),"Rize_"&amp;T_sept_dec[[#This Row],[Enseignant référent (Nom Prénom)]],"")</f>
        <v/>
      </c>
      <c r="S61" s="186">
        <f>1/COUNTIF(T_sept_dec[CléRize],T_sept_dec[[#This Row],[CléRize]])</f>
        <v>4.048582995951417E-3</v>
      </c>
      <c r="T61" s="186" t="str">
        <f>IF(COUNTIF(Total,T_sept_dec[[#This Row],[Secteur organisateur]]),"Total_"&amp;T_sept_dec[[#This Row],[Enseignant référent (Nom Prénom)]],"")</f>
        <v/>
      </c>
      <c r="U61" s="186">
        <f>1/COUNTIF(T_sept_dec[cléTotal],T_sept_dec[[#This Row],[cléTotal]])</f>
        <v>4.1841004184100415E-3</v>
      </c>
    </row>
    <row r="62" spans="3:21">
      <c r="K62" s="21" t="str">
        <f>IF(COUNTIF(Maternelle,E62)=1,listes!$T$1,IF(COUNTIF(Elémentaire,E62)=1,listes!$U$1,IF(COUNTIF(Collège,E62)=1,listes!$V$1,IF(COUNTIF(Lycée,E62)=1,listes!$W$1,""))))</f>
        <v/>
      </c>
      <c r="L62" s="21" t="str">
        <f>IF(COUNTIF(Perralière,D62)=1,listes!$P$1,IF(COUNTIF(Buers,D62)=1,listes!$J$1,IF(COUNTIF(Charpennes,D62)=1,listes!$K$1,IF(COUNTIF(Cusset,D62)=1,listes!$L$1,IF(COUNTIF(Cyprien,D62)=1,listes!$M$1,IF(COUNTIF(Ferrandière,D62)=1,listes!$N$1,IF(COUNTIF(Gratteciel,D62)=1,listes!$O$1,IF(COUNTIF(Saintjean,D62)=1,listes!$Q$1,IF(COUNTIF(horsvilleurbanne,D62)=1,listes!$R$1,"")))))))))</f>
        <v/>
      </c>
      <c r="M62" s="21" t="str">
        <f t="shared" si="0"/>
        <v/>
      </c>
      <c r="N62" s="21" t="str">
        <f>T_sept_dec[[#This Row],[Etablissement accueillant]]&amp;"-"&amp;T_sept_dec[[#This Row],[Enseignant référent (Nom Prénom)]]</f>
        <v>-</v>
      </c>
      <c r="O62" s="21">
        <f>1/COUNTIF(T_sept_dec[CléEtablissement],T_sept_dec[[#This Row],[CléEtablissement]])</f>
        <v>4.1841004184100415E-3</v>
      </c>
      <c r="P6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2" s="186">
        <f>1/COUNTIF(T_sept_dec[CléRéseau-Rize horsmed],T_sept_dec[[#This Row],[CléRéseau-Rize horsmed]])</f>
        <v>4.1841004184100415E-3</v>
      </c>
      <c r="R62" s="186" t="str">
        <f>IF(COUNTIF(RIZE,T_sept_dec[[#This Row],[Secteur organisateur]]),"Rize_"&amp;T_sept_dec[[#This Row],[Enseignant référent (Nom Prénom)]],"")</f>
        <v/>
      </c>
      <c r="S62" s="186">
        <f>1/COUNTIF(T_sept_dec[CléRize],T_sept_dec[[#This Row],[CléRize]])</f>
        <v>4.048582995951417E-3</v>
      </c>
      <c r="T62" s="186" t="str">
        <f>IF(COUNTIF(Total,T_sept_dec[[#This Row],[Secteur organisateur]]),"Total_"&amp;T_sept_dec[[#This Row],[Enseignant référent (Nom Prénom)]],"")</f>
        <v/>
      </c>
      <c r="U62" s="186">
        <f>1/COUNTIF(T_sept_dec[cléTotal],T_sept_dec[[#This Row],[cléTotal]])</f>
        <v>4.1841004184100415E-3</v>
      </c>
    </row>
    <row r="63" spans="3:21">
      <c r="K63" s="21" t="str">
        <f>IF(COUNTIF(Maternelle,E63)=1,listes!$T$1,IF(COUNTIF(Elémentaire,E63)=1,listes!$U$1,IF(COUNTIF(Collège,E63)=1,listes!$V$1,IF(COUNTIF(Lycée,E63)=1,listes!$W$1,""))))</f>
        <v/>
      </c>
      <c r="L63" s="21" t="str">
        <f>IF(COUNTIF(Perralière,D63)=1,listes!$P$1,IF(COUNTIF(Buers,D63)=1,listes!$J$1,IF(COUNTIF(Charpennes,D63)=1,listes!$K$1,IF(COUNTIF(Cusset,D63)=1,listes!$L$1,IF(COUNTIF(Cyprien,D63)=1,listes!$M$1,IF(COUNTIF(Ferrandière,D63)=1,listes!$N$1,IF(COUNTIF(Gratteciel,D63)=1,listes!$O$1,IF(COUNTIF(Saintjean,D63)=1,listes!$Q$1,IF(COUNTIF(horsvilleurbanne,D63)=1,listes!$R$1,"")))))))))</f>
        <v/>
      </c>
      <c r="M63" s="21" t="str">
        <f t="shared" si="0"/>
        <v/>
      </c>
      <c r="N63" s="21" t="str">
        <f>T_sept_dec[[#This Row],[Etablissement accueillant]]&amp;"-"&amp;T_sept_dec[[#This Row],[Enseignant référent (Nom Prénom)]]</f>
        <v>-</v>
      </c>
      <c r="O63" s="21">
        <f>1/COUNTIF(T_sept_dec[CléEtablissement],T_sept_dec[[#This Row],[CléEtablissement]])</f>
        <v>4.1841004184100415E-3</v>
      </c>
      <c r="P6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3" s="186">
        <f>1/COUNTIF(T_sept_dec[CléRéseau-Rize horsmed],T_sept_dec[[#This Row],[CléRéseau-Rize horsmed]])</f>
        <v>4.1841004184100415E-3</v>
      </c>
      <c r="R63" s="186" t="str">
        <f>IF(COUNTIF(RIZE,T_sept_dec[[#This Row],[Secteur organisateur]]),"Rize_"&amp;T_sept_dec[[#This Row],[Enseignant référent (Nom Prénom)]],"")</f>
        <v/>
      </c>
      <c r="S63" s="186">
        <f>1/COUNTIF(T_sept_dec[CléRize],T_sept_dec[[#This Row],[CléRize]])</f>
        <v>4.048582995951417E-3</v>
      </c>
      <c r="T63" s="186" t="str">
        <f>IF(COUNTIF(Total,T_sept_dec[[#This Row],[Secteur organisateur]]),"Total_"&amp;T_sept_dec[[#This Row],[Enseignant référent (Nom Prénom)]],"")</f>
        <v/>
      </c>
      <c r="U63" s="186">
        <f>1/COUNTIF(T_sept_dec[cléTotal],T_sept_dec[[#This Row],[cléTotal]])</f>
        <v>4.1841004184100415E-3</v>
      </c>
    </row>
    <row r="64" spans="3:21">
      <c r="K64" s="21" t="str">
        <f>IF(COUNTIF(Maternelle,E64)=1,listes!$T$1,IF(COUNTIF(Elémentaire,E64)=1,listes!$U$1,IF(COUNTIF(Collège,E64)=1,listes!$V$1,IF(COUNTIF(Lycée,E64)=1,listes!$W$1,""))))</f>
        <v/>
      </c>
      <c r="L64" s="21" t="str">
        <f>IF(COUNTIF(Perralière,D64)=1,listes!$P$1,IF(COUNTIF(Buers,D64)=1,listes!$J$1,IF(COUNTIF(Charpennes,D64)=1,listes!$K$1,IF(COUNTIF(Cusset,D64)=1,listes!$L$1,IF(COUNTIF(Cyprien,D64)=1,listes!$M$1,IF(COUNTIF(Ferrandière,D64)=1,listes!$N$1,IF(COUNTIF(Gratteciel,D64)=1,listes!$O$1,IF(COUNTIF(Saintjean,D64)=1,listes!$Q$1,IF(COUNTIF(horsvilleurbanne,D64)=1,listes!$R$1,"")))))))))</f>
        <v/>
      </c>
      <c r="M64" s="21" t="str">
        <f t="shared" si="0"/>
        <v/>
      </c>
      <c r="N64" s="21" t="str">
        <f>T_sept_dec[[#This Row],[Etablissement accueillant]]&amp;"-"&amp;T_sept_dec[[#This Row],[Enseignant référent (Nom Prénom)]]</f>
        <v>-</v>
      </c>
      <c r="O64" s="21">
        <f>1/COUNTIF(T_sept_dec[CléEtablissement],T_sept_dec[[#This Row],[CléEtablissement]])</f>
        <v>4.1841004184100415E-3</v>
      </c>
      <c r="P6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4" s="186">
        <f>1/COUNTIF(T_sept_dec[CléRéseau-Rize horsmed],T_sept_dec[[#This Row],[CléRéseau-Rize horsmed]])</f>
        <v>4.1841004184100415E-3</v>
      </c>
      <c r="R64" s="186" t="str">
        <f>IF(COUNTIF(RIZE,T_sept_dec[[#This Row],[Secteur organisateur]]),"Rize_"&amp;T_sept_dec[[#This Row],[Enseignant référent (Nom Prénom)]],"")</f>
        <v/>
      </c>
      <c r="S64" s="186">
        <f>1/COUNTIF(T_sept_dec[CléRize],T_sept_dec[[#This Row],[CléRize]])</f>
        <v>4.048582995951417E-3</v>
      </c>
      <c r="T64" s="186" t="str">
        <f>IF(COUNTIF(Total,T_sept_dec[[#This Row],[Secteur organisateur]]),"Total_"&amp;T_sept_dec[[#This Row],[Enseignant référent (Nom Prénom)]],"")</f>
        <v/>
      </c>
      <c r="U64" s="186">
        <f>1/COUNTIF(T_sept_dec[cléTotal],T_sept_dec[[#This Row],[cléTotal]])</f>
        <v>4.1841004184100415E-3</v>
      </c>
    </row>
    <row r="65" spans="11:21">
      <c r="K65" s="21" t="str">
        <f>IF(COUNTIF(Maternelle,E65)=1,listes!$T$1,IF(COUNTIF(Elémentaire,E65)=1,listes!$U$1,IF(COUNTIF(Collège,E65)=1,listes!$V$1,IF(COUNTIF(Lycée,E65)=1,listes!$W$1,""))))</f>
        <v/>
      </c>
      <c r="L65" s="21" t="str">
        <f>IF(COUNTIF(Perralière,D65)=1,listes!$P$1,IF(COUNTIF(Buers,D65)=1,listes!$J$1,IF(COUNTIF(Charpennes,D65)=1,listes!$K$1,IF(COUNTIF(Cusset,D65)=1,listes!$L$1,IF(COUNTIF(Cyprien,D65)=1,listes!$M$1,IF(COUNTIF(Ferrandière,D65)=1,listes!$N$1,IF(COUNTIF(Gratteciel,D65)=1,listes!$O$1,IF(COUNTIF(Saintjean,D65)=1,listes!$Q$1,IF(COUNTIF(horsvilleurbanne,D65)=1,listes!$R$1,"")))))))))</f>
        <v/>
      </c>
      <c r="M65" s="21" t="str">
        <f t="shared" si="0"/>
        <v/>
      </c>
      <c r="N65" s="21" t="str">
        <f>T_sept_dec[[#This Row],[Etablissement accueillant]]&amp;"-"&amp;T_sept_dec[[#This Row],[Enseignant référent (Nom Prénom)]]</f>
        <v>-</v>
      </c>
      <c r="O65" s="21">
        <f>1/COUNTIF(T_sept_dec[CléEtablissement],T_sept_dec[[#This Row],[CléEtablissement]])</f>
        <v>4.1841004184100415E-3</v>
      </c>
      <c r="P6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5" s="186">
        <f>1/COUNTIF(T_sept_dec[CléRéseau-Rize horsmed],T_sept_dec[[#This Row],[CléRéseau-Rize horsmed]])</f>
        <v>4.1841004184100415E-3</v>
      </c>
      <c r="R65" s="186" t="str">
        <f>IF(COUNTIF(RIZE,T_sept_dec[[#This Row],[Secteur organisateur]]),"Rize_"&amp;T_sept_dec[[#This Row],[Enseignant référent (Nom Prénom)]],"")</f>
        <v/>
      </c>
      <c r="S65" s="186">
        <f>1/COUNTIF(T_sept_dec[CléRize],T_sept_dec[[#This Row],[CléRize]])</f>
        <v>4.048582995951417E-3</v>
      </c>
      <c r="T65" s="186" t="str">
        <f>IF(COUNTIF(Total,T_sept_dec[[#This Row],[Secteur organisateur]]),"Total_"&amp;T_sept_dec[[#This Row],[Enseignant référent (Nom Prénom)]],"")</f>
        <v/>
      </c>
      <c r="U65" s="186">
        <f>1/COUNTIF(T_sept_dec[cléTotal],T_sept_dec[[#This Row],[cléTotal]])</f>
        <v>4.1841004184100415E-3</v>
      </c>
    </row>
    <row r="66" spans="11:21">
      <c r="K66" s="21" t="str">
        <f>IF(COUNTIF(Maternelle,E66)=1,listes!$T$1,IF(COUNTIF(Elémentaire,E66)=1,listes!$U$1,IF(COUNTIF(Collège,E66)=1,listes!$V$1,IF(COUNTIF(Lycée,E66)=1,listes!$W$1,""))))</f>
        <v/>
      </c>
      <c r="L66" s="21" t="str">
        <f>IF(COUNTIF(Perralière,D66)=1,listes!$P$1,IF(COUNTIF(Buers,D66)=1,listes!$J$1,IF(COUNTIF(Charpennes,D66)=1,listes!$K$1,IF(COUNTIF(Cusset,D66)=1,listes!$L$1,IF(COUNTIF(Cyprien,D66)=1,listes!$M$1,IF(COUNTIF(Ferrandière,D66)=1,listes!$N$1,IF(COUNTIF(Gratteciel,D66)=1,listes!$O$1,IF(COUNTIF(Saintjean,D66)=1,listes!$Q$1,IF(COUNTIF(horsvilleurbanne,D66)=1,listes!$R$1,"")))))))))</f>
        <v/>
      </c>
      <c r="M66" s="21" t="str">
        <f t="shared" ref="M66:M129" si="1">IF(COUNTIF(FDL,B66)=1,"FDL",IF(COUNTIF(RIZE,B66)=1,"RIZE",IF(COUNTIF(MLIS,B66)=1,"MLIS",IF(COUNTIF(PACBUS,B66)=1,"PAC-BUS",IF(COUNTIF(Tonkin,B66)=1,"Tonkin","")))))</f>
        <v/>
      </c>
      <c r="N66" s="21" t="str">
        <f>T_sept_dec[[#This Row],[Etablissement accueillant]]&amp;"-"&amp;T_sept_dec[[#This Row],[Enseignant référent (Nom Prénom)]]</f>
        <v>-</v>
      </c>
      <c r="O66" s="21">
        <f>1/COUNTIF(T_sept_dec[CléEtablissement],T_sept_dec[[#This Row],[CléEtablissement]])</f>
        <v>4.1841004184100415E-3</v>
      </c>
      <c r="P6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6" s="186">
        <f>1/COUNTIF(T_sept_dec[CléRéseau-Rize horsmed],T_sept_dec[[#This Row],[CléRéseau-Rize horsmed]])</f>
        <v>4.1841004184100415E-3</v>
      </c>
      <c r="R66" s="186" t="str">
        <f>IF(COUNTIF(RIZE,T_sept_dec[[#This Row],[Secteur organisateur]]),"Rize_"&amp;T_sept_dec[[#This Row],[Enseignant référent (Nom Prénom)]],"")</f>
        <v/>
      </c>
      <c r="S66" s="186">
        <f>1/COUNTIF(T_sept_dec[CléRize],T_sept_dec[[#This Row],[CléRize]])</f>
        <v>4.048582995951417E-3</v>
      </c>
      <c r="T66" s="186" t="str">
        <f>IF(COUNTIF(Total,T_sept_dec[[#This Row],[Secteur organisateur]]),"Total_"&amp;T_sept_dec[[#This Row],[Enseignant référent (Nom Prénom)]],"")</f>
        <v/>
      </c>
      <c r="U66" s="186">
        <f>1/COUNTIF(T_sept_dec[cléTotal],T_sept_dec[[#This Row],[cléTotal]])</f>
        <v>4.1841004184100415E-3</v>
      </c>
    </row>
    <row r="67" spans="11:21">
      <c r="K67" s="21" t="str">
        <f>IF(COUNTIF(Maternelle,E67)=1,listes!$T$1,IF(COUNTIF(Elémentaire,E67)=1,listes!$U$1,IF(COUNTIF(Collège,E67)=1,listes!$V$1,IF(COUNTIF(Lycée,E67)=1,listes!$W$1,""))))</f>
        <v/>
      </c>
      <c r="L67" s="21" t="str">
        <f>IF(COUNTIF(Perralière,D67)=1,listes!$P$1,IF(COUNTIF(Buers,D67)=1,listes!$J$1,IF(COUNTIF(Charpennes,D67)=1,listes!$K$1,IF(COUNTIF(Cusset,D67)=1,listes!$L$1,IF(COUNTIF(Cyprien,D67)=1,listes!$M$1,IF(COUNTIF(Ferrandière,D67)=1,listes!$N$1,IF(COUNTIF(Gratteciel,D67)=1,listes!$O$1,IF(COUNTIF(Saintjean,D67)=1,listes!$Q$1,IF(COUNTIF(horsvilleurbanne,D67)=1,listes!$R$1,"")))))))))</f>
        <v/>
      </c>
      <c r="M67" s="21" t="str">
        <f t="shared" si="1"/>
        <v/>
      </c>
      <c r="N67" s="21" t="str">
        <f>T_sept_dec[[#This Row],[Etablissement accueillant]]&amp;"-"&amp;T_sept_dec[[#This Row],[Enseignant référent (Nom Prénom)]]</f>
        <v>-</v>
      </c>
      <c r="O67" s="21">
        <f>1/COUNTIF(T_sept_dec[CléEtablissement],T_sept_dec[[#This Row],[CléEtablissement]])</f>
        <v>4.1841004184100415E-3</v>
      </c>
      <c r="P6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7" s="186">
        <f>1/COUNTIF(T_sept_dec[CléRéseau-Rize horsmed],T_sept_dec[[#This Row],[CléRéseau-Rize horsmed]])</f>
        <v>4.1841004184100415E-3</v>
      </c>
      <c r="R67" s="186" t="str">
        <f>IF(COUNTIF(RIZE,T_sept_dec[[#This Row],[Secteur organisateur]]),"Rize_"&amp;T_sept_dec[[#This Row],[Enseignant référent (Nom Prénom)]],"")</f>
        <v/>
      </c>
      <c r="S67" s="186">
        <f>1/COUNTIF(T_sept_dec[CléRize],T_sept_dec[[#This Row],[CléRize]])</f>
        <v>4.048582995951417E-3</v>
      </c>
      <c r="T67" s="186" t="str">
        <f>IF(COUNTIF(Total,T_sept_dec[[#This Row],[Secteur organisateur]]),"Total_"&amp;T_sept_dec[[#This Row],[Enseignant référent (Nom Prénom)]],"")</f>
        <v/>
      </c>
      <c r="U67" s="186">
        <f>1/COUNTIF(T_sept_dec[cléTotal],T_sept_dec[[#This Row],[cléTotal]])</f>
        <v>4.1841004184100415E-3</v>
      </c>
    </row>
    <row r="68" spans="11:21">
      <c r="K68" s="21" t="str">
        <f>IF(COUNTIF(Maternelle,E68)=1,listes!$T$1,IF(COUNTIF(Elémentaire,E68)=1,listes!$U$1,IF(COUNTIF(Collège,E68)=1,listes!$V$1,IF(COUNTIF(Lycée,E68)=1,listes!$W$1,""))))</f>
        <v/>
      </c>
      <c r="L68" s="21" t="str">
        <f>IF(COUNTIF(Perralière,D68)=1,listes!$P$1,IF(COUNTIF(Buers,D68)=1,listes!$J$1,IF(COUNTIF(Charpennes,D68)=1,listes!$K$1,IF(COUNTIF(Cusset,D68)=1,listes!$L$1,IF(COUNTIF(Cyprien,D68)=1,listes!$M$1,IF(COUNTIF(Ferrandière,D68)=1,listes!$N$1,IF(COUNTIF(Gratteciel,D68)=1,listes!$O$1,IF(COUNTIF(Saintjean,D68)=1,listes!$Q$1,IF(COUNTIF(horsvilleurbanne,D68)=1,listes!$R$1,"")))))))))</f>
        <v/>
      </c>
      <c r="M68" s="21" t="str">
        <f t="shared" si="1"/>
        <v/>
      </c>
      <c r="N68" s="21" t="str">
        <f>T_sept_dec[[#This Row],[Etablissement accueillant]]&amp;"-"&amp;T_sept_dec[[#This Row],[Enseignant référent (Nom Prénom)]]</f>
        <v>-</v>
      </c>
      <c r="O68" s="21">
        <f>1/COUNTIF(T_sept_dec[CléEtablissement],T_sept_dec[[#This Row],[CléEtablissement]])</f>
        <v>4.1841004184100415E-3</v>
      </c>
      <c r="P6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8" s="186">
        <f>1/COUNTIF(T_sept_dec[CléRéseau-Rize horsmed],T_sept_dec[[#This Row],[CléRéseau-Rize horsmed]])</f>
        <v>4.1841004184100415E-3</v>
      </c>
      <c r="R68" s="186" t="str">
        <f>IF(COUNTIF(RIZE,T_sept_dec[[#This Row],[Secteur organisateur]]),"Rize_"&amp;T_sept_dec[[#This Row],[Enseignant référent (Nom Prénom)]],"")</f>
        <v/>
      </c>
      <c r="S68" s="186">
        <f>1/COUNTIF(T_sept_dec[CléRize],T_sept_dec[[#This Row],[CléRize]])</f>
        <v>4.048582995951417E-3</v>
      </c>
      <c r="T68" s="186" t="str">
        <f>IF(COUNTIF(Total,T_sept_dec[[#This Row],[Secteur organisateur]]),"Total_"&amp;T_sept_dec[[#This Row],[Enseignant référent (Nom Prénom)]],"")</f>
        <v/>
      </c>
      <c r="U68" s="186">
        <f>1/COUNTIF(T_sept_dec[cléTotal],T_sept_dec[[#This Row],[cléTotal]])</f>
        <v>4.1841004184100415E-3</v>
      </c>
    </row>
    <row r="69" spans="11:21">
      <c r="K69" s="21" t="str">
        <f>IF(COUNTIF(Maternelle,E69)=1,listes!$T$1,IF(COUNTIF(Elémentaire,E69)=1,listes!$U$1,IF(COUNTIF(Collège,E69)=1,listes!$V$1,IF(COUNTIF(Lycée,E69)=1,listes!$W$1,""))))</f>
        <v/>
      </c>
      <c r="L69" s="21" t="str">
        <f>IF(COUNTIF(Perralière,D69)=1,listes!$P$1,IF(COUNTIF(Buers,D69)=1,listes!$J$1,IF(COUNTIF(Charpennes,D69)=1,listes!$K$1,IF(COUNTIF(Cusset,D69)=1,listes!$L$1,IF(COUNTIF(Cyprien,D69)=1,listes!$M$1,IF(COUNTIF(Ferrandière,D69)=1,listes!$N$1,IF(COUNTIF(Gratteciel,D69)=1,listes!$O$1,IF(COUNTIF(Saintjean,D69)=1,listes!$Q$1,IF(COUNTIF(horsvilleurbanne,D69)=1,listes!$R$1,"")))))))))</f>
        <v/>
      </c>
      <c r="M69" s="21" t="str">
        <f t="shared" si="1"/>
        <v/>
      </c>
      <c r="N69" s="21" t="str">
        <f>T_sept_dec[[#This Row],[Etablissement accueillant]]&amp;"-"&amp;T_sept_dec[[#This Row],[Enseignant référent (Nom Prénom)]]</f>
        <v>-</v>
      </c>
      <c r="O69" s="21">
        <f>1/COUNTIF(T_sept_dec[CléEtablissement],T_sept_dec[[#This Row],[CléEtablissement]])</f>
        <v>4.1841004184100415E-3</v>
      </c>
      <c r="P6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69" s="186">
        <f>1/COUNTIF(T_sept_dec[CléRéseau-Rize horsmed],T_sept_dec[[#This Row],[CléRéseau-Rize horsmed]])</f>
        <v>4.1841004184100415E-3</v>
      </c>
      <c r="R69" s="186" t="str">
        <f>IF(COUNTIF(RIZE,T_sept_dec[[#This Row],[Secteur organisateur]]),"Rize_"&amp;T_sept_dec[[#This Row],[Enseignant référent (Nom Prénom)]],"")</f>
        <v/>
      </c>
      <c r="S69" s="186">
        <f>1/COUNTIF(T_sept_dec[CléRize],T_sept_dec[[#This Row],[CléRize]])</f>
        <v>4.048582995951417E-3</v>
      </c>
      <c r="T69" s="186" t="str">
        <f>IF(COUNTIF(Total,T_sept_dec[[#This Row],[Secteur organisateur]]),"Total_"&amp;T_sept_dec[[#This Row],[Enseignant référent (Nom Prénom)]],"")</f>
        <v/>
      </c>
      <c r="U69" s="186">
        <f>1/COUNTIF(T_sept_dec[cléTotal],T_sept_dec[[#This Row],[cléTotal]])</f>
        <v>4.1841004184100415E-3</v>
      </c>
    </row>
    <row r="70" spans="11:21">
      <c r="K70" s="21" t="str">
        <f>IF(COUNTIF(Maternelle,E70)=1,listes!$T$1,IF(COUNTIF(Elémentaire,E70)=1,listes!$U$1,IF(COUNTIF(Collège,E70)=1,listes!$V$1,IF(COUNTIF(Lycée,E70)=1,listes!$W$1,""))))</f>
        <v/>
      </c>
      <c r="L70" s="21" t="str">
        <f>IF(COUNTIF(Perralière,D70)=1,listes!$P$1,IF(COUNTIF(Buers,D70)=1,listes!$J$1,IF(COUNTIF(Charpennes,D70)=1,listes!$K$1,IF(COUNTIF(Cusset,D70)=1,listes!$L$1,IF(COUNTIF(Cyprien,D70)=1,listes!$M$1,IF(COUNTIF(Ferrandière,D70)=1,listes!$N$1,IF(COUNTIF(Gratteciel,D70)=1,listes!$O$1,IF(COUNTIF(Saintjean,D70)=1,listes!$Q$1,IF(COUNTIF(horsvilleurbanne,D70)=1,listes!$R$1,"")))))))))</f>
        <v/>
      </c>
      <c r="M70" s="21" t="str">
        <f t="shared" si="1"/>
        <v/>
      </c>
      <c r="N70" s="21" t="str">
        <f>T_sept_dec[[#This Row],[Etablissement accueillant]]&amp;"-"&amp;T_sept_dec[[#This Row],[Enseignant référent (Nom Prénom)]]</f>
        <v>-</v>
      </c>
      <c r="O70" s="21">
        <f>1/COUNTIF(T_sept_dec[CléEtablissement],T_sept_dec[[#This Row],[CléEtablissement]])</f>
        <v>4.1841004184100415E-3</v>
      </c>
      <c r="P7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0" s="186">
        <f>1/COUNTIF(T_sept_dec[CléRéseau-Rize horsmed],T_sept_dec[[#This Row],[CléRéseau-Rize horsmed]])</f>
        <v>4.1841004184100415E-3</v>
      </c>
      <c r="R70" s="186" t="str">
        <f>IF(COUNTIF(RIZE,T_sept_dec[[#This Row],[Secteur organisateur]]),"Rize_"&amp;T_sept_dec[[#This Row],[Enseignant référent (Nom Prénom)]],"")</f>
        <v/>
      </c>
      <c r="S70" s="186">
        <f>1/COUNTIF(T_sept_dec[CléRize],T_sept_dec[[#This Row],[CléRize]])</f>
        <v>4.048582995951417E-3</v>
      </c>
      <c r="T70" s="186" t="str">
        <f>IF(COUNTIF(Total,T_sept_dec[[#This Row],[Secteur organisateur]]),"Total_"&amp;T_sept_dec[[#This Row],[Enseignant référent (Nom Prénom)]],"")</f>
        <v/>
      </c>
      <c r="U70" s="186">
        <f>1/COUNTIF(T_sept_dec[cléTotal],T_sept_dec[[#This Row],[cléTotal]])</f>
        <v>4.1841004184100415E-3</v>
      </c>
    </row>
    <row r="71" spans="11:21">
      <c r="K71" s="21" t="str">
        <f>IF(COUNTIF(Maternelle,E71)=1,listes!$T$1,IF(COUNTIF(Elémentaire,E71)=1,listes!$U$1,IF(COUNTIF(Collège,E71)=1,listes!$V$1,IF(COUNTIF(Lycée,E71)=1,listes!$W$1,""))))</f>
        <v/>
      </c>
      <c r="L71" s="21" t="str">
        <f>IF(COUNTIF(Perralière,D71)=1,listes!$P$1,IF(COUNTIF(Buers,D71)=1,listes!$J$1,IF(COUNTIF(Charpennes,D71)=1,listes!$K$1,IF(COUNTIF(Cusset,D71)=1,listes!$L$1,IF(COUNTIF(Cyprien,D71)=1,listes!$M$1,IF(COUNTIF(Ferrandière,D71)=1,listes!$N$1,IF(COUNTIF(Gratteciel,D71)=1,listes!$O$1,IF(COUNTIF(Saintjean,D71)=1,listes!$Q$1,IF(COUNTIF(horsvilleurbanne,D71)=1,listes!$R$1,"")))))))))</f>
        <v/>
      </c>
      <c r="M71" s="21" t="str">
        <f t="shared" si="1"/>
        <v/>
      </c>
      <c r="N71" s="21" t="str">
        <f>T_sept_dec[[#This Row],[Etablissement accueillant]]&amp;"-"&amp;T_sept_dec[[#This Row],[Enseignant référent (Nom Prénom)]]</f>
        <v>-</v>
      </c>
      <c r="O71" s="21">
        <f>1/COUNTIF(T_sept_dec[CléEtablissement],T_sept_dec[[#This Row],[CléEtablissement]])</f>
        <v>4.1841004184100415E-3</v>
      </c>
      <c r="P7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1" s="186">
        <f>1/COUNTIF(T_sept_dec[CléRéseau-Rize horsmed],T_sept_dec[[#This Row],[CléRéseau-Rize horsmed]])</f>
        <v>4.1841004184100415E-3</v>
      </c>
      <c r="R71" s="186" t="str">
        <f>IF(COUNTIF(RIZE,T_sept_dec[[#This Row],[Secteur organisateur]]),"Rize_"&amp;T_sept_dec[[#This Row],[Enseignant référent (Nom Prénom)]],"")</f>
        <v/>
      </c>
      <c r="S71" s="186">
        <f>1/COUNTIF(T_sept_dec[CléRize],T_sept_dec[[#This Row],[CléRize]])</f>
        <v>4.048582995951417E-3</v>
      </c>
      <c r="T71" s="186" t="str">
        <f>IF(COUNTIF(Total,T_sept_dec[[#This Row],[Secteur organisateur]]),"Total_"&amp;T_sept_dec[[#This Row],[Enseignant référent (Nom Prénom)]],"")</f>
        <v/>
      </c>
      <c r="U71" s="186">
        <f>1/COUNTIF(T_sept_dec[cléTotal],T_sept_dec[[#This Row],[cléTotal]])</f>
        <v>4.1841004184100415E-3</v>
      </c>
    </row>
    <row r="72" spans="11:21">
      <c r="K72" s="21" t="str">
        <f>IF(COUNTIF(Maternelle,E72)=1,listes!$T$1,IF(COUNTIF(Elémentaire,E72)=1,listes!$U$1,IF(COUNTIF(Collège,E72)=1,listes!$V$1,IF(COUNTIF(Lycée,E72)=1,listes!$W$1,""))))</f>
        <v/>
      </c>
      <c r="L72" s="21" t="str">
        <f>IF(COUNTIF(Perralière,D72)=1,listes!$P$1,IF(COUNTIF(Buers,D72)=1,listes!$J$1,IF(COUNTIF(Charpennes,D72)=1,listes!$K$1,IF(COUNTIF(Cusset,D72)=1,listes!$L$1,IF(COUNTIF(Cyprien,D72)=1,listes!$M$1,IF(COUNTIF(Ferrandière,D72)=1,listes!$N$1,IF(COUNTIF(Gratteciel,D72)=1,listes!$O$1,IF(COUNTIF(Saintjean,D72)=1,listes!$Q$1,IF(COUNTIF(horsvilleurbanne,D72)=1,listes!$R$1,"")))))))))</f>
        <v/>
      </c>
      <c r="M72" s="21" t="str">
        <f t="shared" si="1"/>
        <v/>
      </c>
      <c r="N72" s="21" t="str">
        <f>T_sept_dec[[#This Row],[Etablissement accueillant]]&amp;"-"&amp;T_sept_dec[[#This Row],[Enseignant référent (Nom Prénom)]]</f>
        <v>-</v>
      </c>
      <c r="O72" s="21">
        <f>1/COUNTIF(T_sept_dec[CléEtablissement],T_sept_dec[[#This Row],[CléEtablissement]])</f>
        <v>4.1841004184100415E-3</v>
      </c>
      <c r="P7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2" s="186">
        <f>1/COUNTIF(T_sept_dec[CléRéseau-Rize horsmed],T_sept_dec[[#This Row],[CléRéseau-Rize horsmed]])</f>
        <v>4.1841004184100415E-3</v>
      </c>
      <c r="R72" s="186" t="str">
        <f>IF(COUNTIF(RIZE,T_sept_dec[[#This Row],[Secteur organisateur]]),"Rize_"&amp;T_sept_dec[[#This Row],[Enseignant référent (Nom Prénom)]],"")</f>
        <v/>
      </c>
      <c r="S72" s="186">
        <f>1/COUNTIF(T_sept_dec[CléRize],T_sept_dec[[#This Row],[CléRize]])</f>
        <v>4.048582995951417E-3</v>
      </c>
      <c r="T72" s="186" t="str">
        <f>IF(COUNTIF(Total,T_sept_dec[[#This Row],[Secteur organisateur]]),"Total_"&amp;T_sept_dec[[#This Row],[Enseignant référent (Nom Prénom)]],"")</f>
        <v/>
      </c>
      <c r="U72" s="186">
        <f>1/COUNTIF(T_sept_dec[cléTotal],T_sept_dec[[#This Row],[cléTotal]])</f>
        <v>4.1841004184100415E-3</v>
      </c>
    </row>
    <row r="73" spans="11:21">
      <c r="K73" s="21" t="str">
        <f>IF(COUNTIF(Maternelle,E73)=1,listes!$T$1,IF(COUNTIF(Elémentaire,E73)=1,listes!$U$1,IF(COUNTIF(Collège,E73)=1,listes!$V$1,IF(COUNTIF(Lycée,E73)=1,listes!$W$1,""))))</f>
        <v/>
      </c>
      <c r="L73" s="21" t="str">
        <f>IF(COUNTIF(Perralière,D73)=1,listes!$P$1,IF(COUNTIF(Buers,D73)=1,listes!$J$1,IF(COUNTIF(Charpennes,D73)=1,listes!$K$1,IF(COUNTIF(Cusset,D73)=1,listes!$L$1,IF(COUNTIF(Cyprien,D73)=1,listes!$M$1,IF(COUNTIF(Ferrandière,D73)=1,listes!$N$1,IF(COUNTIF(Gratteciel,D73)=1,listes!$O$1,IF(COUNTIF(Saintjean,D73)=1,listes!$Q$1,IF(COUNTIF(horsvilleurbanne,D73)=1,listes!$R$1,"")))))))))</f>
        <v/>
      </c>
      <c r="M73" s="21" t="str">
        <f t="shared" si="1"/>
        <v/>
      </c>
      <c r="N73" s="21" t="str">
        <f>T_sept_dec[[#This Row],[Etablissement accueillant]]&amp;"-"&amp;T_sept_dec[[#This Row],[Enseignant référent (Nom Prénom)]]</f>
        <v>-</v>
      </c>
      <c r="O73" s="21">
        <f>1/COUNTIF(T_sept_dec[CléEtablissement],T_sept_dec[[#This Row],[CléEtablissement]])</f>
        <v>4.1841004184100415E-3</v>
      </c>
      <c r="P7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3" s="186">
        <f>1/COUNTIF(T_sept_dec[CléRéseau-Rize horsmed],T_sept_dec[[#This Row],[CléRéseau-Rize horsmed]])</f>
        <v>4.1841004184100415E-3</v>
      </c>
      <c r="R73" s="186" t="str">
        <f>IF(COUNTIF(RIZE,T_sept_dec[[#This Row],[Secteur organisateur]]),"Rize_"&amp;T_sept_dec[[#This Row],[Enseignant référent (Nom Prénom)]],"")</f>
        <v/>
      </c>
      <c r="S73" s="186">
        <f>1/COUNTIF(T_sept_dec[CléRize],T_sept_dec[[#This Row],[CléRize]])</f>
        <v>4.048582995951417E-3</v>
      </c>
      <c r="T73" s="186" t="str">
        <f>IF(COUNTIF(Total,T_sept_dec[[#This Row],[Secteur organisateur]]),"Total_"&amp;T_sept_dec[[#This Row],[Enseignant référent (Nom Prénom)]],"")</f>
        <v/>
      </c>
      <c r="U73" s="186">
        <f>1/COUNTIF(T_sept_dec[cléTotal],T_sept_dec[[#This Row],[cléTotal]])</f>
        <v>4.1841004184100415E-3</v>
      </c>
    </row>
    <row r="74" spans="11:21">
      <c r="K74" s="21" t="str">
        <f>IF(COUNTIF(Maternelle,E74)=1,listes!$T$1,IF(COUNTIF(Elémentaire,E74)=1,listes!$U$1,IF(COUNTIF(Collège,E74)=1,listes!$V$1,IF(COUNTIF(Lycée,E74)=1,listes!$W$1,""))))</f>
        <v/>
      </c>
      <c r="L74" s="21" t="str">
        <f>IF(COUNTIF(Perralière,D74)=1,listes!$P$1,IF(COUNTIF(Buers,D74)=1,listes!$J$1,IF(COUNTIF(Charpennes,D74)=1,listes!$K$1,IF(COUNTIF(Cusset,D74)=1,listes!$L$1,IF(COUNTIF(Cyprien,D74)=1,listes!$M$1,IF(COUNTIF(Ferrandière,D74)=1,listes!$N$1,IF(COUNTIF(Gratteciel,D74)=1,listes!$O$1,IF(COUNTIF(Saintjean,D74)=1,listes!$Q$1,IF(COUNTIF(horsvilleurbanne,D74)=1,listes!$R$1,"")))))))))</f>
        <v/>
      </c>
      <c r="M74" s="21" t="str">
        <f t="shared" si="1"/>
        <v/>
      </c>
      <c r="N74" s="21" t="str">
        <f>T_sept_dec[[#This Row],[Etablissement accueillant]]&amp;"-"&amp;T_sept_dec[[#This Row],[Enseignant référent (Nom Prénom)]]</f>
        <v>-</v>
      </c>
      <c r="O74" s="21">
        <f>1/COUNTIF(T_sept_dec[CléEtablissement],T_sept_dec[[#This Row],[CléEtablissement]])</f>
        <v>4.1841004184100415E-3</v>
      </c>
      <c r="P7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4" s="186">
        <f>1/COUNTIF(T_sept_dec[CléRéseau-Rize horsmed],T_sept_dec[[#This Row],[CléRéseau-Rize horsmed]])</f>
        <v>4.1841004184100415E-3</v>
      </c>
      <c r="R74" s="186" t="str">
        <f>IF(COUNTIF(RIZE,T_sept_dec[[#This Row],[Secteur organisateur]]),"Rize_"&amp;T_sept_dec[[#This Row],[Enseignant référent (Nom Prénom)]],"")</f>
        <v/>
      </c>
      <c r="S74" s="186">
        <f>1/COUNTIF(T_sept_dec[CléRize],T_sept_dec[[#This Row],[CléRize]])</f>
        <v>4.048582995951417E-3</v>
      </c>
      <c r="T74" s="186" t="str">
        <f>IF(COUNTIF(Total,T_sept_dec[[#This Row],[Secteur organisateur]]),"Total_"&amp;T_sept_dec[[#This Row],[Enseignant référent (Nom Prénom)]],"")</f>
        <v/>
      </c>
      <c r="U74" s="186">
        <f>1/COUNTIF(T_sept_dec[cléTotal],T_sept_dec[[#This Row],[cléTotal]])</f>
        <v>4.1841004184100415E-3</v>
      </c>
    </row>
    <row r="75" spans="11:21">
      <c r="K75" s="21" t="str">
        <f>IF(COUNTIF(Maternelle,E75)=1,listes!$T$1,IF(COUNTIF(Elémentaire,E75)=1,listes!$U$1,IF(COUNTIF(Collège,E75)=1,listes!$V$1,IF(COUNTIF(Lycée,E75)=1,listes!$W$1,""))))</f>
        <v/>
      </c>
      <c r="L75" s="21" t="str">
        <f>IF(COUNTIF(Perralière,D75)=1,listes!$P$1,IF(COUNTIF(Buers,D75)=1,listes!$J$1,IF(COUNTIF(Charpennes,D75)=1,listes!$K$1,IF(COUNTIF(Cusset,D75)=1,listes!$L$1,IF(COUNTIF(Cyprien,D75)=1,listes!$M$1,IF(COUNTIF(Ferrandière,D75)=1,listes!$N$1,IF(COUNTIF(Gratteciel,D75)=1,listes!$O$1,IF(COUNTIF(Saintjean,D75)=1,listes!$Q$1,IF(COUNTIF(horsvilleurbanne,D75)=1,listes!$R$1,"")))))))))</f>
        <v/>
      </c>
      <c r="M75" s="21" t="str">
        <f t="shared" si="1"/>
        <v/>
      </c>
      <c r="N75" s="21" t="str">
        <f>T_sept_dec[[#This Row],[Etablissement accueillant]]&amp;"-"&amp;T_sept_dec[[#This Row],[Enseignant référent (Nom Prénom)]]</f>
        <v>-</v>
      </c>
      <c r="O75" s="21">
        <f>1/COUNTIF(T_sept_dec[CléEtablissement],T_sept_dec[[#This Row],[CléEtablissement]])</f>
        <v>4.1841004184100415E-3</v>
      </c>
      <c r="P7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5" s="186">
        <f>1/COUNTIF(T_sept_dec[CléRéseau-Rize horsmed],T_sept_dec[[#This Row],[CléRéseau-Rize horsmed]])</f>
        <v>4.1841004184100415E-3</v>
      </c>
      <c r="R75" s="186" t="str">
        <f>IF(COUNTIF(RIZE,T_sept_dec[[#This Row],[Secteur organisateur]]),"Rize_"&amp;T_sept_dec[[#This Row],[Enseignant référent (Nom Prénom)]],"")</f>
        <v/>
      </c>
      <c r="S75" s="186">
        <f>1/COUNTIF(T_sept_dec[CléRize],T_sept_dec[[#This Row],[CléRize]])</f>
        <v>4.048582995951417E-3</v>
      </c>
      <c r="T75" s="186" t="str">
        <f>IF(COUNTIF(Total,T_sept_dec[[#This Row],[Secteur organisateur]]),"Total_"&amp;T_sept_dec[[#This Row],[Enseignant référent (Nom Prénom)]],"")</f>
        <v/>
      </c>
      <c r="U75" s="186">
        <f>1/COUNTIF(T_sept_dec[cléTotal],T_sept_dec[[#This Row],[cléTotal]])</f>
        <v>4.1841004184100415E-3</v>
      </c>
    </row>
    <row r="76" spans="11:21">
      <c r="K76" s="21" t="str">
        <f>IF(COUNTIF(Maternelle,E76)=1,listes!$T$1,IF(COUNTIF(Elémentaire,E76)=1,listes!$U$1,IF(COUNTIF(Collège,E76)=1,listes!$V$1,IF(COUNTIF(Lycée,E76)=1,listes!$W$1,""))))</f>
        <v/>
      </c>
      <c r="L76" s="21" t="str">
        <f>IF(COUNTIF(Perralière,D76)=1,listes!$P$1,IF(COUNTIF(Buers,D76)=1,listes!$J$1,IF(COUNTIF(Charpennes,D76)=1,listes!$K$1,IF(COUNTIF(Cusset,D76)=1,listes!$L$1,IF(COUNTIF(Cyprien,D76)=1,listes!$M$1,IF(COUNTIF(Ferrandière,D76)=1,listes!$N$1,IF(COUNTIF(Gratteciel,D76)=1,listes!$O$1,IF(COUNTIF(Saintjean,D76)=1,listes!$Q$1,IF(COUNTIF(horsvilleurbanne,D76)=1,listes!$R$1,"")))))))))</f>
        <v/>
      </c>
      <c r="M76" s="21" t="str">
        <f t="shared" si="1"/>
        <v/>
      </c>
      <c r="N76" s="21" t="str">
        <f>T_sept_dec[[#This Row],[Etablissement accueillant]]&amp;"-"&amp;T_sept_dec[[#This Row],[Enseignant référent (Nom Prénom)]]</f>
        <v>-</v>
      </c>
      <c r="O76" s="21">
        <f>1/COUNTIF(T_sept_dec[CléEtablissement],T_sept_dec[[#This Row],[CléEtablissement]])</f>
        <v>4.1841004184100415E-3</v>
      </c>
      <c r="P7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6" s="186">
        <f>1/COUNTIF(T_sept_dec[CléRéseau-Rize horsmed],T_sept_dec[[#This Row],[CléRéseau-Rize horsmed]])</f>
        <v>4.1841004184100415E-3</v>
      </c>
      <c r="R76" s="186" t="str">
        <f>IF(COUNTIF(RIZE,T_sept_dec[[#This Row],[Secteur organisateur]]),"Rize_"&amp;T_sept_dec[[#This Row],[Enseignant référent (Nom Prénom)]],"")</f>
        <v/>
      </c>
      <c r="S76" s="186">
        <f>1/COUNTIF(T_sept_dec[CléRize],T_sept_dec[[#This Row],[CléRize]])</f>
        <v>4.048582995951417E-3</v>
      </c>
      <c r="T76" s="186" t="str">
        <f>IF(COUNTIF(Total,T_sept_dec[[#This Row],[Secteur organisateur]]),"Total_"&amp;T_sept_dec[[#This Row],[Enseignant référent (Nom Prénom)]],"")</f>
        <v/>
      </c>
      <c r="U76" s="186">
        <f>1/COUNTIF(T_sept_dec[cléTotal],T_sept_dec[[#This Row],[cléTotal]])</f>
        <v>4.1841004184100415E-3</v>
      </c>
    </row>
    <row r="77" spans="11:21">
      <c r="K77" s="21" t="str">
        <f>IF(COUNTIF(Maternelle,E77)=1,listes!$T$1,IF(COUNTIF(Elémentaire,E77)=1,listes!$U$1,IF(COUNTIF(Collège,E77)=1,listes!$V$1,IF(COUNTIF(Lycée,E77)=1,listes!$W$1,""))))</f>
        <v/>
      </c>
      <c r="L77" s="21" t="str">
        <f>IF(COUNTIF(Perralière,D77)=1,listes!$P$1,IF(COUNTIF(Buers,D77)=1,listes!$J$1,IF(COUNTIF(Charpennes,D77)=1,listes!$K$1,IF(COUNTIF(Cusset,D77)=1,listes!$L$1,IF(COUNTIF(Cyprien,D77)=1,listes!$M$1,IF(COUNTIF(Ferrandière,D77)=1,listes!$N$1,IF(COUNTIF(Gratteciel,D77)=1,listes!$O$1,IF(COUNTIF(Saintjean,D77)=1,listes!$Q$1,IF(COUNTIF(horsvilleurbanne,D77)=1,listes!$R$1,"")))))))))</f>
        <v/>
      </c>
      <c r="M77" s="21" t="str">
        <f t="shared" si="1"/>
        <v/>
      </c>
      <c r="N77" s="21" t="str">
        <f>T_sept_dec[[#This Row],[Etablissement accueillant]]&amp;"-"&amp;T_sept_dec[[#This Row],[Enseignant référent (Nom Prénom)]]</f>
        <v>-</v>
      </c>
      <c r="O77" s="21">
        <f>1/COUNTIF(T_sept_dec[CléEtablissement],T_sept_dec[[#This Row],[CléEtablissement]])</f>
        <v>4.1841004184100415E-3</v>
      </c>
      <c r="P7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7" s="186">
        <f>1/COUNTIF(T_sept_dec[CléRéseau-Rize horsmed],T_sept_dec[[#This Row],[CléRéseau-Rize horsmed]])</f>
        <v>4.1841004184100415E-3</v>
      </c>
      <c r="R77" s="186" t="str">
        <f>IF(COUNTIF(RIZE,T_sept_dec[[#This Row],[Secteur organisateur]]),"Rize_"&amp;T_sept_dec[[#This Row],[Enseignant référent (Nom Prénom)]],"")</f>
        <v/>
      </c>
      <c r="S77" s="186">
        <f>1/COUNTIF(T_sept_dec[CléRize],T_sept_dec[[#This Row],[CléRize]])</f>
        <v>4.048582995951417E-3</v>
      </c>
      <c r="T77" s="186" t="str">
        <f>IF(COUNTIF(Total,T_sept_dec[[#This Row],[Secteur organisateur]]),"Total_"&amp;T_sept_dec[[#This Row],[Enseignant référent (Nom Prénom)]],"")</f>
        <v/>
      </c>
      <c r="U77" s="186">
        <f>1/COUNTIF(T_sept_dec[cléTotal],T_sept_dec[[#This Row],[cléTotal]])</f>
        <v>4.1841004184100415E-3</v>
      </c>
    </row>
    <row r="78" spans="11:21">
      <c r="K78" s="21" t="str">
        <f>IF(COUNTIF(Maternelle,E78)=1,listes!$T$1,IF(COUNTIF(Elémentaire,E78)=1,listes!$U$1,IF(COUNTIF(Collège,E78)=1,listes!$V$1,IF(COUNTIF(Lycée,E78)=1,listes!$W$1,""))))</f>
        <v/>
      </c>
      <c r="L78" s="21" t="str">
        <f>IF(COUNTIF(Perralière,D78)=1,listes!$P$1,IF(COUNTIF(Buers,D78)=1,listes!$J$1,IF(COUNTIF(Charpennes,D78)=1,listes!$K$1,IF(COUNTIF(Cusset,D78)=1,listes!$L$1,IF(COUNTIF(Cyprien,D78)=1,listes!$M$1,IF(COUNTIF(Ferrandière,D78)=1,listes!$N$1,IF(COUNTIF(Gratteciel,D78)=1,listes!$O$1,IF(COUNTIF(Saintjean,D78)=1,listes!$Q$1,IF(COUNTIF(horsvilleurbanne,D78)=1,listes!$R$1,"")))))))))</f>
        <v/>
      </c>
      <c r="M78" s="21" t="str">
        <f t="shared" si="1"/>
        <v/>
      </c>
      <c r="N78" s="21" t="str">
        <f>T_sept_dec[[#This Row],[Etablissement accueillant]]&amp;"-"&amp;T_sept_dec[[#This Row],[Enseignant référent (Nom Prénom)]]</f>
        <v>-</v>
      </c>
      <c r="O78" s="21">
        <f>1/COUNTIF(T_sept_dec[CléEtablissement],T_sept_dec[[#This Row],[CléEtablissement]])</f>
        <v>4.1841004184100415E-3</v>
      </c>
      <c r="P7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8" s="186">
        <f>1/COUNTIF(T_sept_dec[CléRéseau-Rize horsmed],T_sept_dec[[#This Row],[CléRéseau-Rize horsmed]])</f>
        <v>4.1841004184100415E-3</v>
      </c>
      <c r="R78" s="186" t="str">
        <f>IF(COUNTIF(RIZE,T_sept_dec[[#This Row],[Secteur organisateur]]),"Rize_"&amp;T_sept_dec[[#This Row],[Enseignant référent (Nom Prénom)]],"")</f>
        <v/>
      </c>
      <c r="S78" s="186">
        <f>1/COUNTIF(T_sept_dec[CléRize],T_sept_dec[[#This Row],[CléRize]])</f>
        <v>4.048582995951417E-3</v>
      </c>
      <c r="T78" s="186" t="str">
        <f>IF(COUNTIF(Total,T_sept_dec[[#This Row],[Secteur organisateur]]),"Total_"&amp;T_sept_dec[[#This Row],[Enseignant référent (Nom Prénom)]],"")</f>
        <v/>
      </c>
      <c r="U78" s="186">
        <f>1/COUNTIF(T_sept_dec[cléTotal],T_sept_dec[[#This Row],[cléTotal]])</f>
        <v>4.1841004184100415E-3</v>
      </c>
    </row>
    <row r="79" spans="11:21">
      <c r="K79" s="21" t="str">
        <f>IF(COUNTIF(Maternelle,E79)=1,listes!$T$1,IF(COUNTIF(Elémentaire,E79)=1,listes!$U$1,IF(COUNTIF(Collège,E79)=1,listes!$V$1,IF(COUNTIF(Lycée,E79)=1,listes!$W$1,""))))</f>
        <v/>
      </c>
      <c r="L79" s="21" t="str">
        <f>IF(COUNTIF(Perralière,D79)=1,listes!$P$1,IF(COUNTIF(Buers,D79)=1,listes!$J$1,IF(COUNTIF(Charpennes,D79)=1,listes!$K$1,IF(COUNTIF(Cusset,D79)=1,listes!$L$1,IF(COUNTIF(Cyprien,D79)=1,listes!$M$1,IF(COUNTIF(Ferrandière,D79)=1,listes!$N$1,IF(COUNTIF(Gratteciel,D79)=1,listes!$O$1,IF(COUNTIF(Saintjean,D79)=1,listes!$Q$1,IF(COUNTIF(horsvilleurbanne,D79)=1,listes!$R$1,"")))))))))</f>
        <v/>
      </c>
      <c r="M79" s="21" t="str">
        <f t="shared" si="1"/>
        <v/>
      </c>
      <c r="N79" s="21" t="str">
        <f>T_sept_dec[[#This Row],[Etablissement accueillant]]&amp;"-"&amp;T_sept_dec[[#This Row],[Enseignant référent (Nom Prénom)]]</f>
        <v>-</v>
      </c>
      <c r="O79" s="21">
        <f>1/COUNTIF(T_sept_dec[CléEtablissement],T_sept_dec[[#This Row],[CléEtablissement]])</f>
        <v>4.1841004184100415E-3</v>
      </c>
      <c r="P7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79" s="186">
        <f>1/COUNTIF(T_sept_dec[CléRéseau-Rize horsmed],T_sept_dec[[#This Row],[CléRéseau-Rize horsmed]])</f>
        <v>4.1841004184100415E-3</v>
      </c>
      <c r="R79" s="186" t="str">
        <f>IF(COUNTIF(RIZE,T_sept_dec[[#This Row],[Secteur organisateur]]),"Rize_"&amp;T_sept_dec[[#This Row],[Enseignant référent (Nom Prénom)]],"")</f>
        <v/>
      </c>
      <c r="S79" s="186">
        <f>1/COUNTIF(T_sept_dec[CléRize],T_sept_dec[[#This Row],[CléRize]])</f>
        <v>4.048582995951417E-3</v>
      </c>
      <c r="T79" s="186" t="str">
        <f>IF(COUNTIF(Total,T_sept_dec[[#This Row],[Secteur organisateur]]),"Total_"&amp;T_sept_dec[[#This Row],[Enseignant référent (Nom Prénom)]],"")</f>
        <v/>
      </c>
      <c r="U79" s="186">
        <f>1/COUNTIF(T_sept_dec[cléTotal],T_sept_dec[[#This Row],[cléTotal]])</f>
        <v>4.1841004184100415E-3</v>
      </c>
    </row>
    <row r="80" spans="11:21">
      <c r="K80" s="21" t="str">
        <f>IF(COUNTIF(Maternelle,E80)=1,listes!$T$1,IF(COUNTIF(Elémentaire,E80)=1,listes!$U$1,IF(COUNTIF(Collège,E80)=1,listes!$V$1,IF(COUNTIF(Lycée,E80)=1,listes!$W$1,""))))</f>
        <v/>
      </c>
      <c r="L80" s="21" t="str">
        <f>IF(COUNTIF(Perralière,D80)=1,listes!$P$1,IF(COUNTIF(Buers,D80)=1,listes!$J$1,IF(COUNTIF(Charpennes,D80)=1,listes!$K$1,IF(COUNTIF(Cusset,D80)=1,listes!$L$1,IF(COUNTIF(Cyprien,D80)=1,listes!$M$1,IF(COUNTIF(Ferrandière,D80)=1,listes!$N$1,IF(COUNTIF(Gratteciel,D80)=1,listes!$O$1,IF(COUNTIF(Saintjean,D80)=1,listes!$Q$1,IF(COUNTIF(horsvilleurbanne,D80)=1,listes!$R$1,"")))))))))</f>
        <v/>
      </c>
      <c r="M80" s="21" t="str">
        <f t="shared" si="1"/>
        <v/>
      </c>
      <c r="N80" s="21" t="str">
        <f>T_sept_dec[[#This Row],[Etablissement accueillant]]&amp;"-"&amp;T_sept_dec[[#This Row],[Enseignant référent (Nom Prénom)]]</f>
        <v>-</v>
      </c>
      <c r="O80" s="21">
        <f>1/COUNTIF(T_sept_dec[CléEtablissement],T_sept_dec[[#This Row],[CléEtablissement]])</f>
        <v>4.1841004184100415E-3</v>
      </c>
      <c r="P8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0" s="186">
        <f>1/COUNTIF(T_sept_dec[CléRéseau-Rize horsmed],T_sept_dec[[#This Row],[CléRéseau-Rize horsmed]])</f>
        <v>4.1841004184100415E-3</v>
      </c>
      <c r="R80" s="186" t="str">
        <f>IF(COUNTIF(RIZE,T_sept_dec[[#This Row],[Secteur organisateur]]),"Rize_"&amp;T_sept_dec[[#This Row],[Enseignant référent (Nom Prénom)]],"")</f>
        <v/>
      </c>
      <c r="S80" s="186">
        <f>1/COUNTIF(T_sept_dec[CléRize],T_sept_dec[[#This Row],[CléRize]])</f>
        <v>4.048582995951417E-3</v>
      </c>
      <c r="T80" s="186" t="str">
        <f>IF(COUNTIF(Total,T_sept_dec[[#This Row],[Secteur organisateur]]),"Total_"&amp;T_sept_dec[[#This Row],[Enseignant référent (Nom Prénom)]],"")</f>
        <v/>
      </c>
      <c r="U80" s="186">
        <f>1/COUNTIF(T_sept_dec[cléTotal],T_sept_dec[[#This Row],[cléTotal]])</f>
        <v>4.1841004184100415E-3</v>
      </c>
    </row>
    <row r="81" spans="11:21">
      <c r="K81" s="21" t="str">
        <f>IF(COUNTIF(Maternelle,E81)=1,listes!$T$1,IF(COUNTIF(Elémentaire,E81)=1,listes!$U$1,IF(COUNTIF(Collège,E81)=1,listes!$V$1,IF(COUNTIF(Lycée,E81)=1,listes!$W$1,""))))</f>
        <v/>
      </c>
      <c r="L81" s="21" t="str">
        <f>IF(COUNTIF(Perralière,D81)=1,listes!$P$1,IF(COUNTIF(Buers,D81)=1,listes!$J$1,IF(COUNTIF(Charpennes,D81)=1,listes!$K$1,IF(COUNTIF(Cusset,D81)=1,listes!$L$1,IF(COUNTIF(Cyprien,D81)=1,listes!$M$1,IF(COUNTIF(Ferrandière,D81)=1,listes!$N$1,IF(COUNTIF(Gratteciel,D81)=1,listes!$O$1,IF(COUNTIF(Saintjean,D81)=1,listes!$Q$1,IF(COUNTIF(horsvilleurbanne,D81)=1,listes!$R$1,"")))))))))</f>
        <v/>
      </c>
      <c r="M81" s="21" t="str">
        <f t="shared" si="1"/>
        <v/>
      </c>
      <c r="N81" s="21" t="str">
        <f>T_sept_dec[[#This Row],[Etablissement accueillant]]&amp;"-"&amp;T_sept_dec[[#This Row],[Enseignant référent (Nom Prénom)]]</f>
        <v>-</v>
      </c>
      <c r="O81" s="21">
        <f>1/COUNTIF(T_sept_dec[CléEtablissement],T_sept_dec[[#This Row],[CléEtablissement]])</f>
        <v>4.1841004184100415E-3</v>
      </c>
      <c r="P8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1" s="186">
        <f>1/COUNTIF(T_sept_dec[CléRéseau-Rize horsmed],T_sept_dec[[#This Row],[CléRéseau-Rize horsmed]])</f>
        <v>4.1841004184100415E-3</v>
      </c>
      <c r="R81" s="186" t="str">
        <f>IF(COUNTIF(RIZE,T_sept_dec[[#This Row],[Secteur organisateur]]),"Rize_"&amp;T_sept_dec[[#This Row],[Enseignant référent (Nom Prénom)]],"")</f>
        <v/>
      </c>
      <c r="S81" s="186">
        <f>1/COUNTIF(T_sept_dec[CléRize],T_sept_dec[[#This Row],[CléRize]])</f>
        <v>4.048582995951417E-3</v>
      </c>
      <c r="T81" s="186" t="str">
        <f>IF(COUNTIF(Total,T_sept_dec[[#This Row],[Secteur organisateur]]),"Total_"&amp;T_sept_dec[[#This Row],[Enseignant référent (Nom Prénom)]],"")</f>
        <v/>
      </c>
      <c r="U81" s="186">
        <f>1/COUNTIF(T_sept_dec[cléTotal],T_sept_dec[[#This Row],[cléTotal]])</f>
        <v>4.1841004184100415E-3</v>
      </c>
    </row>
    <row r="82" spans="11:21">
      <c r="K82" s="21" t="str">
        <f>IF(COUNTIF(Maternelle,E82)=1,listes!$T$1,IF(COUNTIF(Elémentaire,E82)=1,listes!$U$1,IF(COUNTIF(Collège,E82)=1,listes!$V$1,IF(COUNTIF(Lycée,E82)=1,listes!$W$1,""))))</f>
        <v/>
      </c>
      <c r="L82" s="21" t="str">
        <f>IF(COUNTIF(Perralière,D82)=1,listes!$P$1,IF(COUNTIF(Buers,D82)=1,listes!$J$1,IF(COUNTIF(Charpennes,D82)=1,listes!$K$1,IF(COUNTIF(Cusset,D82)=1,listes!$L$1,IF(COUNTIF(Cyprien,D82)=1,listes!$M$1,IF(COUNTIF(Ferrandière,D82)=1,listes!$N$1,IF(COUNTIF(Gratteciel,D82)=1,listes!$O$1,IF(COUNTIF(Saintjean,D82)=1,listes!$Q$1,IF(COUNTIF(horsvilleurbanne,D82)=1,listes!$R$1,"")))))))))</f>
        <v/>
      </c>
      <c r="M82" s="21" t="str">
        <f t="shared" si="1"/>
        <v/>
      </c>
      <c r="N82" s="21" t="str">
        <f>T_sept_dec[[#This Row],[Etablissement accueillant]]&amp;"-"&amp;T_sept_dec[[#This Row],[Enseignant référent (Nom Prénom)]]</f>
        <v>-</v>
      </c>
      <c r="O82" s="21">
        <f>1/COUNTIF(T_sept_dec[CléEtablissement],T_sept_dec[[#This Row],[CléEtablissement]])</f>
        <v>4.1841004184100415E-3</v>
      </c>
      <c r="P8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2" s="186">
        <f>1/COUNTIF(T_sept_dec[CléRéseau-Rize horsmed],T_sept_dec[[#This Row],[CléRéseau-Rize horsmed]])</f>
        <v>4.1841004184100415E-3</v>
      </c>
      <c r="R82" s="186" t="str">
        <f>IF(COUNTIF(RIZE,T_sept_dec[[#This Row],[Secteur organisateur]]),"Rize_"&amp;T_sept_dec[[#This Row],[Enseignant référent (Nom Prénom)]],"")</f>
        <v/>
      </c>
      <c r="S82" s="186">
        <f>1/COUNTIF(T_sept_dec[CléRize],T_sept_dec[[#This Row],[CléRize]])</f>
        <v>4.048582995951417E-3</v>
      </c>
      <c r="T82" s="186" t="str">
        <f>IF(COUNTIF(Total,T_sept_dec[[#This Row],[Secteur organisateur]]),"Total_"&amp;T_sept_dec[[#This Row],[Enseignant référent (Nom Prénom)]],"")</f>
        <v/>
      </c>
      <c r="U82" s="186">
        <f>1/COUNTIF(T_sept_dec[cléTotal],T_sept_dec[[#This Row],[cléTotal]])</f>
        <v>4.1841004184100415E-3</v>
      </c>
    </row>
    <row r="83" spans="11:21">
      <c r="K83" s="21" t="str">
        <f>IF(COUNTIF(Maternelle,E83)=1,listes!$T$1,IF(COUNTIF(Elémentaire,E83)=1,listes!$U$1,IF(COUNTIF(Collège,E83)=1,listes!$V$1,IF(COUNTIF(Lycée,E83)=1,listes!$W$1,""))))</f>
        <v/>
      </c>
      <c r="L83" s="21" t="str">
        <f>IF(COUNTIF(Perralière,D83)=1,listes!$P$1,IF(COUNTIF(Buers,D83)=1,listes!$J$1,IF(COUNTIF(Charpennes,D83)=1,listes!$K$1,IF(COUNTIF(Cusset,D83)=1,listes!$L$1,IF(COUNTIF(Cyprien,D83)=1,listes!$M$1,IF(COUNTIF(Ferrandière,D83)=1,listes!$N$1,IF(COUNTIF(Gratteciel,D83)=1,listes!$O$1,IF(COUNTIF(Saintjean,D83)=1,listes!$Q$1,IF(COUNTIF(horsvilleurbanne,D83)=1,listes!$R$1,"")))))))))</f>
        <v/>
      </c>
      <c r="M83" s="21" t="str">
        <f t="shared" si="1"/>
        <v/>
      </c>
      <c r="N83" s="21" t="str">
        <f>T_sept_dec[[#This Row],[Etablissement accueillant]]&amp;"-"&amp;T_sept_dec[[#This Row],[Enseignant référent (Nom Prénom)]]</f>
        <v>-</v>
      </c>
      <c r="O83" s="21">
        <f>1/COUNTIF(T_sept_dec[CléEtablissement],T_sept_dec[[#This Row],[CléEtablissement]])</f>
        <v>4.1841004184100415E-3</v>
      </c>
      <c r="P8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3" s="186">
        <f>1/COUNTIF(T_sept_dec[CléRéseau-Rize horsmed],T_sept_dec[[#This Row],[CléRéseau-Rize horsmed]])</f>
        <v>4.1841004184100415E-3</v>
      </c>
      <c r="R83" s="186" t="str">
        <f>IF(COUNTIF(RIZE,T_sept_dec[[#This Row],[Secteur organisateur]]),"Rize_"&amp;T_sept_dec[[#This Row],[Enseignant référent (Nom Prénom)]],"")</f>
        <v/>
      </c>
      <c r="S83" s="186">
        <f>1/COUNTIF(T_sept_dec[CléRize],T_sept_dec[[#This Row],[CléRize]])</f>
        <v>4.048582995951417E-3</v>
      </c>
      <c r="T83" s="186" t="str">
        <f>IF(COUNTIF(Total,T_sept_dec[[#This Row],[Secteur organisateur]]),"Total_"&amp;T_sept_dec[[#This Row],[Enseignant référent (Nom Prénom)]],"")</f>
        <v/>
      </c>
      <c r="U83" s="186">
        <f>1/COUNTIF(T_sept_dec[cléTotal],T_sept_dec[[#This Row],[cléTotal]])</f>
        <v>4.1841004184100415E-3</v>
      </c>
    </row>
    <row r="84" spans="11:21">
      <c r="K84" s="21" t="str">
        <f>IF(COUNTIF(Maternelle,E84)=1,listes!$T$1,IF(COUNTIF(Elémentaire,E84)=1,listes!$U$1,IF(COUNTIF(Collège,E84)=1,listes!$V$1,IF(COUNTIF(Lycée,E84)=1,listes!$W$1,""))))</f>
        <v/>
      </c>
      <c r="L84" s="21" t="str">
        <f>IF(COUNTIF(Perralière,D84)=1,listes!$P$1,IF(COUNTIF(Buers,D84)=1,listes!$J$1,IF(COUNTIF(Charpennes,D84)=1,listes!$K$1,IF(COUNTIF(Cusset,D84)=1,listes!$L$1,IF(COUNTIF(Cyprien,D84)=1,listes!$M$1,IF(COUNTIF(Ferrandière,D84)=1,listes!$N$1,IF(COUNTIF(Gratteciel,D84)=1,listes!$O$1,IF(COUNTIF(Saintjean,D84)=1,listes!$Q$1,IF(COUNTIF(horsvilleurbanne,D84)=1,listes!$R$1,"")))))))))</f>
        <v/>
      </c>
      <c r="M84" s="21" t="str">
        <f t="shared" si="1"/>
        <v/>
      </c>
      <c r="N84" s="21" t="str">
        <f>T_sept_dec[[#This Row],[Etablissement accueillant]]&amp;"-"&amp;T_sept_dec[[#This Row],[Enseignant référent (Nom Prénom)]]</f>
        <v>-</v>
      </c>
      <c r="O84" s="21">
        <f>1/COUNTIF(T_sept_dec[CléEtablissement],T_sept_dec[[#This Row],[CléEtablissement]])</f>
        <v>4.1841004184100415E-3</v>
      </c>
      <c r="P8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4" s="186">
        <f>1/COUNTIF(T_sept_dec[CléRéseau-Rize horsmed],T_sept_dec[[#This Row],[CléRéseau-Rize horsmed]])</f>
        <v>4.1841004184100415E-3</v>
      </c>
      <c r="R84" s="186" t="str">
        <f>IF(COUNTIF(RIZE,T_sept_dec[[#This Row],[Secteur organisateur]]),"Rize_"&amp;T_sept_dec[[#This Row],[Enseignant référent (Nom Prénom)]],"")</f>
        <v/>
      </c>
      <c r="S84" s="186">
        <f>1/COUNTIF(T_sept_dec[CléRize],T_sept_dec[[#This Row],[CléRize]])</f>
        <v>4.048582995951417E-3</v>
      </c>
      <c r="T84" s="186" t="str">
        <f>IF(COUNTIF(Total,T_sept_dec[[#This Row],[Secteur organisateur]]),"Total_"&amp;T_sept_dec[[#This Row],[Enseignant référent (Nom Prénom)]],"")</f>
        <v/>
      </c>
      <c r="U84" s="186">
        <f>1/COUNTIF(T_sept_dec[cléTotal],T_sept_dec[[#This Row],[cléTotal]])</f>
        <v>4.1841004184100415E-3</v>
      </c>
    </row>
    <row r="85" spans="11:21">
      <c r="K85" s="21" t="str">
        <f>IF(COUNTIF(Maternelle,E85)=1,listes!$T$1,IF(COUNTIF(Elémentaire,E85)=1,listes!$U$1,IF(COUNTIF(Collège,E85)=1,listes!$V$1,IF(COUNTIF(Lycée,E85)=1,listes!$W$1,""))))</f>
        <v/>
      </c>
      <c r="L85" s="21" t="str">
        <f>IF(COUNTIF(Perralière,D85)=1,listes!$P$1,IF(COUNTIF(Buers,D85)=1,listes!$J$1,IF(COUNTIF(Charpennes,D85)=1,listes!$K$1,IF(COUNTIF(Cusset,D85)=1,listes!$L$1,IF(COUNTIF(Cyprien,D85)=1,listes!$M$1,IF(COUNTIF(Ferrandière,D85)=1,listes!$N$1,IF(COUNTIF(Gratteciel,D85)=1,listes!$O$1,IF(COUNTIF(Saintjean,D85)=1,listes!$Q$1,IF(COUNTIF(horsvilleurbanne,D85)=1,listes!$R$1,"")))))))))</f>
        <v/>
      </c>
      <c r="M85" s="21" t="str">
        <f t="shared" si="1"/>
        <v/>
      </c>
      <c r="N85" s="21" t="str">
        <f>T_sept_dec[[#This Row],[Etablissement accueillant]]&amp;"-"&amp;T_sept_dec[[#This Row],[Enseignant référent (Nom Prénom)]]</f>
        <v>-</v>
      </c>
      <c r="O85" s="21">
        <f>1/COUNTIF(T_sept_dec[CléEtablissement],T_sept_dec[[#This Row],[CléEtablissement]])</f>
        <v>4.1841004184100415E-3</v>
      </c>
      <c r="P8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5" s="186">
        <f>1/COUNTIF(T_sept_dec[CléRéseau-Rize horsmed],T_sept_dec[[#This Row],[CléRéseau-Rize horsmed]])</f>
        <v>4.1841004184100415E-3</v>
      </c>
      <c r="R85" s="186" t="str">
        <f>IF(COUNTIF(RIZE,T_sept_dec[[#This Row],[Secteur organisateur]]),"Rize_"&amp;T_sept_dec[[#This Row],[Enseignant référent (Nom Prénom)]],"")</f>
        <v/>
      </c>
      <c r="S85" s="186">
        <f>1/COUNTIF(T_sept_dec[CléRize],T_sept_dec[[#This Row],[CléRize]])</f>
        <v>4.048582995951417E-3</v>
      </c>
      <c r="T85" s="186" t="str">
        <f>IF(COUNTIF(Total,T_sept_dec[[#This Row],[Secteur organisateur]]),"Total_"&amp;T_sept_dec[[#This Row],[Enseignant référent (Nom Prénom)]],"")</f>
        <v/>
      </c>
      <c r="U85" s="186">
        <f>1/COUNTIF(T_sept_dec[cléTotal],T_sept_dec[[#This Row],[cléTotal]])</f>
        <v>4.1841004184100415E-3</v>
      </c>
    </row>
    <row r="86" spans="11:21">
      <c r="K86" s="21" t="str">
        <f>IF(COUNTIF(Maternelle,E86)=1,listes!$T$1,IF(COUNTIF(Elémentaire,E86)=1,listes!$U$1,IF(COUNTIF(Collège,E86)=1,listes!$V$1,IF(COUNTIF(Lycée,E86)=1,listes!$W$1,""))))</f>
        <v/>
      </c>
      <c r="L86" s="21" t="str">
        <f>IF(COUNTIF(Perralière,D86)=1,listes!$P$1,IF(COUNTIF(Buers,D86)=1,listes!$J$1,IF(COUNTIF(Charpennes,D86)=1,listes!$K$1,IF(COUNTIF(Cusset,D86)=1,listes!$L$1,IF(COUNTIF(Cyprien,D86)=1,listes!$M$1,IF(COUNTIF(Ferrandière,D86)=1,listes!$N$1,IF(COUNTIF(Gratteciel,D86)=1,listes!$O$1,IF(COUNTIF(Saintjean,D86)=1,listes!$Q$1,IF(COUNTIF(horsvilleurbanne,D86)=1,listes!$R$1,"")))))))))</f>
        <v/>
      </c>
      <c r="M86" s="21" t="str">
        <f t="shared" si="1"/>
        <v/>
      </c>
      <c r="N86" s="21" t="str">
        <f>T_sept_dec[[#This Row],[Etablissement accueillant]]&amp;"-"&amp;T_sept_dec[[#This Row],[Enseignant référent (Nom Prénom)]]</f>
        <v>-</v>
      </c>
      <c r="O86" s="21">
        <f>1/COUNTIF(T_sept_dec[CléEtablissement],T_sept_dec[[#This Row],[CléEtablissement]])</f>
        <v>4.1841004184100415E-3</v>
      </c>
      <c r="P8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6" s="186">
        <f>1/COUNTIF(T_sept_dec[CléRéseau-Rize horsmed],T_sept_dec[[#This Row],[CléRéseau-Rize horsmed]])</f>
        <v>4.1841004184100415E-3</v>
      </c>
      <c r="R86" s="186" t="str">
        <f>IF(COUNTIF(RIZE,T_sept_dec[[#This Row],[Secteur organisateur]]),"Rize_"&amp;T_sept_dec[[#This Row],[Enseignant référent (Nom Prénom)]],"")</f>
        <v/>
      </c>
      <c r="S86" s="186">
        <f>1/COUNTIF(T_sept_dec[CléRize],T_sept_dec[[#This Row],[CléRize]])</f>
        <v>4.048582995951417E-3</v>
      </c>
      <c r="T86" s="186" t="str">
        <f>IF(COUNTIF(Total,T_sept_dec[[#This Row],[Secteur organisateur]]),"Total_"&amp;T_sept_dec[[#This Row],[Enseignant référent (Nom Prénom)]],"")</f>
        <v/>
      </c>
      <c r="U86" s="186">
        <f>1/COUNTIF(T_sept_dec[cléTotal],T_sept_dec[[#This Row],[cléTotal]])</f>
        <v>4.1841004184100415E-3</v>
      </c>
    </row>
    <row r="87" spans="11:21">
      <c r="K87" s="21" t="str">
        <f>IF(COUNTIF(Maternelle,E87)=1,listes!$T$1,IF(COUNTIF(Elémentaire,E87)=1,listes!$U$1,IF(COUNTIF(Collège,E87)=1,listes!$V$1,IF(COUNTIF(Lycée,E87)=1,listes!$W$1,""))))</f>
        <v/>
      </c>
      <c r="L87" s="21" t="str">
        <f>IF(COUNTIF(Perralière,D87)=1,listes!$P$1,IF(COUNTIF(Buers,D87)=1,listes!$J$1,IF(COUNTIF(Charpennes,D87)=1,listes!$K$1,IF(COUNTIF(Cusset,D87)=1,listes!$L$1,IF(COUNTIF(Cyprien,D87)=1,listes!$M$1,IF(COUNTIF(Ferrandière,D87)=1,listes!$N$1,IF(COUNTIF(Gratteciel,D87)=1,listes!$O$1,IF(COUNTIF(Saintjean,D87)=1,listes!$Q$1,IF(COUNTIF(horsvilleurbanne,D87)=1,listes!$R$1,"")))))))))</f>
        <v/>
      </c>
      <c r="M87" s="21" t="str">
        <f t="shared" si="1"/>
        <v/>
      </c>
      <c r="N87" s="21" t="str">
        <f>T_sept_dec[[#This Row],[Etablissement accueillant]]&amp;"-"&amp;T_sept_dec[[#This Row],[Enseignant référent (Nom Prénom)]]</f>
        <v>-</v>
      </c>
      <c r="O87" s="21">
        <f>1/COUNTIF(T_sept_dec[CléEtablissement],T_sept_dec[[#This Row],[CléEtablissement]])</f>
        <v>4.1841004184100415E-3</v>
      </c>
      <c r="P8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7" s="186">
        <f>1/COUNTIF(T_sept_dec[CléRéseau-Rize horsmed],T_sept_dec[[#This Row],[CléRéseau-Rize horsmed]])</f>
        <v>4.1841004184100415E-3</v>
      </c>
      <c r="R87" s="186" t="str">
        <f>IF(COUNTIF(RIZE,T_sept_dec[[#This Row],[Secteur organisateur]]),"Rize_"&amp;T_sept_dec[[#This Row],[Enseignant référent (Nom Prénom)]],"")</f>
        <v/>
      </c>
      <c r="S87" s="186">
        <f>1/COUNTIF(T_sept_dec[CléRize],T_sept_dec[[#This Row],[CléRize]])</f>
        <v>4.048582995951417E-3</v>
      </c>
      <c r="T87" s="186" t="str">
        <f>IF(COUNTIF(Total,T_sept_dec[[#This Row],[Secteur organisateur]]),"Total_"&amp;T_sept_dec[[#This Row],[Enseignant référent (Nom Prénom)]],"")</f>
        <v/>
      </c>
      <c r="U87" s="186">
        <f>1/COUNTIF(T_sept_dec[cléTotal],T_sept_dec[[#This Row],[cléTotal]])</f>
        <v>4.1841004184100415E-3</v>
      </c>
    </row>
    <row r="88" spans="11:21">
      <c r="K88" s="21" t="str">
        <f>IF(COUNTIF(Maternelle,E88)=1,listes!$T$1,IF(COUNTIF(Elémentaire,E88)=1,listes!$U$1,IF(COUNTIF(Collège,E88)=1,listes!$V$1,IF(COUNTIF(Lycée,E88)=1,listes!$W$1,""))))</f>
        <v/>
      </c>
      <c r="L88" s="21" t="str">
        <f>IF(COUNTIF(Perralière,D88)=1,listes!$P$1,IF(COUNTIF(Buers,D88)=1,listes!$J$1,IF(COUNTIF(Charpennes,D88)=1,listes!$K$1,IF(COUNTIF(Cusset,D88)=1,listes!$L$1,IF(COUNTIF(Cyprien,D88)=1,listes!$M$1,IF(COUNTIF(Ferrandière,D88)=1,listes!$N$1,IF(COUNTIF(Gratteciel,D88)=1,listes!$O$1,IF(COUNTIF(Saintjean,D88)=1,listes!$Q$1,IF(COUNTIF(horsvilleurbanne,D88)=1,listes!$R$1,"")))))))))</f>
        <v/>
      </c>
      <c r="M88" s="21" t="str">
        <f t="shared" si="1"/>
        <v/>
      </c>
      <c r="N88" s="21" t="str">
        <f>T_sept_dec[[#This Row],[Etablissement accueillant]]&amp;"-"&amp;T_sept_dec[[#This Row],[Enseignant référent (Nom Prénom)]]</f>
        <v>-</v>
      </c>
      <c r="O88" s="21">
        <f>1/COUNTIF(T_sept_dec[CléEtablissement],T_sept_dec[[#This Row],[CléEtablissement]])</f>
        <v>4.1841004184100415E-3</v>
      </c>
      <c r="P8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8" s="186">
        <f>1/COUNTIF(T_sept_dec[CléRéseau-Rize horsmed],T_sept_dec[[#This Row],[CléRéseau-Rize horsmed]])</f>
        <v>4.1841004184100415E-3</v>
      </c>
      <c r="R88" s="186" t="str">
        <f>IF(COUNTIF(RIZE,T_sept_dec[[#This Row],[Secteur organisateur]]),"Rize_"&amp;T_sept_dec[[#This Row],[Enseignant référent (Nom Prénom)]],"")</f>
        <v/>
      </c>
      <c r="S88" s="186">
        <f>1/COUNTIF(T_sept_dec[CléRize],T_sept_dec[[#This Row],[CléRize]])</f>
        <v>4.048582995951417E-3</v>
      </c>
      <c r="T88" s="186" t="str">
        <f>IF(COUNTIF(Total,T_sept_dec[[#This Row],[Secteur organisateur]]),"Total_"&amp;T_sept_dec[[#This Row],[Enseignant référent (Nom Prénom)]],"")</f>
        <v/>
      </c>
      <c r="U88" s="186">
        <f>1/COUNTIF(T_sept_dec[cléTotal],T_sept_dec[[#This Row],[cléTotal]])</f>
        <v>4.1841004184100415E-3</v>
      </c>
    </row>
    <row r="89" spans="11:21">
      <c r="K89" s="21" t="str">
        <f>IF(COUNTIF(Maternelle,E89)=1,listes!$T$1,IF(COUNTIF(Elémentaire,E89)=1,listes!$U$1,IF(COUNTIF(Collège,E89)=1,listes!$V$1,IF(COUNTIF(Lycée,E89)=1,listes!$W$1,""))))</f>
        <v/>
      </c>
      <c r="L89" s="21" t="str">
        <f>IF(COUNTIF(Perralière,D89)=1,listes!$P$1,IF(COUNTIF(Buers,D89)=1,listes!$J$1,IF(COUNTIF(Charpennes,D89)=1,listes!$K$1,IF(COUNTIF(Cusset,D89)=1,listes!$L$1,IF(COUNTIF(Cyprien,D89)=1,listes!$M$1,IF(COUNTIF(Ferrandière,D89)=1,listes!$N$1,IF(COUNTIF(Gratteciel,D89)=1,listes!$O$1,IF(COUNTIF(Saintjean,D89)=1,listes!$Q$1,IF(COUNTIF(horsvilleurbanne,D89)=1,listes!$R$1,"")))))))))</f>
        <v/>
      </c>
      <c r="M89" s="21" t="str">
        <f t="shared" si="1"/>
        <v/>
      </c>
      <c r="N89" s="21" t="str">
        <f>T_sept_dec[[#This Row],[Etablissement accueillant]]&amp;"-"&amp;T_sept_dec[[#This Row],[Enseignant référent (Nom Prénom)]]</f>
        <v>-</v>
      </c>
      <c r="O89" s="21">
        <f>1/COUNTIF(T_sept_dec[CléEtablissement],T_sept_dec[[#This Row],[CléEtablissement]])</f>
        <v>4.1841004184100415E-3</v>
      </c>
      <c r="P8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89" s="186">
        <f>1/COUNTIF(T_sept_dec[CléRéseau-Rize horsmed],T_sept_dec[[#This Row],[CléRéseau-Rize horsmed]])</f>
        <v>4.1841004184100415E-3</v>
      </c>
      <c r="R89" s="186" t="str">
        <f>IF(COUNTIF(RIZE,T_sept_dec[[#This Row],[Secteur organisateur]]),"Rize_"&amp;T_sept_dec[[#This Row],[Enseignant référent (Nom Prénom)]],"")</f>
        <v/>
      </c>
      <c r="S89" s="186">
        <f>1/COUNTIF(T_sept_dec[CléRize],T_sept_dec[[#This Row],[CléRize]])</f>
        <v>4.048582995951417E-3</v>
      </c>
      <c r="T89" s="186" t="str">
        <f>IF(COUNTIF(Total,T_sept_dec[[#This Row],[Secteur organisateur]]),"Total_"&amp;T_sept_dec[[#This Row],[Enseignant référent (Nom Prénom)]],"")</f>
        <v/>
      </c>
      <c r="U89" s="186">
        <f>1/COUNTIF(T_sept_dec[cléTotal],T_sept_dec[[#This Row],[cléTotal]])</f>
        <v>4.1841004184100415E-3</v>
      </c>
    </row>
    <row r="90" spans="11:21">
      <c r="K90" s="21" t="str">
        <f>IF(COUNTIF(Maternelle,E90)=1,listes!$T$1,IF(COUNTIF(Elémentaire,E90)=1,listes!$U$1,IF(COUNTIF(Collège,E90)=1,listes!$V$1,IF(COUNTIF(Lycée,E90)=1,listes!$W$1,""))))</f>
        <v/>
      </c>
      <c r="L90" s="21" t="str">
        <f>IF(COUNTIF(Perralière,D90)=1,listes!$P$1,IF(COUNTIF(Buers,D90)=1,listes!$J$1,IF(COUNTIF(Charpennes,D90)=1,listes!$K$1,IF(COUNTIF(Cusset,D90)=1,listes!$L$1,IF(COUNTIF(Cyprien,D90)=1,listes!$M$1,IF(COUNTIF(Ferrandière,D90)=1,listes!$N$1,IF(COUNTIF(Gratteciel,D90)=1,listes!$O$1,IF(COUNTIF(Saintjean,D90)=1,listes!$Q$1,IF(COUNTIF(horsvilleurbanne,D90)=1,listes!$R$1,"")))))))))</f>
        <v/>
      </c>
      <c r="M90" s="21" t="str">
        <f t="shared" si="1"/>
        <v/>
      </c>
      <c r="N90" s="21" t="str">
        <f>T_sept_dec[[#This Row],[Etablissement accueillant]]&amp;"-"&amp;T_sept_dec[[#This Row],[Enseignant référent (Nom Prénom)]]</f>
        <v>-</v>
      </c>
      <c r="O90" s="21">
        <f>1/COUNTIF(T_sept_dec[CléEtablissement],T_sept_dec[[#This Row],[CléEtablissement]])</f>
        <v>4.1841004184100415E-3</v>
      </c>
      <c r="P9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0" s="186">
        <f>1/COUNTIF(T_sept_dec[CléRéseau-Rize horsmed],T_sept_dec[[#This Row],[CléRéseau-Rize horsmed]])</f>
        <v>4.1841004184100415E-3</v>
      </c>
      <c r="R90" s="186" t="str">
        <f>IF(COUNTIF(RIZE,T_sept_dec[[#This Row],[Secteur organisateur]]),"Rize_"&amp;T_sept_dec[[#This Row],[Enseignant référent (Nom Prénom)]],"")</f>
        <v/>
      </c>
      <c r="S90" s="186">
        <f>1/COUNTIF(T_sept_dec[CléRize],T_sept_dec[[#This Row],[CléRize]])</f>
        <v>4.048582995951417E-3</v>
      </c>
      <c r="T90" s="186" t="str">
        <f>IF(COUNTIF(Total,T_sept_dec[[#This Row],[Secteur organisateur]]),"Total_"&amp;T_sept_dec[[#This Row],[Enseignant référent (Nom Prénom)]],"")</f>
        <v/>
      </c>
      <c r="U90" s="186">
        <f>1/COUNTIF(T_sept_dec[cléTotal],T_sept_dec[[#This Row],[cléTotal]])</f>
        <v>4.1841004184100415E-3</v>
      </c>
    </row>
    <row r="91" spans="11:21">
      <c r="K91" s="21" t="str">
        <f>IF(COUNTIF(Maternelle,E91)=1,listes!$T$1,IF(COUNTIF(Elémentaire,E91)=1,listes!$U$1,IF(COUNTIF(Collège,E91)=1,listes!$V$1,IF(COUNTIF(Lycée,E91)=1,listes!$W$1,""))))</f>
        <v/>
      </c>
      <c r="L91" s="21" t="str">
        <f>IF(COUNTIF(Perralière,D91)=1,listes!$P$1,IF(COUNTIF(Buers,D91)=1,listes!$J$1,IF(COUNTIF(Charpennes,D91)=1,listes!$K$1,IF(COUNTIF(Cusset,D91)=1,listes!$L$1,IF(COUNTIF(Cyprien,D91)=1,listes!$M$1,IF(COUNTIF(Ferrandière,D91)=1,listes!$N$1,IF(COUNTIF(Gratteciel,D91)=1,listes!$O$1,IF(COUNTIF(Saintjean,D91)=1,listes!$Q$1,IF(COUNTIF(horsvilleurbanne,D91)=1,listes!$R$1,"")))))))))</f>
        <v/>
      </c>
      <c r="M91" s="21" t="str">
        <f t="shared" si="1"/>
        <v/>
      </c>
      <c r="N91" s="21" t="str">
        <f>T_sept_dec[[#This Row],[Etablissement accueillant]]&amp;"-"&amp;T_sept_dec[[#This Row],[Enseignant référent (Nom Prénom)]]</f>
        <v>-</v>
      </c>
      <c r="O91" s="21">
        <f>1/COUNTIF(T_sept_dec[CléEtablissement],T_sept_dec[[#This Row],[CléEtablissement]])</f>
        <v>4.1841004184100415E-3</v>
      </c>
      <c r="P9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1" s="186">
        <f>1/COUNTIF(T_sept_dec[CléRéseau-Rize horsmed],T_sept_dec[[#This Row],[CléRéseau-Rize horsmed]])</f>
        <v>4.1841004184100415E-3</v>
      </c>
      <c r="R91" s="186" t="str">
        <f>IF(COUNTIF(RIZE,T_sept_dec[[#This Row],[Secteur organisateur]]),"Rize_"&amp;T_sept_dec[[#This Row],[Enseignant référent (Nom Prénom)]],"")</f>
        <v/>
      </c>
      <c r="S91" s="186">
        <f>1/COUNTIF(T_sept_dec[CléRize],T_sept_dec[[#This Row],[CléRize]])</f>
        <v>4.048582995951417E-3</v>
      </c>
      <c r="T91" s="186" t="str">
        <f>IF(COUNTIF(Total,T_sept_dec[[#This Row],[Secteur organisateur]]),"Total_"&amp;T_sept_dec[[#This Row],[Enseignant référent (Nom Prénom)]],"")</f>
        <v/>
      </c>
      <c r="U91" s="186">
        <f>1/COUNTIF(T_sept_dec[cléTotal],T_sept_dec[[#This Row],[cléTotal]])</f>
        <v>4.1841004184100415E-3</v>
      </c>
    </row>
    <row r="92" spans="11:21">
      <c r="K92" s="21" t="str">
        <f>IF(COUNTIF(Maternelle,E92)=1,listes!$T$1,IF(COUNTIF(Elémentaire,E92)=1,listes!$U$1,IF(COUNTIF(Collège,E92)=1,listes!$V$1,IF(COUNTIF(Lycée,E92)=1,listes!$W$1,""))))</f>
        <v/>
      </c>
      <c r="L92" s="21" t="str">
        <f>IF(COUNTIF(Perralière,D92)=1,listes!$P$1,IF(COUNTIF(Buers,D92)=1,listes!$J$1,IF(COUNTIF(Charpennes,D92)=1,listes!$K$1,IF(COUNTIF(Cusset,D92)=1,listes!$L$1,IF(COUNTIF(Cyprien,D92)=1,listes!$M$1,IF(COUNTIF(Ferrandière,D92)=1,listes!$N$1,IF(COUNTIF(Gratteciel,D92)=1,listes!$O$1,IF(COUNTIF(Saintjean,D92)=1,listes!$Q$1,IF(COUNTIF(horsvilleurbanne,D92)=1,listes!$R$1,"")))))))))</f>
        <v/>
      </c>
      <c r="M92" s="21" t="str">
        <f t="shared" si="1"/>
        <v/>
      </c>
      <c r="N92" s="21" t="str">
        <f>T_sept_dec[[#This Row],[Etablissement accueillant]]&amp;"-"&amp;T_sept_dec[[#This Row],[Enseignant référent (Nom Prénom)]]</f>
        <v>-</v>
      </c>
      <c r="O92" s="21">
        <f>1/COUNTIF(T_sept_dec[CléEtablissement],T_sept_dec[[#This Row],[CléEtablissement]])</f>
        <v>4.1841004184100415E-3</v>
      </c>
      <c r="P9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2" s="186">
        <f>1/COUNTIF(T_sept_dec[CléRéseau-Rize horsmed],T_sept_dec[[#This Row],[CléRéseau-Rize horsmed]])</f>
        <v>4.1841004184100415E-3</v>
      </c>
      <c r="R92" s="186" t="str">
        <f>IF(COUNTIF(RIZE,T_sept_dec[[#This Row],[Secteur organisateur]]),"Rize_"&amp;T_sept_dec[[#This Row],[Enseignant référent (Nom Prénom)]],"")</f>
        <v/>
      </c>
      <c r="S92" s="186">
        <f>1/COUNTIF(T_sept_dec[CléRize],T_sept_dec[[#This Row],[CléRize]])</f>
        <v>4.048582995951417E-3</v>
      </c>
      <c r="T92" s="186" t="str">
        <f>IF(COUNTIF(Total,T_sept_dec[[#This Row],[Secteur organisateur]]),"Total_"&amp;T_sept_dec[[#This Row],[Enseignant référent (Nom Prénom)]],"")</f>
        <v/>
      </c>
      <c r="U92" s="186">
        <f>1/COUNTIF(T_sept_dec[cléTotal],T_sept_dec[[#This Row],[cléTotal]])</f>
        <v>4.1841004184100415E-3</v>
      </c>
    </row>
    <row r="93" spans="11:21">
      <c r="K93" s="21" t="str">
        <f>IF(COUNTIF(Maternelle,E93)=1,listes!$T$1,IF(COUNTIF(Elémentaire,E93)=1,listes!$U$1,IF(COUNTIF(Collège,E93)=1,listes!$V$1,IF(COUNTIF(Lycée,E93)=1,listes!$W$1,""))))</f>
        <v/>
      </c>
      <c r="L93" s="21" t="str">
        <f>IF(COUNTIF(Perralière,D93)=1,listes!$P$1,IF(COUNTIF(Buers,D93)=1,listes!$J$1,IF(COUNTIF(Charpennes,D93)=1,listes!$K$1,IF(COUNTIF(Cusset,D93)=1,listes!$L$1,IF(COUNTIF(Cyprien,D93)=1,listes!$M$1,IF(COUNTIF(Ferrandière,D93)=1,listes!$N$1,IF(COUNTIF(Gratteciel,D93)=1,listes!$O$1,IF(COUNTIF(Saintjean,D93)=1,listes!$Q$1,IF(COUNTIF(horsvilleurbanne,D93)=1,listes!$R$1,"")))))))))</f>
        <v/>
      </c>
      <c r="M93" s="21" t="str">
        <f t="shared" si="1"/>
        <v/>
      </c>
      <c r="N93" s="21" t="str">
        <f>T_sept_dec[[#This Row],[Etablissement accueillant]]&amp;"-"&amp;T_sept_dec[[#This Row],[Enseignant référent (Nom Prénom)]]</f>
        <v>-</v>
      </c>
      <c r="O93" s="21">
        <f>1/COUNTIF(T_sept_dec[CléEtablissement],T_sept_dec[[#This Row],[CléEtablissement]])</f>
        <v>4.1841004184100415E-3</v>
      </c>
      <c r="P9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3" s="186">
        <f>1/COUNTIF(T_sept_dec[CléRéseau-Rize horsmed],T_sept_dec[[#This Row],[CléRéseau-Rize horsmed]])</f>
        <v>4.1841004184100415E-3</v>
      </c>
      <c r="R93" s="186" t="str">
        <f>IF(COUNTIF(RIZE,T_sept_dec[[#This Row],[Secteur organisateur]]),"Rize_"&amp;T_sept_dec[[#This Row],[Enseignant référent (Nom Prénom)]],"")</f>
        <v/>
      </c>
      <c r="S93" s="186">
        <f>1/COUNTIF(T_sept_dec[CléRize],T_sept_dec[[#This Row],[CléRize]])</f>
        <v>4.048582995951417E-3</v>
      </c>
      <c r="T93" s="186" t="str">
        <f>IF(COUNTIF(Total,T_sept_dec[[#This Row],[Secteur organisateur]]),"Total_"&amp;T_sept_dec[[#This Row],[Enseignant référent (Nom Prénom)]],"")</f>
        <v/>
      </c>
      <c r="U93" s="186">
        <f>1/COUNTIF(T_sept_dec[cléTotal],T_sept_dec[[#This Row],[cléTotal]])</f>
        <v>4.1841004184100415E-3</v>
      </c>
    </row>
    <row r="94" spans="11:21">
      <c r="K94" s="21" t="str">
        <f>IF(COUNTIF(Maternelle,E94)=1,listes!$T$1,IF(COUNTIF(Elémentaire,E94)=1,listes!$U$1,IF(COUNTIF(Collège,E94)=1,listes!$V$1,IF(COUNTIF(Lycée,E94)=1,listes!$W$1,""))))</f>
        <v/>
      </c>
      <c r="L94" s="21" t="str">
        <f>IF(COUNTIF(Perralière,D94)=1,listes!$P$1,IF(COUNTIF(Buers,D94)=1,listes!$J$1,IF(COUNTIF(Charpennes,D94)=1,listes!$K$1,IF(COUNTIF(Cusset,D94)=1,listes!$L$1,IF(COUNTIF(Cyprien,D94)=1,listes!$M$1,IF(COUNTIF(Ferrandière,D94)=1,listes!$N$1,IF(COUNTIF(Gratteciel,D94)=1,listes!$O$1,IF(COUNTIF(Saintjean,D94)=1,listes!$Q$1,IF(COUNTIF(horsvilleurbanne,D94)=1,listes!$R$1,"")))))))))</f>
        <v/>
      </c>
      <c r="M94" s="21" t="str">
        <f t="shared" si="1"/>
        <v/>
      </c>
      <c r="N94" s="21" t="str">
        <f>T_sept_dec[[#This Row],[Etablissement accueillant]]&amp;"-"&amp;T_sept_dec[[#This Row],[Enseignant référent (Nom Prénom)]]</f>
        <v>-</v>
      </c>
      <c r="O94" s="21">
        <f>1/COUNTIF(T_sept_dec[CléEtablissement],T_sept_dec[[#This Row],[CléEtablissement]])</f>
        <v>4.1841004184100415E-3</v>
      </c>
      <c r="P9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4" s="186">
        <f>1/COUNTIF(T_sept_dec[CléRéseau-Rize horsmed],T_sept_dec[[#This Row],[CléRéseau-Rize horsmed]])</f>
        <v>4.1841004184100415E-3</v>
      </c>
      <c r="R94" s="186" t="str">
        <f>IF(COUNTIF(RIZE,T_sept_dec[[#This Row],[Secteur organisateur]]),"Rize_"&amp;T_sept_dec[[#This Row],[Enseignant référent (Nom Prénom)]],"")</f>
        <v/>
      </c>
      <c r="S94" s="186">
        <f>1/COUNTIF(T_sept_dec[CléRize],T_sept_dec[[#This Row],[CléRize]])</f>
        <v>4.048582995951417E-3</v>
      </c>
      <c r="T94" s="186" t="str">
        <f>IF(COUNTIF(Total,T_sept_dec[[#This Row],[Secteur organisateur]]),"Total_"&amp;T_sept_dec[[#This Row],[Enseignant référent (Nom Prénom)]],"")</f>
        <v/>
      </c>
      <c r="U94" s="186">
        <f>1/COUNTIF(T_sept_dec[cléTotal],T_sept_dec[[#This Row],[cléTotal]])</f>
        <v>4.1841004184100415E-3</v>
      </c>
    </row>
    <row r="95" spans="11:21">
      <c r="K95" s="21" t="str">
        <f>IF(COUNTIF(Maternelle,E95)=1,listes!$T$1,IF(COUNTIF(Elémentaire,E95)=1,listes!$U$1,IF(COUNTIF(Collège,E95)=1,listes!$V$1,IF(COUNTIF(Lycée,E95)=1,listes!$W$1,""))))</f>
        <v/>
      </c>
      <c r="L95" s="21" t="str">
        <f>IF(COUNTIF(Perralière,D95)=1,listes!$P$1,IF(COUNTIF(Buers,D95)=1,listes!$J$1,IF(COUNTIF(Charpennes,D95)=1,listes!$K$1,IF(COUNTIF(Cusset,D95)=1,listes!$L$1,IF(COUNTIF(Cyprien,D95)=1,listes!$M$1,IF(COUNTIF(Ferrandière,D95)=1,listes!$N$1,IF(COUNTIF(Gratteciel,D95)=1,listes!$O$1,IF(COUNTIF(Saintjean,D95)=1,listes!$Q$1,IF(COUNTIF(horsvilleurbanne,D95)=1,listes!$R$1,"")))))))))</f>
        <v/>
      </c>
      <c r="M95" s="21" t="str">
        <f t="shared" si="1"/>
        <v/>
      </c>
      <c r="N95" s="21" t="str">
        <f>T_sept_dec[[#This Row],[Etablissement accueillant]]&amp;"-"&amp;T_sept_dec[[#This Row],[Enseignant référent (Nom Prénom)]]</f>
        <v>-</v>
      </c>
      <c r="O95" s="21">
        <f>1/COUNTIF(T_sept_dec[CléEtablissement],T_sept_dec[[#This Row],[CléEtablissement]])</f>
        <v>4.1841004184100415E-3</v>
      </c>
      <c r="P9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5" s="186">
        <f>1/COUNTIF(T_sept_dec[CléRéseau-Rize horsmed],T_sept_dec[[#This Row],[CléRéseau-Rize horsmed]])</f>
        <v>4.1841004184100415E-3</v>
      </c>
      <c r="R95" s="186" t="str">
        <f>IF(COUNTIF(RIZE,T_sept_dec[[#This Row],[Secteur organisateur]]),"Rize_"&amp;T_sept_dec[[#This Row],[Enseignant référent (Nom Prénom)]],"")</f>
        <v/>
      </c>
      <c r="S95" s="186">
        <f>1/COUNTIF(T_sept_dec[CléRize],T_sept_dec[[#This Row],[CléRize]])</f>
        <v>4.048582995951417E-3</v>
      </c>
      <c r="T95" s="186" t="str">
        <f>IF(COUNTIF(Total,T_sept_dec[[#This Row],[Secteur organisateur]]),"Total_"&amp;T_sept_dec[[#This Row],[Enseignant référent (Nom Prénom)]],"")</f>
        <v/>
      </c>
      <c r="U95" s="186">
        <f>1/COUNTIF(T_sept_dec[cléTotal],T_sept_dec[[#This Row],[cléTotal]])</f>
        <v>4.1841004184100415E-3</v>
      </c>
    </row>
    <row r="96" spans="11:21">
      <c r="K96" s="21" t="str">
        <f>IF(COUNTIF(Maternelle,E96)=1,listes!$T$1,IF(COUNTIF(Elémentaire,E96)=1,listes!$U$1,IF(COUNTIF(Collège,E96)=1,listes!$V$1,IF(COUNTIF(Lycée,E96)=1,listes!$W$1,""))))</f>
        <v/>
      </c>
      <c r="L96" s="21" t="str">
        <f>IF(COUNTIF(Perralière,D96)=1,listes!$P$1,IF(COUNTIF(Buers,D96)=1,listes!$J$1,IF(COUNTIF(Charpennes,D96)=1,listes!$K$1,IF(COUNTIF(Cusset,D96)=1,listes!$L$1,IF(COUNTIF(Cyprien,D96)=1,listes!$M$1,IF(COUNTIF(Ferrandière,D96)=1,listes!$N$1,IF(COUNTIF(Gratteciel,D96)=1,listes!$O$1,IF(COUNTIF(Saintjean,D96)=1,listes!$Q$1,IF(COUNTIF(horsvilleurbanne,D96)=1,listes!$R$1,"")))))))))</f>
        <v/>
      </c>
      <c r="M96" s="21" t="str">
        <f t="shared" si="1"/>
        <v/>
      </c>
      <c r="N96" s="21" t="str">
        <f>T_sept_dec[[#This Row],[Etablissement accueillant]]&amp;"-"&amp;T_sept_dec[[#This Row],[Enseignant référent (Nom Prénom)]]</f>
        <v>-</v>
      </c>
      <c r="O96" s="21">
        <f>1/COUNTIF(T_sept_dec[CléEtablissement],T_sept_dec[[#This Row],[CléEtablissement]])</f>
        <v>4.1841004184100415E-3</v>
      </c>
      <c r="P9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6" s="186">
        <f>1/COUNTIF(T_sept_dec[CléRéseau-Rize horsmed],T_sept_dec[[#This Row],[CléRéseau-Rize horsmed]])</f>
        <v>4.1841004184100415E-3</v>
      </c>
      <c r="R96" s="186" t="str">
        <f>IF(COUNTIF(RIZE,T_sept_dec[[#This Row],[Secteur organisateur]]),"Rize_"&amp;T_sept_dec[[#This Row],[Enseignant référent (Nom Prénom)]],"")</f>
        <v/>
      </c>
      <c r="S96" s="186">
        <f>1/COUNTIF(T_sept_dec[CléRize],T_sept_dec[[#This Row],[CléRize]])</f>
        <v>4.048582995951417E-3</v>
      </c>
      <c r="T96" s="186" t="str">
        <f>IF(COUNTIF(Total,T_sept_dec[[#This Row],[Secteur organisateur]]),"Total_"&amp;T_sept_dec[[#This Row],[Enseignant référent (Nom Prénom)]],"")</f>
        <v/>
      </c>
      <c r="U96" s="186">
        <f>1/COUNTIF(T_sept_dec[cléTotal],T_sept_dec[[#This Row],[cléTotal]])</f>
        <v>4.1841004184100415E-3</v>
      </c>
    </row>
    <row r="97" spans="11:21">
      <c r="K97" s="21" t="str">
        <f>IF(COUNTIF(Maternelle,E97)=1,listes!$T$1,IF(COUNTIF(Elémentaire,E97)=1,listes!$U$1,IF(COUNTIF(Collège,E97)=1,listes!$V$1,IF(COUNTIF(Lycée,E97)=1,listes!$W$1,""))))</f>
        <v/>
      </c>
      <c r="L97" s="21" t="str">
        <f>IF(COUNTIF(Perralière,D97)=1,listes!$P$1,IF(COUNTIF(Buers,D97)=1,listes!$J$1,IF(COUNTIF(Charpennes,D97)=1,listes!$K$1,IF(COUNTIF(Cusset,D97)=1,listes!$L$1,IF(COUNTIF(Cyprien,D97)=1,listes!$M$1,IF(COUNTIF(Ferrandière,D97)=1,listes!$N$1,IF(COUNTIF(Gratteciel,D97)=1,listes!$O$1,IF(COUNTIF(Saintjean,D97)=1,listes!$Q$1,IF(COUNTIF(horsvilleurbanne,D97)=1,listes!$R$1,"")))))))))</f>
        <v/>
      </c>
      <c r="M97" s="21" t="str">
        <f t="shared" si="1"/>
        <v/>
      </c>
      <c r="N97" s="21" t="str">
        <f>T_sept_dec[[#This Row],[Etablissement accueillant]]&amp;"-"&amp;T_sept_dec[[#This Row],[Enseignant référent (Nom Prénom)]]</f>
        <v>-</v>
      </c>
      <c r="O97" s="21">
        <f>1/COUNTIF(T_sept_dec[CléEtablissement],T_sept_dec[[#This Row],[CléEtablissement]])</f>
        <v>4.1841004184100415E-3</v>
      </c>
      <c r="P9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7" s="186">
        <f>1/COUNTIF(T_sept_dec[CléRéseau-Rize horsmed],T_sept_dec[[#This Row],[CléRéseau-Rize horsmed]])</f>
        <v>4.1841004184100415E-3</v>
      </c>
      <c r="R97" s="186" t="str">
        <f>IF(COUNTIF(RIZE,T_sept_dec[[#This Row],[Secteur organisateur]]),"Rize_"&amp;T_sept_dec[[#This Row],[Enseignant référent (Nom Prénom)]],"")</f>
        <v/>
      </c>
      <c r="S97" s="186">
        <f>1/COUNTIF(T_sept_dec[CléRize],T_sept_dec[[#This Row],[CléRize]])</f>
        <v>4.048582995951417E-3</v>
      </c>
      <c r="T97" s="186" t="str">
        <f>IF(COUNTIF(Total,T_sept_dec[[#This Row],[Secteur organisateur]]),"Total_"&amp;T_sept_dec[[#This Row],[Enseignant référent (Nom Prénom)]],"")</f>
        <v/>
      </c>
      <c r="U97" s="186">
        <f>1/COUNTIF(T_sept_dec[cléTotal],T_sept_dec[[#This Row],[cléTotal]])</f>
        <v>4.1841004184100415E-3</v>
      </c>
    </row>
    <row r="98" spans="11:21">
      <c r="K98" s="21" t="str">
        <f>IF(COUNTIF(Maternelle,E98)=1,listes!$T$1,IF(COUNTIF(Elémentaire,E98)=1,listes!$U$1,IF(COUNTIF(Collège,E98)=1,listes!$V$1,IF(COUNTIF(Lycée,E98)=1,listes!$W$1,""))))</f>
        <v/>
      </c>
      <c r="L98" s="21" t="str">
        <f>IF(COUNTIF(Perralière,D98)=1,listes!$P$1,IF(COUNTIF(Buers,D98)=1,listes!$J$1,IF(COUNTIF(Charpennes,D98)=1,listes!$K$1,IF(COUNTIF(Cusset,D98)=1,listes!$L$1,IF(COUNTIF(Cyprien,D98)=1,listes!$M$1,IF(COUNTIF(Ferrandière,D98)=1,listes!$N$1,IF(COUNTIF(Gratteciel,D98)=1,listes!$O$1,IF(COUNTIF(Saintjean,D98)=1,listes!$Q$1,IF(COUNTIF(horsvilleurbanne,D98)=1,listes!$R$1,"")))))))))</f>
        <v/>
      </c>
      <c r="M98" s="21" t="str">
        <f t="shared" si="1"/>
        <v/>
      </c>
      <c r="N98" s="21" t="str">
        <f>T_sept_dec[[#This Row],[Etablissement accueillant]]&amp;"-"&amp;T_sept_dec[[#This Row],[Enseignant référent (Nom Prénom)]]</f>
        <v>-</v>
      </c>
      <c r="O98" s="21">
        <f>1/COUNTIF(T_sept_dec[CléEtablissement],T_sept_dec[[#This Row],[CléEtablissement]])</f>
        <v>4.1841004184100415E-3</v>
      </c>
      <c r="P9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8" s="186">
        <f>1/COUNTIF(T_sept_dec[CléRéseau-Rize horsmed],T_sept_dec[[#This Row],[CléRéseau-Rize horsmed]])</f>
        <v>4.1841004184100415E-3</v>
      </c>
      <c r="R98" s="186" t="str">
        <f>IF(COUNTIF(RIZE,T_sept_dec[[#This Row],[Secteur organisateur]]),"Rize_"&amp;T_sept_dec[[#This Row],[Enseignant référent (Nom Prénom)]],"")</f>
        <v/>
      </c>
      <c r="S98" s="186">
        <f>1/COUNTIF(T_sept_dec[CléRize],T_sept_dec[[#This Row],[CléRize]])</f>
        <v>4.048582995951417E-3</v>
      </c>
      <c r="T98" s="186" t="str">
        <f>IF(COUNTIF(Total,T_sept_dec[[#This Row],[Secteur organisateur]]),"Total_"&amp;T_sept_dec[[#This Row],[Enseignant référent (Nom Prénom)]],"")</f>
        <v/>
      </c>
      <c r="U98" s="186">
        <f>1/COUNTIF(T_sept_dec[cléTotal],T_sept_dec[[#This Row],[cléTotal]])</f>
        <v>4.1841004184100415E-3</v>
      </c>
    </row>
    <row r="99" spans="11:21">
      <c r="K99" s="21" t="str">
        <f>IF(COUNTIF(Maternelle,E99)=1,listes!$T$1,IF(COUNTIF(Elémentaire,E99)=1,listes!$U$1,IF(COUNTIF(Collège,E99)=1,listes!$V$1,IF(COUNTIF(Lycée,E99)=1,listes!$W$1,""))))</f>
        <v/>
      </c>
      <c r="L99" s="21" t="str">
        <f>IF(COUNTIF(Perralière,D99)=1,listes!$P$1,IF(COUNTIF(Buers,D99)=1,listes!$J$1,IF(COUNTIF(Charpennes,D99)=1,listes!$K$1,IF(COUNTIF(Cusset,D99)=1,listes!$L$1,IF(COUNTIF(Cyprien,D99)=1,listes!$M$1,IF(COUNTIF(Ferrandière,D99)=1,listes!$N$1,IF(COUNTIF(Gratteciel,D99)=1,listes!$O$1,IF(COUNTIF(Saintjean,D99)=1,listes!$Q$1,IF(COUNTIF(horsvilleurbanne,D99)=1,listes!$R$1,"")))))))))</f>
        <v/>
      </c>
      <c r="M99" s="21" t="str">
        <f t="shared" si="1"/>
        <v/>
      </c>
      <c r="N99" s="21" t="str">
        <f>T_sept_dec[[#This Row],[Etablissement accueillant]]&amp;"-"&amp;T_sept_dec[[#This Row],[Enseignant référent (Nom Prénom)]]</f>
        <v>-</v>
      </c>
      <c r="O99" s="21">
        <f>1/COUNTIF(T_sept_dec[CléEtablissement],T_sept_dec[[#This Row],[CléEtablissement]])</f>
        <v>4.1841004184100415E-3</v>
      </c>
      <c r="P9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99" s="186">
        <f>1/COUNTIF(T_sept_dec[CléRéseau-Rize horsmed],T_sept_dec[[#This Row],[CléRéseau-Rize horsmed]])</f>
        <v>4.1841004184100415E-3</v>
      </c>
      <c r="R99" s="186" t="str">
        <f>IF(COUNTIF(RIZE,T_sept_dec[[#This Row],[Secteur organisateur]]),"Rize_"&amp;T_sept_dec[[#This Row],[Enseignant référent (Nom Prénom)]],"")</f>
        <v/>
      </c>
      <c r="S99" s="186">
        <f>1/COUNTIF(T_sept_dec[CléRize],T_sept_dec[[#This Row],[CléRize]])</f>
        <v>4.048582995951417E-3</v>
      </c>
      <c r="T99" s="186" t="str">
        <f>IF(COUNTIF(Total,T_sept_dec[[#This Row],[Secteur organisateur]]),"Total_"&amp;T_sept_dec[[#This Row],[Enseignant référent (Nom Prénom)]],"")</f>
        <v/>
      </c>
      <c r="U99" s="186">
        <f>1/COUNTIF(T_sept_dec[cléTotal],T_sept_dec[[#This Row],[cléTotal]])</f>
        <v>4.1841004184100415E-3</v>
      </c>
    </row>
    <row r="100" spans="11:21">
      <c r="K100" s="21" t="str">
        <f>IF(COUNTIF(Maternelle,E100)=1,listes!$T$1,IF(COUNTIF(Elémentaire,E100)=1,listes!$U$1,IF(COUNTIF(Collège,E100)=1,listes!$V$1,IF(COUNTIF(Lycée,E100)=1,listes!$W$1,""))))</f>
        <v/>
      </c>
      <c r="L100" s="21" t="str">
        <f>IF(COUNTIF(Perralière,D100)=1,listes!$P$1,IF(COUNTIF(Buers,D100)=1,listes!$J$1,IF(COUNTIF(Charpennes,D100)=1,listes!$K$1,IF(COUNTIF(Cusset,D100)=1,listes!$L$1,IF(COUNTIF(Cyprien,D100)=1,listes!$M$1,IF(COUNTIF(Ferrandière,D100)=1,listes!$N$1,IF(COUNTIF(Gratteciel,D100)=1,listes!$O$1,IF(COUNTIF(Saintjean,D100)=1,listes!$Q$1,IF(COUNTIF(horsvilleurbanne,D100)=1,listes!$R$1,"")))))))))</f>
        <v/>
      </c>
      <c r="M100" s="21" t="str">
        <f t="shared" si="1"/>
        <v/>
      </c>
      <c r="N100" s="21" t="str">
        <f>T_sept_dec[[#This Row],[Etablissement accueillant]]&amp;"-"&amp;T_sept_dec[[#This Row],[Enseignant référent (Nom Prénom)]]</f>
        <v>-</v>
      </c>
      <c r="O100" s="21">
        <f>1/COUNTIF(T_sept_dec[CléEtablissement],T_sept_dec[[#This Row],[CléEtablissement]])</f>
        <v>4.1841004184100415E-3</v>
      </c>
      <c r="P10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0" s="186">
        <f>1/COUNTIF(T_sept_dec[CléRéseau-Rize horsmed],T_sept_dec[[#This Row],[CléRéseau-Rize horsmed]])</f>
        <v>4.1841004184100415E-3</v>
      </c>
      <c r="R100" s="186" t="str">
        <f>IF(COUNTIF(RIZE,T_sept_dec[[#This Row],[Secteur organisateur]]),"Rize_"&amp;T_sept_dec[[#This Row],[Enseignant référent (Nom Prénom)]],"")</f>
        <v/>
      </c>
      <c r="S100" s="186">
        <f>1/COUNTIF(T_sept_dec[CléRize],T_sept_dec[[#This Row],[CléRize]])</f>
        <v>4.048582995951417E-3</v>
      </c>
      <c r="T100" s="186" t="str">
        <f>IF(COUNTIF(Total,T_sept_dec[[#This Row],[Secteur organisateur]]),"Total_"&amp;T_sept_dec[[#This Row],[Enseignant référent (Nom Prénom)]],"")</f>
        <v/>
      </c>
      <c r="U100" s="186">
        <f>1/COUNTIF(T_sept_dec[cléTotal],T_sept_dec[[#This Row],[cléTotal]])</f>
        <v>4.1841004184100415E-3</v>
      </c>
    </row>
    <row r="101" spans="11:21">
      <c r="K101" s="21" t="str">
        <f>IF(COUNTIF(Maternelle,E101)=1,listes!$T$1,IF(COUNTIF(Elémentaire,E101)=1,listes!$U$1,IF(COUNTIF(Collège,E101)=1,listes!$V$1,IF(COUNTIF(Lycée,E101)=1,listes!$W$1,""))))</f>
        <v/>
      </c>
      <c r="L101" s="21" t="str">
        <f>IF(COUNTIF(Perralière,D101)=1,listes!$P$1,IF(COUNTIF(Buers,D101)=1,listes!$J$1,IF(COUNTIF(Charpennes,D101)=1,listes!$K$1,IF(COUNTIF(Cusset,D101)=1,listes!$L$1,IF(COUNTIF(Cyprien,D101)=1,listes!$M$1,IF(COUNTIF(Ferrandière,D101)=1,listes!$N$1,IF(COUNTIF(Gratteciel,D101)=1,listes!$O$1,IF(COUNTIF(Saintjean,D101)=1,listes!$Q$1,IF(COUNTIF(horsvilleurbanne,D101)=1,listes!$R$1,"")))))))))</f>
        <v/>
      </c>
      <c r="M101" s="21" t="str">
        <f t="shared" si="1"/>
        <v/>
      </c>
      <c r="N101" s="21" t="str">
        <f>T_sept_dec[[#This Row],[Etablissement accueillant]]&amp;"-"&amp;T_sept_dec[[#This Row],[Enseignant référent (Nom Prénom)]]</f>
        <v>-</v>
      </c>
      <c r="O101" s="21">
        <f>1/COUNTIF(T_sept_dec[CléEtablissement],T_sept_dec[[#This Row],[CléEtablissement]])</f>
        <v>4.1841004184100415E-3</v>
      </c>
      <c r="P10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1" s="186">
        <f>1/COUNTIF(T_sept_dec[CléRéseau-Rize horsmed],T_sept_dec[[#This Row],[CléRéseau-Rize horsmed]])</f>
        <v>4.1841004184100415E-3</v>
      </c>
      <c r="R101" s="186" t="str">
        <f>IF(COUNTIF(RIZE,T_sept_dec[[#This Row],[Secteur organisateur]]),"Rize_"&amp;T_sept_dec[[#This Row],[Enseignant référent (Nom Prénom)]],"")</f>
        <v/>
      </c>
      <c r="S101" s="186">
        <f>1/COUNTIF(T_sept_dec[CléRize],T_sept_dec[[#This Row],[CléRize]])</f>
        <v>4.048582995951417E-3</v>
      </c>
      <c r="T101" s="186" t="str">
        <f>IF(COUNTIF(Total,T_sept_dec[[#This Row],[Secteur organisateur]]),"Total_"&amp;T_sept_dec[[#This Row],[Enseignant référent (Nom Prénom)]],"")</f>
        <v/>
      </c>
      <c r="U101" s="186">
        <f>1/COUNTIF(T_sept_dec[cléTotal],T_sept_dec[[#This Row],[cléTotal]])</f>
        <v>4.1841004184100415E-3</v>
      </c>
    </row>
    <row r="102" spans="11:21">
      <c r="K102" s="21" t="str">
        <f>IF(COUNTIF(Maternelle,E102)=1,listes!$T$1,IF(COUNTIF(Elémentaire,E102)=1,listes!$U$1,IF(COUNTIF(Collège,E102)=1,listes!$V$1,IF(COUNTIF(Lycée,E102)=1,listes!$W$1,""))))</f>
        <v/>
      </c>
      <c r="L102" s="21" t="str">
        <f>IF(COUNTIF(Perralière,D102)=1,listes!$P$1,IF(COUNTIF(Buers,D102)=1,listes!$J$1,IF(COUNTIF(Charpennes,D102)=1,listes!$K$1,IF(COUNTIF(Cusset,D102)=1,listes!$L$1,IF(COUNTIF(Cyprien,D102)=1,listes!$M$1,IF(COUNTIF(Ferrandière,D102)=1,listes!$N$1,IF(COUNTIF(Gratteciel,D102)=1,listes!$O$1,IF(COUNTIF(Saintjean,D102)=1,listes!$Q$1,IF(COUNTIF(horsvilleurbanne,D102)=1,listes!$R$1,"")))))))))</f>
        <v/>
      </c>
      <c r="M102" s="21" t="str">
        <f t="shared" si="1"/>
        <v/>
      </c>
      <c r="N102" s="21" t="str">
        <f>T_sept_dec[[#This Row],[Etablissement accueillant]]&amp;"-"&amp;T_sept_dec[[#This Row],[Enseignant référent (Nom Prénom)]]</f>
        <v>-</v>
      </c>
      <c r="O102" s="21">
        <f>1/COUNTIF(T_sept_dec[CléEtablissement],T_sept_dec[[#This Row],[CléEtablissement]])</f>
        <v>4.1841004184100415E-3</v>
      </c>
      <c r="P10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2" s="186">
        <f>1/COUNTIF(T_sept_dec[CléRéseau-Rize horsmed],T_sept_dec[[#This Row],[CléRéseau-Rize horsmed]])</f>
        <v>4.1841004184100415E-3</v>
      </c>
      <c r="R102" s="186" t="str">
        <f>IF(COUNTIF(RIZE,T_sept_dec[[#This Row],[Secteur organisateur]]),"Rize_"&amp;T_sept_dec[[#This Row],[Enseignant référent (Nom Prénom)]],"")</f>
        <v/>
      </c>
      <c r="S102" s="186">
        <f>1/COUNTIF(T_sept_dec[CléRize],T_sept_dec[[#This Row],[CléRize]])</f>
        <v>4.048582995951417E-3</v>
      </c>
      <c r="T102" s="186" t="str">
        <f>IF(COUNTIF(Total,T_sept_dec[[#This Row],[Secteur organisateur]]),"Total_"&amp;T_sept_dec[[#This Row],[Enseignant référent (Nom Prénom)]],"")</f>
        <v/>
      </c>
      <c r="U102" s="186">
        <f>1/COUNTIF(T_sept_dec[cléTotal],T_sept_dec[[#This Row],[cléTotal]])</f>
        <v>4.1841004184100415E-3</v>
      </c>
    </row>
    <row r="103" spans="11:21">
      <c r="K103" s="21" t="str">
        <f>IF(COUNTIF(Maternelle,E103)=1,listes!$T$1,IF(COUNTIF(Elémentaire,E103)=1,listes!$U$1,IF(COUNTIF(Collège,E103)=1,listes!$V$1,IF(COUNTIF(Lycée,E103)=1,listes!$W$1,""))))</f>
        <v/>
      </c>
      <c r="L103" s="21" t="str">
        <f>IF(COUNTIF(Perralière,D103)=1,listes!$P$1,IF(COUNTIF(Buers,D103)=1,listes!$J$1,IF(COUNTIF(Charpennes,D103)=1,listes!$K$1,IF(COUNTIF(Cusset,D103)=1,listes!$L$1,IF(COUNTIF(Cyprien,D103)=1,listes!$M$1,IF(COUNTIF(Ferrandière,D103)=1,listes!$N$1,IF(COUNTIF(Gratteciel,D103)=1,listes!$O$1,IF(COUNTIF(Saintjean,D103)=1,listes!$Q$1,IF(COUNTIF(horsvilleurbanne,D103)=1,listes!$R$1,"")))))))))</f>
        <v/>
      </c>
      <c r="M103" s="21" t="str">
        <f t="shared" si="1"/>
        <v/>
      </c>
      <c r="N103" s="21" t="str">
        <f>T_sept_dec[[#This Row],[Etablissement accueillant]]&amp;"-"&amp;T_sept_dec[[#This Row],[Enseignant référent (Nom Prénom)]]</f>
        <v>-</v>
      </c>
      <c r="O103" s="21">
        <f>1/COUNTIF(T_sept_dec[CléEtablissement],T_sept_dec[[#This Row],[CléEtablissement]])</f>
        <v>4.1841004184100415E-3</v>
      </c>
      <c r="P10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3" s="186">
        <f>1/COUNTIF(T_sept_dec[CléRéseau-Rize horsmed],T_sept_dec[[#This Row],[CléRéseau-Rize horsmed]])</f>
        <v>4.1841004184100415E-3</v>
      </c>
      <c r="R103" s="186" t="str">
        <f>IF(COUNTIF(RIZE,T_sept_dec[[#This Row],[Secteur organisateur]]),"Rize_"&amp;T_sept_dec[[#This Row],[Enseignant référent (Nom Prénom)]],"")</f>
        <v/>
      </c>
      <c r="S103" s="186">
        <f>1/COUNTIF(T_sept_dec[CléRize],T_sept_dec[[#This Row],[CléRize]])</f>
        <v>4.048582995951417E-3</v>
      </c>
      <c r="T103" s="186" t="str">
        <f>IF(COUNTIF(Total,T_sept_dec[[#This Row],[Secteur organisateur]]),"Total_"&amp;T_sept_dec[[#This Row],[Enseignant référent (Nom Prénom)]],"")</f>
        <v/>
      </c>
      <c r="U103" s="186">
        <f>1/COUNTIF(T_sept_dec[cléTotal],T_sept_dec[[#This Row],[cléTotal]])</f>
        <v>4.1841004184100415E-3</v>
      </c>
    </row>
    <row r="104" spans="11:21">
      <c r="K104" s="21" t="str">
        <f>IF(COUNTIF(Maternelle,E104)=1,listes!$T$1,IF(COUNTIF(Elémentaire,E104)=1,listes!$U$1,IF(COUNTIF(Collège,E104)=1,listes!$V$1,IF(COUNTIF(Lycée,E104)=1,listes!$W$1,""))))</f>
        <v/>
      </c>
      <c r="L104" s="21" t="str">
        <f>IF(COUNTIF(Perralière,D104)=1,listes!$P$1,IF(COUNTIF(Buers,D104)=1,listes!$J$1,IF(COUNTIF(Charpennes,D104)=1,listes!$K$1,IF(COUNTIF(Cusset,D104)=1,listes!$L$1,IF(COUNTIF(Cyprien,D104)=1,listes!$M$1,IF(COUNTIF(Ferrandière,D104)=1,listes!$N$1,IF(COUNTIF(Gratteciel,D104)=1,listes!$O$1,IF(COUNTIF(Saintjean,D104)=1,listes!$Q$1,IF(COUNTIF(horsvilleurbanne,D104)=1,listes!$R$1,"")))))))))</f>
        <v/>
      </c>
      <c r="M104" s="21" t="str">
        <f t="shared" si="1"/>
        <v/>
      </c>
      <c r="N104" s="21" t="str">
        <f>T_sept_dec[[#This Row],[Etablissement accueillant]]&amp;"-"&amp;T_sept_dec[[#This Row],[Enseignant référent (Nom Prénom)]]</f>
        <v>-</v>
      </c>
      <c r="O104" s="21">
        <f>1/COUNTIF(T_sept_dec[CléEtablissement],T_sept_dec[[#This Row],[CléEtablissement]])</f>
        <v>4.1841004184100415E-3</v>
      </c>
      <c r="P10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4" s="186">
        <f>1/COUNTIF(T_sept_dec[CléRéseau-Rize horsmed],T_sept_dec[[#This Row],[CléRéseau-Rize horsmed]])</f>
        <v>4.1841004184100415E-3</v>
      </c>
      <c r="R104" s="186" t="str">
        <f>IF(COUNTIF(RIZE,T_sept_dec[[#This Row],[Secteur organisateur]]),"Rize_"&amp;T_sept_dec[[#This Row],[Enseignant référent (Nom Prénom)]],"")</f>
        <v/>
      </c>
      <c r="S104" s="186">
        <f>1/COUNTIF(T_sept_dec[CléRize],T_sept_dec[[#This Row],[CléRize]])</f>
        <v>4.048582995951417E-3</v>
      </c>
      <c r="T104" s="186" t="str">
        <f>IF(COUNTIF(Total,T_sept_dec[[#This Row],[Secteur organisateur]]),"Total_"&amp;T_sept_dec[[#This Row],[Enseignant référent (Nom Prénom)]],"")</f>
        <v/>
      </c>
      <c r="U104" s="186">
        <f>1/COUNTIF(T_sept_dec[cléTotal],T_sept_dec[[#This Row],[cléTotal]])</f>
        <v>4.1841004184100415E-3</v>
      </c>
    </row>
    <row r="105" spans="11:21">
      <c r="K105" s="21" t="str">
        <f>IF(COUNTIF(Maternelle,E105)=1,listes!$T$1,IF(COUNTIF(Elémentaire,E105)=1,listes!$U$1,IF(COUNTIF(Collège,E105)=1,listes!$V$1,IF(COUNTIF(Lycée,E105)=1,listes!$W$1,""))))</f>
        <v/>
      </c>
      <c r="L105" s="21" t="str">
        <f>IF(COUNTIF(Perralière,D105)=1,listes!$P$1,IF(COUNTIF(Buers,D105)=1,listes!$J$1,IF(COUNTIF(Charpennes,D105)=1,listes!$K$1,IF(COUNTIF(Cusset,D105)=1,listes!$L$1,IF(COUNTIF(Cyprien,D105)=1,listes!$M$1,IF(COUNTIF(Ferrandière,D105)=1,listes!$N$1,IF(COUNTIF(Gratteciel,D105)=1,listes!$O$1,IF(COUNTIF(Saintjean,D105)=1,listes!$Q$1,IF(COUNTIF(horsvilleurbanne,D105)=1,listes!$R$1,"")))))))))</f>
        <v/>
      </c>
      <c r="M105" s="21" t="str">
        <f t="shared" si="1"/>
        <v/>
      </c>
      <c r="N105" s="21" t="str">
        <f>T_sept_dec[[#This Row],[Etablissement accueillant]]&amp;"-"&amp;T_sept_dec[[#This Row],[Enseignant référent (Nom Prénom)]]</f>
        <v>-</v>
      </c>
      <c r="O105" s="21">
        <f>1/COUNTIF(T_sept_dec[CléEtablissement],T_sept_dec[[#This Row],[CléEtablissement]])</f>
        <v>4.1841004184100415E-3</v>
      </c>
      <c r="P10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5" s="186">
        <f>1/COUNTIF(T_sept_dec[CléRéseau-Rize horsmed],T_sept_dec[[#This Row],[CléRéseau-Rize horsmed]])</f>
        <v>4.1841004184100415E-3</v>
      </c>
      <c r="R105" s="186" t="str">
        <f>IF(COUNTIF(RIZE,T_sept_dec[[#This Row],[Secteur organisateur]]),"Rize_"&amp;T_sept_dec[[#This Row],[Enseignant référent (Nom Prénom)]],"")</f>
        <v/>
      </c>
      <c r="S105" s="186">
        <f>1/COUNTIF(T_sept_dec[CléRize],T_sept_dec[[#This Row],[CléRize]])</f>
        <v>4.048582995951417E-3</v>
      </c>
      <c r="T105" s="186" t="str">
        <f>IF(COUNTIF(Total,T_sept_dec[[#This Row],[Secteur organisateur]]),"Total_"&amp;T_sept_dec[[#This Row],[Enseignant référent (Nom Prénom)]],"")</f>
        <v/>
      </c>
      <c r="U105" s="186">
        <f>1/COUNTIF(T_sept_dec[cléTotal],T_sept_dec[[#This Row],[cléTotal]])</f>
        <v>4.1841004184100415E-3</v>
      </c>
    </row>
    <row r="106" spans="11:21">
      <c r="K106" s="21" t="str">
        <f>IF(COUNTIF(Maternelle,E106)=1,listes!$T$1,IF(COUNTIF(Elémentaire,E106)=1,listes!$U$1,IF(COUNTIF(Collège,E106)=1,listes!$V$1,IF(COUNTIF(Lycée,E106)=1,listes!$W$1,""))))</f>
        <v/>
      </c>
      <c r="L106" s="21" t="str">
        <f>IF(COUNTIF(Perralière,D106)=1,listes!$P$1,IF(COUNTIF(Buers,D106)=1,listes!$J$1,IF(COUNTIF(Charpennes,D106)=1,listes!$K$1,IF(COUNTIF(Cusset,D106)=1,listes!$L$1,IF(COUNTIF(Cyprien,D106)=1,listes!$M$1,IF(COUNTIF(Ferrandière,D106)=1,listes!$N$1,IF(COUNTIF(Gratteciel,D106)=1,listes!$O$1,IF(COUNTIF(Saintjean,D106)=1,listes!$Q$1,IF(COUNTIF(horsvilleurbanne,D106)=1,listes!$R$1,"")))))))))</f>
        <v/>
      </c>
      <c r="M106" s="21" t="str">
        <f t="shared" si="1"/>
        <v/>
      </c>
      <c r="N106" s="21" t="str">
        <f>T_sept_dec[[#This Row],[Etablissement accueillant]]&amp;"-"&amp;T_sept_dec[[#This Row],[Enseignant référent (Nom Prénom)]]</f>
        <v>-</v>
      </c>
      <c r="O106" s="21">
        <f>1/COUNTIF(T_sept_dec[CléEtablissement],T_sept_dec[[#This Row],[CléEtablissement]])</f>
        <v>4.1841004184100415E-3</v>
      </c>
      <c r="P10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6" s="186">
        <f>1/COUNTIF(T_sept_dec[CléRéseau-Rize horsmed],T_sept_dec[[#This Row],[CléRéseau-Rize horsmed]])</f>
        <v>4.1841004184100415E-3</v>
      </c>
      <c r="R106" s="186" t="str">
        <f>IF(COUNTIF(RIZE,T_sept_dec[[#This Row],[Secteur organisateur]]),"Rize_"&amp;T_sept_dec[[#This Row],[Enseignant référent (Nom Prénom)]],"")</f>
        <v/>
      </c>
      <c r="S106" s="186">
        <f>1/COUNTIF(T_sept_dec[CléRize],T_sept_dec[[#This Row],[CléRize]])</f>
        <v>4.048582995951417E-3</v>
      </c>
      <c r="T106" s="186" t="str">
        <f>IF(COUNTIF(Total,T_sept_dec[[#This Row],[Secteur organisateur]]),"Total_"&amp;T_sept_dec[[#This Row],[Enseignant référent (Nom Prénom)]],"")</f>
        <v/>
      </c>
      <c r="U106" s="186">
        <f>1/COUNTIF(T_sept_dec[cléTotal],T_sept_dec[[#This Row],[cléTotal]])</f>
        <v>4.1841004184100415E-3</v>
      </c>
    </row>
    <row r="107" spans="11:21">
      <c r="K107" s="21" t="str">
        <f>IF(COUNTIF(Maternelle,E107)=1,listes!$T$1,IF(COUNTIF(Elémentaire,E107)=1,listes!$U$1,IF(COUNTIF(Collège,E107)=1,listes!$V$1,IF(COUNTIF(Lycée,E107)=1,listes!$W$1,""))))</f>
        <v/>
      </c>
      <c r="L107" s="21" t="str">
        <f>IF(COUNTIF(Perralière,D107)=1,listes!$P$1,IF(COUNTIF(Buers,D107)=1,listes!$J$1,IF(COUNTIF(Charpennes,D107)=1,listes!$K$1,IF(COUNTIF(Cusset,D107)=1,listes!$L$1,IF(COUNTIF(Cyprien,D107)=1,listes!$M$1,IF(COUNTIF(Ferrandière,D107)=1,listes!$N$1,IF(COUNTIF(Gratteciel,D107)=1,listes!$O$1,IF(COUNTIF(Saintjean,D107)=1,listes!$Q$1,IF(COUNTIF(horsvilleurbanne,D107)=1,listes!$R$1,"")))))))))</f>
        <v/>
      </c>
      <c r="M107" s="21" t="str">
        <f t="shared" si="1"/>
        <v/>
      </c>
      <c r="N107" s="21" t="str">
        <f>T_sept_dec[[#This Row],[Etablissement accueillant]]&amp;"-"&amp;T_sept_dec[[#This Row],[Enseignant référent (Nom Prénom)]]</f>
        <v>-</v>
      </c>
      <c r="O107" s="21">
        <f>1/COUNTIF(T_sept_dec[CléEtablissement],T_sept_dec[[#This Row],[CléEtablissement]])</f>
        <v>4.1841004184100415E-3</v>
      </c>
      <c r="P10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7" s="186">
        <f>1/COUNTIF(T_sept_dec[CléRéseau-Rize horsmed],T_sept_dec[[#This Row],[CléRéseau-Rize horsmed]])</f>
        <v>4.1841004184100415E-3</v>
      </c>
      <c r="R107" s="186" t="str">
        <f>IF(COUNTIF(RIZE,T_sept_dec[[#This Row],[Secteur organisateur]]),"Rize_"&amp;T_sept_dec[[#This Row],[Enseignant référent (Nom Prénom)]],"")</f>
        <v/>
      </c>
      <c r="S107" s="186">
        <f>1/COUNTIF(T_sept_dec[CléRize],T_sept_dec[[#This Row],[CléRize]])</f>
        <v>4.048582995951417E-3</v>
      </c>
      <c r="T107" s="186" t="str">
        <f>IF(COUNTIF(Total,T_sept_dec[[#This Row],[Secteur organisateur]]),"Total_"&amp;T_sept_dec[[#This Row],[Enseignant référent (Nom Prénom)]],"")</f>
        <v/>
      </c>
      <c r="U107" s="186">
        <f>1/COUNTIF(T_sept_dec[cléTotal],T_sept_dec[[#This Row],[cléTotal]])</f>
        <v>4.1841004184100415E-3</v>
      </c>
    </row>
    <row r="108" spans="11:21">
      <c r="K108" s="21" t="str">
        <f>IF(COUNTIF(Maternelle,E108)=1,listes!$T$1,IF(COUNTIF(Elémentaire,E108)=1,listes!$U$1,IF(COUNTIF(Collège,E108)=1,listes!$V$1,IF(COUNTIF(Lycée,E108)=1,listes!$W$1,""))))</f>
        <v/>
      </c>
      <c r="L108" s="21" t="str">
        <f>IF(COUNTIF(Perralière,D108)=1,listes!$P$1,IF(COUNTIF(Buers,D108)=1,listes!$J$1,IF(COUNTIF(Charpennes,D108)=1,listes!$K$1,IF(COUNTIF(Cusset,D108)=1,listes!$L$1,IF(COUNTIF(Cyprien,D108)=1,listes!$M$1,IF(COUNTIF(Ferrandière,D108)=1,listes!$N$1,IF(COUNTIF(Gratteciel,D108)=1,listes!$O$1,IF(COUNTIF(Saintjean,D108)=1,listes!$Q$1,IF(COUNTIF(horsvilleurbanne,D108)=1,listes!$R$1,"")))))))))</f>
        <v/>
      </c>
      <c r="M108" s="21" t="str">
        <f t="shared" si="1"/>
        <v/>
      </c>
      <c r="N108" s="21" t="str">
        <f>T_sept_dec[[#This Row],[Etablissement accueillant]]&amp;"-"&amp;T_sept_dec[[#This Row],[Enseignant référent (Nom Prénom)]]</f>
        <v>-</v>
      </c>
      <c r="O108" s="21">
        <f>1/COUNTIF(T_sept_dec[CléEtablissement],T_sept_dec[[#This Row],[CléEtablissement]])</f>
        <v>4.1841004184100415E-3</v>
      </c>
      <c r="P10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8" s="186">
        <f>1/COUNTIF(T_sept_dec[CléRéseau-Rize horsmed],T_sept_dec[[#This Row],[CléRéseau-Rize horsmed]])</f>
        <v>4.1841004184100415E-3</v>
      </c>
      <c r="R108" s="186" t="str">
        <f>IF(COUNTIF(RIZE,T_sept_dec[[#This Row],[Secteur organisateur]]),"Rize_"&amp;T_sept_dec[[#This Row],[Enseignant référent (Nom Prénom)]],"")</f>
        <v/>
      </c>
      <c r="S108" s="186">
        <f>1/COUNTIF(T_sept_dec[CléRize],T_sept_dec[[#This Row],[CléRize]])</f>
        <v>4.048582995951417E-3</v>
      </c>
      <c r="T108" s="186" t="str">
        <f>IF(COUNTIF(Total,T_sept_dec[[#This Row],[Secteur organisateur]]),"Total_"&amp;T_sept_dec[[#This Row],[Enseignant référent (Nom Prénom)]],"")</f>
        <v/>
      </c>
      <c r="U108" s="186">
        <f>1/COUNTIF(T_sept_dec[cléTotal],T_sept_dec[[#This Row],[cléTotal]])</f>
        <v>4.1841004184100415E-3</v>
      </c>
    </row>
    <row r="109" spans="11:21">
      <c r="K109" s="21" t="str">
        <f>IF(COUNTIF(Maternelle,E109)=1,listes!$T$1,IF(COUNTIF(Elémentaire,E109)=1,listes!$U$1,IF(COUNTIF(Collège,E109)=1,listes!$V$1,IF(COUNTIF(Lycée,E109)=1,listes!$W$1,""))))</f>
        <v/>
      </c>
      <c r="L109" s="21" t="str">
        <f>IF(COUNTIF(Perralière,D109)=1,listes!$P$1,IF(COUNTIF(Buers,D109)=1,listes!$J$1,IF(COUNTIF(Charpennes,D109)=1,listes!$K$1,IF(COUNTIF(Cusset,D109)=1,listes!$L$1,IF(COUNTIF(Cyprien,D109)=1,listes!$M$1,IF(COUNTIF(Ferrandière,D109)=1,listes!$N$1,IF(COUNTIF(Gratteciel,D109)=1,listes!$O$1,IF(COUNTIF(Saintjean,D109)=1,listes!$Q$1,IF(COUNTIF(horsvilleurbanne,D109)=1,listes!$R$1,"")))))))))</f>
        <v/>
      </c>
      <c r="M109" s="21" t="str">
        <f t="shared" si="1"/>
        <v/>
      </c>
      <c r="N109" s="21" t="str">
        <f>T_sept_dec[[#This Row],[Etablissement accueillant]]&amp;"-"&amp;T_sept_dec[[#This Row],[Enseignant référent (Nom Prénom)]]</f>
        <v>-</v>
      </c>
      <c r="O109" s="21">
        <f>1/COUNTIF(T_sept_dec[CléEtablissement],T_sept_dec[[#This Row],[CléEtablissement]])</f>
        <v>4.1841004184100415E-3</v>
      </c>
      <c r="P10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09" s="186">
        <f>1/COUNTIF(T_sept_dec[CléRéseau-Rize horsmed],T_sept_dec[[#This Row],[CléRéseau-Rize horsmed]])</f>
        <v>4.1841004184100415E-3</v>
      </c>
      <c r="R109" s="186" t="str">
        <f>IF(COUNTIF(RIZE,T_sept_dec[[#This Row],[Secteur organisateur]]),"Rize_"&amp;T_sept_dec[[#This Row],[Enseignant référent (Nom Prénom)]],"")</f>
        <v/>
      </c>
      <c r="S109" s="186">
        <f>1/COUNTIF(T_sept_dec[CléRize],T_sept_dec[[#This Row],[CléRize]])</f>
        <v>4.048582995951417E-3</v>
      </c>
      <c r="T109" s="186" t="str">
        <f>IF(COUNTIF(Total,T_sept_dec[[#This Row],[Secteur organisateur]]),"Total_"&amp;T_sept_dec[[#This Row],[Enseignant référent (Nom Prénom)]],"")</f>
        <v/>
      </c>
      <c r="U109" s="186">
        <f>1/COUNTIF(T_sept_dec[cléTotal],T_sept_dec[[#This Row],[cléTotal]])</f>
        <v>4.1841004184100415E-3</v>
      </c>
    </row>
    <row r="110" spans="11:21">
      <c r="K110" s="21" t="str">
        <f>IF(COUNTIF(Maternelle,E110)=1,listes!$T$1,IF(COUNTIF(Elémentaire,E110)=1,listes!$U$1,IF(COUNTIF(Collège,E110)=1,listes!$V$1,IF(COUNTIF(Lycée,E110)=1,listes!$W$1,""))))</f>
        <v/>
      </c>
      <c r="L110" s="21" t="str">
        <f>IF(COUNTIF(Perralière,D110)=1,listes!$P$1,IF(COUNTIF(Buers,D110)=1,listes!$J$1,IF(COUNTIF(Charpennes,D110)=1,listes!$K$1,IF(COUNTIF(Cusset,D110)=1,listes!$L$1,IF(COUNTIF(Cyprien,D110)=1,listes!$M$1,IF(COUNTIF(Ferrandière,D110)=1,listes!$N$1,IF(COUNTIF(Gratteciel,D110)=1,listes!$O$1,IF(COUNTIF(Saintjean,D110)=1,listes!$Q$1,IF(COUNTIF(horsvilleurbanne,D110)=1,listes!$R$1,"")))))))))</f>
        <v/>
      </c>
      <c r="M110" s="21" t="str">
        <f t="shared" si="1"/>
        <v/>
      </c>
      <c r="N110" s="21" t="str">
        <f>T_sept_dec[[#This Row],[Etablissement accueillant]]&amp;"-"&amp;T_sept_dec[[#This Row],[Enseignant référent (Nom Prénom)]]</f>
        <v>-</v>
      </c>
      <c r="O110" s="21">
        <f>1/COUNTIF(T_sept_dec[CléEtablissement],T_sept_dec[[#This Row],[CléEtablissement]])</f>
        <v>4.1841004184100415E-3</v>
      </c>
      <c r="P11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0" s="186">
        <f>1/COUNTIF(T_sept_dec[CléRéseau-Rize horsmed],T_sept_dec[[#This Row],[CléRéseau-Rize horsmed]])</f>
        <v>4.1841004184100415E-3</v>
      </c>
      <c r="R110" s="186" t="str">
        <f>IF(COUNTIF(RIZE,T_sept_dec[[#This Row],[Secteur organisateur]]),"Rize_"&amp;T_sept_dec[[#This Row],[Enseignant référent (Nom Prénom)]],"")</f>
        <v/>
      </c>
      <c r="S110" s="186">
        <f>1/COUNTIF(T_sept_dec[CléRize],T_sept_dec[[#This Row],[CléRize]])</f>
        <v>4.048582995951417E-3</v>
      </c>
      <c r="T110" s="186" t="str">
        <f>IF(COUNTIF(Total,T_sept_dec[[#This Row],[Secteur organisateur]]),"Total_"&amp;T_sept_dec[[#This Row],[Enseignant référent (Nom Prénom)]],"")</f>
        <v/>
      </c>
      <c r="U110" s="186">
        <f>1/COUNTIF(T_sept_dec[cléTotal],T_sept_dec[[#This Row],[cléTotal]])</f>
        <v>4.1841004184100415E-3</v>
      </c>
    </row>
    <row r="111" spans="11:21" ht="15.75" customHeight="1">
      <c r="K111" s="21" t="str">
        <f>IF(COUNTIF(Maternelle,E111)=1,listes!$T$1,IF(COUNTIF(Elémentaire,E111)=1,listes!$U$1,IF(COUNTIF(Collège,E111)=1,listes!$V$1,IF(COUNTIF(Lycée,E111)=1,listes!$W$1,""))))</f>
        <v/>
      </c>
      <c r="L111" s="21" t="str">
        <f>IF(COUNTIF(Perralière,D111)=1,listes!$P$1,IF(COUNTIF(Buers,D111)=1,listes!$J$1,IF(COUNTIF(Charpennes,D111)=1,listes!$K$1,IF(COUNTIF(Cusset,D111)=1,listes!$L$1,IF(COUNTIF(Cyprien,D111)=1,listes!$M$1,IF(COUNTIF(Ferrandière,D111)=1,listes!$N$1,IF(COUNTIF(Gratteciel,D111)=1,listes!$O$1,IF(COUNTIF(Saintjean,D111)=1,listes!$Q$1,IF(COUNTIF(horsvilleurbanne,D111)=1,listes!$R$1,"")))))))))</f>
        <v/>
      </c>
      <c r="M111" s="21" t="str">
        <f t="shared" si="1"/>
        <v/>
      </c>
      <c r="N111" s="21" t="str">
        <f>T_sept_dec[[#This Row],[Etablissement accueillant]]&amp;"-"&amp;T_sept_dec[[#This Row],[Enseignant référent (Nom Prénom)]]</f>
        <v>-</v>
      </c>
      <c r="O111" s="21">
        <f>1/COUNTIF(T_sept_dec[CléEtablissement],T_sept_dec[[#This Row],[CléEtablissement]])</f>
        <v>4.1841004184100415E-3</v>
      </c>
      <c r="P11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1" s="186">
        <f>1/COUNTIF(T_sept_dec[CléRéseau-Rize horsmed],T_sept_dec[[#This Row],[CléRéseau-Rize horsmed]])</f>
        <v>4.1841004184100415E-3</v>
      </c>
      <c r="R111" s="186" t="str">
        <f>IF(COUNTIF(RIZE,T_sept_dec[[#This Row],[Secteur organisateur]]),"Rize_"&amp;T_sept_dec[[#This Row],[Enseignant référent (Nom Prénom)]],"")</f>
        <v/>
      </c>
      <c r="S111" s="186">
        <f>1/COUNTIF(T_sept_dec[CléRize],T_sept_dec[[#This Row],[CléRize]])</f>
        <v>4.048582995951417E-3</v>
      </c>
      <c r="T111" s="186" t="str">
        <f>IF(COUNTIF(Total,T_sept_dec[[#This Row],[Secteur organisateur]]),"Total_"&amp;T_sept_dec[[#This Row],[Enseignant référent (Nom Prénom)]],"")</f>
        <v/>
      </c>
      <c r="U111" s="186">
        <f>1/COUNTIF(T_sept_dec[cléTotal],T_sept_dec[[#This Row],[cléTotal]])</f>
        <v>4.1841004184100415E-3</v>
      </c>
    </row>
    <row r="112" spans="11:21">
      <c r="K112" s="21" t="str">
        <f>IF(COUNTIF(Maternelle,E112)=1,listes!$T$1,IF(COUNTIF(Elémentaire,E112)=1,listes!$U$1,IF(COUNTIF(Collège,E112)=1,listes!$V$1,IF(COUNTIF(Lycée,E112)=1,listes!$W$1,""))))</f>
        <v/>
      </c>
      <c r="L112" s="21" t="str">
        <f>IF(COUNTIF(Perralière,D112)=1,listes!$P$1,IF(COUNTIF(Buers,D112)=1,listes!$J$1,IF(COUNTIF(Charpennes,D112)=1,listes!$K$1,IF(COUNTIF(Cusset,D112)=1,listes!$L$1,IF(COUNTIF(Cyprien,D112)=1,listes!$M$1,IF(COUNTIF(Ferrandière,D112)=1,listes!$N$1,IF(COUNTIF(Gratteciel,D112)=1,listes!$O$1,IF(COUNTIF(Saintjean,D112)=1,listes!$Q$1,IF(COUNTIF(horsvilleurbanne,D112)=1,listes!$R$1,"")))))))))</f>
        <v/>
      </c>
      <c r="M112" s="21" t="str">
        <f t="shared" si="1"/>
        <v/>
      </c>
      <c r="N112" s="21" t="str">
        <f>T_sept_dec[[#This Row],[Etablissement accueillant]]&amp;"-"&amp;T_sept_dec[[#This Row],[Enseignant référent (Nom Prénom)]]</f>
        <v>-</v>
      </c>
      <c r="O112" s="21">
        <f>1/COUNTIF(T_sept_dec[CléEtablissement],T_sept_dec[[#This Row],[CléEtablissement]])</f>
        <v>4.1841004184100415E-3</v>
      </c>
      <c r="P11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2" s="186">
        <f>1/COUNTIF(T_sept_dec[CléRéseau-Rize horsmed],T_sept_dec[[#This Row],[CléRéseau-Rize horsmed]])</f>
        <v>4.1841004184100415E-3</v>
      </c>
      <c r="R112" s="186" t="str">
        <f>IF(COUNTIF(RIZE,T_sept_dec[[#This Row],[Secteur organisateur]]),"Rize_"&amp;T_sept_dec[[#This Row],[Enseignant référent (Nom Prénom)]],"")</f>
        <v/>
      </c>
      <c r="S112" s="186">
        <f>1/COUNTIF(T_sept_dec[CléRize],T_sept_dec[[#This Row],[CléRize]])</f>
        <v>4.048582995951417E-3</v>
      </c>
      <c r="T112" s="186" t="str">
        <f>IF(COUNTIF(Total,T_sept_dec[[#This Row],[Secteur organisateur]]),"Total_"&amp;T_sept_dec[[#This Row],[Enseignant référent (Nom Prénom)]],"")</f>
        <v/>
      </c>
      <c r="U112" s="186">
        <f>1/COUNTIF(T_sept_dec[cléTotal],T_sept_dec[[#This Row],[cléTotal]])</f>
        <v>4.1841004184100415E-3</v>
      </c>
    </row>
    <row r="113" spans="11:21">
      <c r="K113" s="21" t="str">
        <f>IF(COUNTIF(Maternelle,E113)=1,listes!$T$1,IF(COUNTIF(Elémentaire,E113)=1,listes!$U$1,IF(COUNTIF(Collège,E113)=1,listes!$V$1,IF(COUNTIF(Lycée,E113)=1,listes!$W$1,""))))</f>
        <v/>
      </c>
      <c r="L113" s="21" t="str">
        <f>IF(COUNTIF(Perralière,D113)=1,listes!$P$1,IF(COUNTIF(Buers,D113)=1,listes!$J$1,IF(COUNTIF(Charpennes,D113)=1,listes!$K$1,IF(COUNTIF(Cusset,D113)=1,listes!$L$1,IF(COUNTIF(Cyprien,D113)=1,listes!$M$1,IF(COUNTIF(Ferrandière,D113)=1,listes!$N$1,IF(COUNTIF(Gratteciel,D113)=1,listes!$O$1,IF(COUNTIF(Saintjean,D113)=1,listes!$Q$1,IF(COUNTIF(horsvilleurbanne,D113)=1,listes!$R$1,"")))))))))</f>
        <v/>
      </c>
      <c r="M113" s="21" t="str">
        <f t="shared" si="1"/>
        <v/>
      </c>
      <c r="N113" s="21" t="str">
        <f>T_sept_dec[[#This Row],[Etablissement accueillant]]&amp;"-"&amp;T_sept_dec[[#This Row],[Enseignant référent (Nom Prénom)]]</f>
        <v>-</v>
      </c>
      <c r="O113" s="21">
        <f>1/COUNTIF(T_sept_dec[CléEtablissement],T_sept_dec[[#This Row],[CléEtablissement]])</f>
        <v>4.1841004184100415E-3</v>
      </c>
      <c r="P11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3" s="186">
        <f>1/COUNTIF(T_sept_dec[CléRéseau-Rize horsmed],T_sept_dec[[#This Row],[CléRéseau-Rize horsmed]])</f>
        <v>4.1841004184100415E-3</v>
      </c>
      <c r="R113" s="186" t="str">
        <f>IF(COUNTIF(RIZE,T_sept_dec[[#This Row],[Secteur organisateur]]),"Rize_"&amp;T_sept_dec[[#This Row],[Enseignant référent (Nom Prénom)]],"")</f>
        <v/>
      </c>
      <c r="S113" s="186">
        <f>1/COUNTIF(T_sept_dec[CléRize],T_sept_dec[[#This Row],[CléRize]])</f>
        <v>4.048582995951417E-3</v>
      </c>
      <c r="T113" s="186" t="str">
        <f>IF(COUNTIF(Total,T_sept_dec[[#This Row],[Secteur organisateur]]),"Total_"&amp;T_sept_dec[[#This Row],[Enseignant référent (Nom Prénom)]],"")</f>
        <v/>
      </c>
      <c r="U113" s="186">
        <f>1/COUNTIF(T_sept_dec[cléTotal],T_sept_dec[[#This Row],[cléTotal]])</f>
        <v>4.1841004184100415E-3</v>
      </c>
    </row>
    <row r="114" spans="11:21">
      <c r="K114" s="21" t="str">
        <f>IF(COUNTIF(Maternelle,E114)=1,listes!$T$1,IF(COUNTIF(Elémentaire,E114)=1,listes!$U$1,IF(COUNTIF(Collège,E114)=1,listes!$V$1,IF(COUNTIF(Lycée,E114)=1,listes!$W$1,""))))</f>
        <v/>
      </c>
      <c r="L114" s="21" t="str">
        <f>IF(COUNTIF(Perralière,D114)=1,listes!$P$1,IF(COUNTIF(Buers,D114)=1,listes!$J$1,IF(COUNTIF(Charpennes,D114)=1,listes!$K$1,IF(COUNTIF(Cusset,D114)=1,listes!$L$1,IF(COUNTIF(Cyprien,D114)=1,listes!$M$1,IF(COUNTIF(Ferrandière,D114)=1,listes!$N$1,IF(COUNTIF(Gratteciel,D114)=1,listes!$O$1,IF(COUNTIF(Saintjean,D114)=1,listes!$Q$1,IF(COUNTIF(horsvilleurbanne,D114)=1,listes!$R$1,"")))))))))</f>
        <v/>
      </c>
      <c r="M114" s="21" t="str">
        <f t="shared" si="1"/>
        <v/>
      </c>
      <c r="N114" s="21" t="str">
        <f>T_sept_dec[[#This Row],[Etablissement accueillant]]&amp;"-"&amp;T_sept_dec[[#This Row],[Enseignant référent (Nom Prénom)]]</f>
        <v>-</v>
      </c>
      <c r="O114" s="21">
        <f>1/COUNTIF(T_sept_dec[CléEtablissement],T_sept_dec[[#This Row],[CléEtablissement]])</f>
        <v>4.1841004184100415E-3</v>
      </c>
      <c r="P11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4" s="186">
        <f>1/COUNTIF(T_sept_dec[CléRéseau-Rize horsmed],T_sept_dec[[#This Row],[CléRéseau-Rize horsmed]])</f>
        <v>4.1841004184100415E-3</v>
      </c>
      <c r="R114" s="186" t="str">
        <f>IF(COUNTIF(RIZE,T_sept_dec[[#This Row],[Secteur organisateur]]),"Rize_"&amp;T_sept_dec[[#This Row],[Enseignant référent (Nom Prénom)]],"")</f>
        <v/>
      </c>
      <c r="S114" s="186">
        <f>1/COUNTIF(T_sept_dec[CléRize],T_sept_dec[[#This Row],[CléRize]])</f>
        <v>4.048582995951417E-3</v>
      </c>
      <c r="T114" s="186" t="str">
        <f>IF(COUNTIF(Total,T_sept_dec[[#This Row],[Secteur organisateur]]),"Total_"&amp;T_sept_dec[[#This Row],[Enseignant référent (Nom Prénom)]],"")</f>
        <v/>
      </c>
      <c r="U114" s="186">
        <f>1/COUNTIF(T_sept_dec[cléTotal],T_sept_dec[[#This Row],[cléTotal]])</f>
        <v>4.1841004184100415E-3</v>
      </c>
    </row>
    <row r="115" spans="11:21">
      <c r="K115" s="21" t="str">
        <f>IF(COUNTIF(Maternelle,E115)=1,listes!$T$1,IF(COUNTIF(Elémentaire,E115)=1,listes!$U$1,IF(COUNTIF(Collège,E115)=1,listes!$V$1,IF(COUNTIF(Lycée,E115)=1,listes!$W$1,""))))</f>
        <v/>
      </c>
      <c r="L115" s="21" t="str">
        <f>IF(COUNTIF(Perralière,D115)=1,listes!$P$1,IF(COUNTIF(Buers,D115)=1,listes!$J$1,IF(COUNTIF(Charpennes,D115)=1,listes!$K$1,IF(COUNTIF(Cusset,D115)=1,listes!$L$1,IF(COUNTIF(Cyprien,D115)=1,listes!$M$1,IF(COUNTIF(Ferrandière,D115)=1,listes!$N$1,IF(COUNTIF(Gratteciel,D115)=1,listes!$O$1,IF(COUNTIF(Saintjean,D115)=1,listes!$Q$1,IF(COUNTIF(horsvilleurbanne,D115)=1,listes!$R$1,"")))))))))</f>
        <v/>
      </c>
      <c r="M115" s="21" t="str">
        <f t="shared" si="1"/>
        <v/>
      </c>
      <c r="N115" s="21" t="str">
        <f>T_sept_dec[[#This Row],[Etablissement accueillant]]&amp;"-"&amp;T_sept_dec[[#This Row],[Enseignant référent (Nom Prénom)]]</f>
        <v>-</v>
      </c>
      <c r="O115" s="21">
        <f>1/COUNTIF(T_sept_dec[CléEtablissement],T_sept_dec[[#This Row],[CléEtablissement]])</f>
        <v>4.1841004184100415E-3</v>
      </c>
      <c r="P11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5" s="186">
        <f>1/COUNTIF(T_sept_dec[CléRéseau-Rize horsmed],T_sept_dec[[#This Row],[CléRéseau-Rize horsmed]])</f>
        <v>4.1841004184100415E-3</v>
      </c>
      <c r="R115" s="186" t="str">
        <f>IF(COUNTIF(RIZE,T_sept_dec[[#This Row],[Secteur organisateur]]),"Rize_"&amp;T_sept_dec[[#This Row],[Enseignant référent (Nom Prénom)]],"")</f>
        <v/>
      </c>
      <c r="S115" s="186">
        <f>1/COUNTIF(T_sept_dec[CléRize],T_sept_dec[[#This Row],[CléRize]])</f>
        <v>4.048582995951417E-3</v>
      </c>
      <c r="T115" s="186" t="str">
        <f>IF(COUNTIF(Total,T_sept_dec[[#This Row],[Secteur organisateur]]),"Total_"&amp;T_sept_dec[[#This Row],[Enseignant référent (Nom Prénom)]],"")</f>
        <v/>
      </c>
      <c r="U115" s="186">
        <f>1/COUNTIF(T_sept_dec[cléTotal],T_sept_dec[[#This Row],[cléTotal]])</f>
        <v>4.1841004184100415E-3</v>
      </c>
    </row>
    <row r="116" spans="11:21">
      <c r="K116" s="21" t="str">
        <f>IF(COUNTIF(Maternelle,E116)=1,listes!$T$1,IF(COUNTIF(Elémentaire,E116)=1,listes!$U$1,IF(COUNTIF(Collège,E116)=1,listes!$V$1,IF(COUNTIF(Lycée,E116)=1,listes!$W$1,""))))</f>
        <v/>
      </c>
      <c r="L116" s="21" t="str">
        <f>IF(COUNTIF(Perralière,D116)=1,listes!$P$1,IF(COUNTIF(Buers,D116)=1,listes!$J$1,IF(COUNTIF(Charpennes,D116)=1,listes!$K$1,IF(COUNTIF(Cusset,D116)=1,listes!$L$1,IF(COUNTIF(Cyprien,D116)=1,listes!$M$1,IF(COUNTIF(Ferrandière,D116)=1,listes!$N$1,IF(COUNTIF(Gratteciel,D116)=1,listes!$O$1,IF(COUNTIF(Saintjean,D116)=1,listes!$Q$1,IF(COUNTIF(horsvilleurbanne,D116)=1,listes!$R$1,"")))))))))</f>
        <v/>
      </c>
      <c r="M116" s="21" t="str">
        <f t="shared" si="1"/>
        <v/>
      </c>
      <c r="N116" s="21" t="str">
        <f>T_sept_dec[[#This Row],[Etablissement accueillant]]&amp;"-"&amp;T_sept_dec[[#This Row],[Enseignant référent (Nom Prénom)]]</f>
        <v>-</v>
      </c>
      <c r="O116" s="21">
        <f>1/COUNTIF(T_sept_dec[CléEtablissement],T_sept_dec[[#This Row],[CléEtablissement]])</f>
        <v>4.1841004184100415E-3</v>
      </c>
      <c r="P11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6" s="186">
        <f>1/COUNTIF(T_sept_dec[CléRéseau-Rize horsmed],T_sept_dec[[#This Row],[CléRéseau-Rize horsmed]])</f>
        <v>4.1841004184100415E-3</v>
      </c>
      <c r="R116" s="186" t="str">
        <f>IF(COUNTIF(RIZE,T_sept_dec[[#This Row],[Secteur organisateur]]),"Rize_"&amp;T_sept_dec[[#This Row],[Enseignant référent (Nom Prénom)]],"")</f>
        <v/>
      </c>
      <c r="S116" s="186">
        <f>1/COUNTIF(T_sept_dec[CléRize],T_sept_dec[[#This Row],[CléRize]])</f>
        <v>4.048582995951417E-3</v>
      </c>
      <c r="T116" s="186" t="str">
        <f>IF(COUNTIF(Total,T_sept_dec[[#This Row],[Secteur organisateur]]),"Total_"&amp;T_sept_dec[[#This Row],[Enseignant référent (Nom Prénom)]],"")</f>
        <v/>
      </c>
      <c r="U116" s="186">
        <f>1/COUNTIF(T_sept_dec[cléTotal],T_sept_dec[[#This Row],[cléTotal]])</f>
        <v>4.1841004184100415E-3</v>
      </c>
    </row>
    <row r="117" spans="11:21">
      <c r="K117" s="21" t="str">
        <f>IF(COUNTIF(Maternelle,E117)=1,listes!$T$1,IF(COUNTIF(Elémentaire,E117)=1,listes!$U$1,IF(COUNTIF(Collège,E117)=1,listes!$V$1,IF(COUNTIF(Lycée,E117)=1,listes!$W$1,""))))</f>
        <v/>
      </c>
      <c r="L117" s="21" t="str">
        <f>IF(COUNTIF(Perralière,D117)=1,listes!$P$1,IF(COUNTIF(Buers,D117)=1,listes!$J$1,IF(COUNTIF(Charpennes,D117)=1,listes!$K$1,IF(COUNTIF(Cusset,D117)=1,listes!$L$1,IF(COUNTIF(Cyprien,D117)=1,listes!$M$1,IF(COUNTIF(Ferrandière,D117)=1,listes!$N$1,IF(COUNTIF(Gratteciel,D117)=1,listes!$O$1,IF(COUNTIF(Saintjean,D117)=1,listes!$Q$1,IF(COUNTIF(horsvilleurbanne,D117)=1,listes!$R$1,"")))))))))</f>
        <v/>
      </c>
      <c r="M117" s="21" t="str">
        <f t="shared" si="1"/>
        <v/>
      </c>
      <c r="N117" s="21" t="str">
        <f>T_sept_dec[[#This Row],[Etablissement accueillant]]&amp;"-"&amp;T_sept_dec[[#This Row],[Enseignant référent (Nom Prénom)]]</f>
        <v>-</v>
      </c>
      <c r="O117" s="21">
        <f>1/COUNTIF(T_sept_dec[CléEtablissement],T_sept_dec[[#This Row],[CléEtablissement]])</f>
        <v>4.1841004184100415E-3</v>
      </c>
      <c r="P11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7" s="186">
        <f>1/COUNTIF(T_sept_dec[CléRéseau-Rize horsmed],T_sept_dec[[#This Row],[CléRéseau-Rize horsmed]])</f>
        <v>4.1841004184100415E-3</v>
      </c>
      <c r="R117" s="186" t="str">
        <f>IF(COUNTIF(RIZE,T_sept_dec[[#This Row],[Secteur organisateur]]),"Rize_"&amp;T_sept_dec[[#This Row],[Enseignant référent (Nom Prénom)]],"")</f>
        <v/>
      </c>
      <c r="S117" s="186">
        <f>1/COUNTIF(T_sept_dec[CléRize],T_sept_dec[[#This Row],[CléRize]])</f>
        <v>4.048582995951417E-3</v>
      </c>
      <c r="T117" s="186" t="str">
        <f>IF(COUNTIF(Total,T_sept_dec[[#This Row],[Secteur organisateur]]),"Total_"&amp;T_sept_dec[[#This Row],[Enseignant référent (Nom Prénom)]],"")</f>
        <v/>
      </c>
      <c r="U117" s="186">
        <f>1/COUNTIF(T_sept_dec[cléTotal],T_sept_dec[[#This Row],[cléTotal]])</f>
        <v>4.1841004184100415E-3</v>
      </c>
    </row>
    <row r="118" spans="11:21">
      <c r="K118" s="21" t="str">
        <f>IF(COUNTIF(Maternelle,E118)=1,listes!$T$1,IF(COUNTIF(Elémentaire,E118)=1,listes!$U$1,IF(COUNTIF(Collège,E118)=1,listes!$V$1,IF(COUNTIF(Lycée,E118)=1,listes!$W$1,""))))</f>
        <v/>
      </c>
      <c r="L118" s="21" t="str">
        <f>IF(COUNTIF(Perralière,D118)=1,listes!$P$1,IF(COUNTIF(Buers,D118)=1,listes!$J$1,IF(COUNTIF(Charpennes,D118)=1,listes!$K$1,IF(COUNTIF(Cusset,D118)=1,listes!$L$1,IF(COUNTIF(Cyprien,D118)=1,listes!$M$1,IF(COUNTIF(Ferrandière,D118)=1,listes!$N$1,IF(COUNTIF(Gratteciel,D118)=1,listes!$O$1,IF(COUNTIF(Saintjean,D118)=1,listes!$Q$1,IF(COUNTIF(horsvilleurbanne,D118)=1,listes!$R$1,"")))))))))</f>
        <v/>
      </c>
      <c r="M118" s="21" t="str">
        <f t="shared" si="1"/>
        <v/>
      </c>
      <c r="N118" s="21" t="str">
        <f>T_sept_dec[[#This Row],[Etablissement accueillant]]&amp;"-"&amp;T_sept_dec[[#This Row],[Enseignant référent (Nom Prénom)]]</f>
        <v>-</v>
      </c>
      <c r="O118" s="21">
        <f>1/COUNTIF(T_sept_dec[CléEtablissement],T_sept_dec[[#This Row],[CléEtablissement]])</f>
        <v>4.1841004184100415E-3</v>
      </c>
      <c r="P11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8" s="186">
        <f>1/COUNTIF(T_sept_dec[CléRéseau-Rize horsmed],T_sept_dec[[#This Row],[CléRéseau-Rize horsmed]])</f>
        <v>4.1841004184100415E-3</v>
      </c>
      <c r="R118" s="186" t="str">
        <f>IF(COUNTIF(RIZE,T_sept_dec[[#This Row],[Secteur organisateur]]),"Rize_"&amp;T_sept_dec[[#This Row],[Enseignant référent (Nom Prénom)]],"")</f>
        <v/>
      </c>
      <c r="S118" s="186">
        <f>1/COUNTIF(T_sept_dec[CléRize],T_sept_dec[[#This Row],[CléRize]])</f>
        <v>4.048582995951417E-3</v>
      </c>
      <c r="T118" s="186" t="str">
        <f>IF(COUNTIF(Total,T_sept_dec[[#This Row],[Secteur organisateur]]),"Total_"&amp;T_sept_dec[[#This Row],[Enseignant référent (Nom Prénom)]],"")</f>
        <v/>
      </c>
      <c r="U118" s="186">
        <f>1/COUNTIF(T_sept_dec[cléTotal],T_sept_dec[[#This Row],[cléTotal]])</f>
        <v>4.1841004184100415E-3</v>
      </c>
    </row>
    <row r="119" spans="11:21">
      <c r="K119" s="21" t="str">
        <f>IF(COUNTIF(Maternelle,E119)=1,listes!$T$1,IF(COUNTIF(Elémentaire,E119)=1,listes!$U$1,IF(COUNTIF(Collège,E119)=1,listes!$V$1,IF(COUNTIF(Lycée,E119)=1,listes!$W$1,""))))</f>
        <v/>
      </c>
      <c r="L119" s="21" t="str">
        <f>IF(COUNTIF(Perralière,D119)=1,listes!$P$1,IF(COUNTIF(Buers,D119)=1,listes!$J$1,IF(COUNTIF(Charpennes,D119)=1,listes!$K$1,IF(COUNTIF(Cusset,D119)=1,listes!$L$1,IF(COUNTIF(Cyprien,D119)=1,listes!$M$1,IF(COUNTIF(Ferrandière,D119)=1,listes!$N$1,IF(COUNTIF(Gratteciel,D119)=1,listes!$O$1,IF(COUNTIF(Saintjean,D119)=1,listes!$Q$1,IF(COUNTIF(horsvilleurbanne,D119)=1,listes!$R$1,"")))))))))</f>
        <v/>
      </c>
      <c r="M119" s="21" t="str">
        <f t="shared" si="1"/>
        <v/>
      </c>
      <c r="N119" s="21" t="str">
        <f>T_sept_dec[[#This Row],[Etablissement accueillant]]&amp;"-"&amp;T_sept_dec[[#This Row],[Enseignant référent (Nom Prénom)]]</f>
        <v>-</v>
      </c>
      <c r="O119" s="21">
        <f>1/COUNTIF(T_sept_dec[CléEtablissement],T_sept_dec[[#This Row],[CléEtablissement]])</f>
        <v>4.1841004184100415E-3</v>
      </c>
      <c r="P11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19" s="186">
        <f>1/COUNTIF(T_sept_dec[CléRéseau-Rize horsmed],T_sept_dec[[#This Row],[CléRéseau-Rize horsmed]])</f>
        <v>4.1841004184100415E-3</v>
      </c>
      <c r="R119" s="186" t="str">
        <f>IF(COUNTIF(RIZE,T_sept_dec[[#This Row],[Secteur organisateur]]),"Rize_"&amp;T_sept_dec[[#This Row],[Enseignant référent (Nom Prénom)]],"")</f>
        <v/>
      </c>
      <c r="S119" s="186">
        <f>1/COUNTIF(T_sept_dec[CléRize],T_sept_dec[[#This Row],[CléRize]])</f>
        <v>4.048582995951417E-3</v>
      </c>
      <c r="T119" s="186" t="str">
        <f>IF(COUNTIF(Total,T_sept_dec[[#This Row],[Secteur organisateur]]),"Total_"&amp;T_sept_dec[[#This Row],[Enseignant référent (Nom Prénom)]],"")</f>
        <v/>
      </c>
      <c r="U119" s="186">
        <f>1/COUNTIF(T_sept_dec[cléTotal],T_sept_dec[[#This Row],[cléTotal]])</f>
        <v>4.1841004184100415E-3</v>
      </c>
    </row>
    <row r="120" spans="11:21">
      <c r="K120" s="21" t="str">
        <f>IF(COUNTIF(Maternelle,E120)=1,listes!$T$1,IF(COUNTIF(Elémentaire,E120)=1,listes!$U$1,IF(COUNTIF(Collège,E120)=1,listes!$V$1,IF(COUNTIF(Lycée,E120)=1,listes!$W$1,""))))</f>
        <v/>
      </c>
      <c r="L120" s="21" t="str">
        <f>IF(COUNTIF(Perralière,D120)=1,listes!$P$1,IF(COUNTIF(Buers,D120)=1,listes!$J$1,IF(COUNTIF(Charpennes,D120)=1,listes!$K$1,IF(COUNTIF(Cusset,D120)=1,listes!$L$1,IF(COUNTIF(Cyprien,D120)=1,listes!$M$1,IF(COUNTIF(Ferrandière,D120)=1,listes!$N$1,IF(COUNTIF(Gratteciel,D120)=1,listes!$O$1,IF(COUNTIF(Saintjean,D120)=1,listes!$Q$1,IF(COUNTIF(horsvilleurbanne,D120)=1,listes!$R$1,"")))))))))</f>
        <v/>
      </c>
      <c r="M120" s="21" t="str">
        <f t="shared" si="1"/>
        <v/>
      </c>
      <c r="N120" s="21" t="str">
        <f>T_sept_dec[[#This Row],[Etablissement accueillant]]&amp;"-"&amp;T_sept_dec[[#This Row],[Enseignant référent (Nom Prénom)]]</f>
        <v>-</v>
      </c>
      <c r="O120" s="21">
        <f>1/COUNTIF(T_sept_dec[CléEtablissement],T_sept_dec[[#This Row],[CléEtablissement]])</f>
        <v>4.1841004184100415E-3</v>
      </c>
      <c r="P12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0" s="186">
        <f>1/COUNTIF(T_sept_dec[CléRéseau-Rize horsmed],T_sept_dec[[#This Row],[CléRéseau-Rize horsmed]])</f>
        <v>4.1841004184100415E-3</v>
      </c>
      <c r="R120" s="186" t="str">
        <f>IF(COUNTIF(RIZE,T_sept_dec[[#This Row],[Secteur organisateur]]),"Rize_"&amp;T_sept_dec[[#This Row],[Enseignant référent (Nom Prénom)]],"")</f>
        <v/>
      </c>
      <c r="S120" s="186">
        <f>1/COUNTIF(T_sept_dec[CléRize],T_sept_dec[[#This Row],[CléRize]])</f>
        <v>4.048582995951417E-3</v>
      </c>
      <c r="T120" s="186" t="str">
        <f>IF(COUNTIF(Total,T_sept_dec[[#This Row],[Secteur organisateur]]),"Total_"&amp;T_sept_dec[[#This Row],[Enseignant référent (Nom Prénom)]],"")</f>
        <v/>
      </c>
      <c r="U120" s="186">
        <f>1/COUNTIF(T_sept_dec[cléTotal],T_sept_dec[[#This Row],[cléTotal]])</f>
        <v>4.1841004184100415E-3</v>
      </c>
    </row>
    <row r="121" spans="11:21">
      <c r="K121" s="21" t="str">
        <f>IF(COUNTIF(Maternelle,E121)=1,listes!$T$1,IF(COUNTIF(Elémentaire,E121)=1,listes!$U$1,IF(COUNTIF(Collège,E121)=1,listes!$V$1,IF(COUNTIF(Lycée,E121)=1,listes!$W$1,""))))</f>
        <v/>
      </c>
      <c r="L121" s="21" t="str">
        <f>IF(COUNTIF(Perralière,D121)=1,listes!$P$1,IF(COUNTIF(Buers,D121)=1,listes!$J$1,IF(COUNTIF(Charpennes,D121)=1,listes!$K$1,IF(COUNTIF(Cusset,D121)=1,listes!$L$1,IF(COUNTIF(Cyprien,D121)=1,listes!$M$1,IF(COUNTIF(Ferrandière,D121)=1,listes!$N$1,IF(COUNTIF(Gratteciel,D121)=1,listes!$O$1,IF(COUNTIF(Saintjean,D121)=1,listes!$Q$1,IF(COUNTIF(horsvilleurbanne,D121)=1,listes!$R$1,"")))))))))</f>
        <v/>
      </c>
      <c r="M121" s="21" t="str">
        <f t="shared" si="1"/>
        <v/>
      </c>
      <c r="N121" s="21" t="str">
        <f>T_sept_dec[[#This Row],[Etablissement accueillant]]&amp;"-"&amp;T_sept_dec[[#This Row],[Enseignant référent (Nom Prénom)]]</f>
        <v>-</v>
      </c>
      <c r="O121" s="21">
        <f>1/COUNTIF(T_sept_dec[CléEtablissement],T_sept_dec[[#This Row],[CléEtablissement]])</f>
        <v>4.1841004184100415E-3</v>
      </c>
      <c r="P12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1" s="186">
        <f>1/COUNTIF(T_sept_dec[CléRéseau-Rize horsmed],T_sept_dec[[#This Row],[CléRéseau-Rize horsmed]])</f>
        <v>4.1841004184100415E-3</v>
      </c>
      <c r="R121" s="186" t="str">
        <f>IF(COUNTIF(RIZE,T_sept_dec[[#This Row],[Secteur organisateur]]),"Rize_"&amp;T_sept_dec[[#This Row],[Enseignant référent (Nom Prénom)]],"")</f>
        <v/>
      </c>
      <c r="S121" s="186">
        <f>1/COUNTIF(T_sept_dec[CléRize],T_sept_dec[[#This Row],[CléRize]])</f>
        <v>4.048582995951417E-3</v>
      </c>
      <c r="T121" s="186" t="str">
        <f>IF(COUNTIF(Total,T_sept_dec[[#This Row],[Secteur organisateur]]),"Total_"&amp;T_sept_dec[[#This Row],[Enseignant référent (Nom Prénom)]],"")</f>
        <v/>
      </c>
      <c r="U121" s="186">
        <f>1/COUNTIF(T_sept_dec[cléTotal],T_sept_dec[[#This Row],[cléTotal]])</f>
        <v>4.1841004184100415E-3</v>
      </c>
    </row>
    <row r="122" spans="11:21">
      <c r="K122" s="21" t="str">
        <f>IF(COUNTIF(Maternelle,E122)=1,listes!$T$1,IF(COUNTIF(Elémentaire,E122)=1,listes!$U$1,IF(COUNTIF(Collège,E122)=1,listes!$V$1,IF(COUNTIF(Lycée,E122)=1,listes!$W$1,""))))</f>
        <v/>
      </c>
      <c r="L122" s="21" t="str">
        <f>IF(COUNTIF(Perralière,D122)=1,listes!$P$1,IF(COUNTIF(Buers,D122)=1,listes!$J$1,IF(COUNTIF(Charpennes,D122)=1,listes!$K$1,IF(COUNTIF(Cusset,D122)=1,listes!$L$1,IF(COUNTIF(Cyprien,D122)=1,listes!$M$1,IF(COUNTIF(Ferrandière,D122)=1,listes!$N$1,IF(COUNTIF(Gratteciel,D122)=1,listes!$O$1,IF(COUNTIF(Saintjean,D122)=1,listes!$Q$1,IF(COUNTIF(horsvilleurbanne,D122)=1,listes!$R$1,"")))))))))</f>
        <v/>
      </c>
      <c r="M122" s="21" t="str">
        <f t="shared" si="1"/>
        <v/>
      </c>
      <c r="N122" s="21" t="str">
        <f>T_sept_dec[[#This Row],[Etablissement accueillant]]&amp;"-"&amp;T_sept_dec[[#This Row],[Enseignant référent (Nom Prénom)]]</f>
        <v>-</v>
      </c>
      <c r="O122" s="21">
        <f>1/COUNTIF(T_sept_dec[CléEtablissement],T_sept_dec[[#This Row],[CléEtablissement]])</f>
        <v>4.1841004184100415E-3</v>
      </c>
      <c r="P12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2" s="186">
        <f>1/COUNTIF(T_sept_dec[CléRéseau-Rize horsmed],T_sept_dec[[#This Row],[CléRéseau-Rize horsmed]])</f>
        <v>4.1841004184100415E-3</v>
      </c>
      <c r="R122" s="186" t="str">
        <f>IF(COUNTIF(RIZE,T_sept_dec[[#This Row],[Secteur organisateur]]),"Rize_"&amp;T_sept_dec[[#This Row],[Enseignant référent (Nom Prénom)]],"")</f>
        <v/>
      </c>
      <c r="S122" s="186">
        <f>1/COUNTIF(T_sept_dec[CléRize],T_sept_dec[[#This Row],[CléRize]])</f>
        <v>4.048582995951417E-3</v>
      </c>
      <c r="T122" s="186" t="str">
        <f>IF(COUNTIF(Total,T_sept_dec[[#This Row],[Secteur organisateur]]),"Total_"&amp;T_sept_dec[[#This Row],[Enseignant référent (Nom Prénom)]],"")</f>
        <v/>
      </c>
      <c r="U122" s="186">
        <f>1/COUNTIF(T_sept_dec[cléTotal],T_sept_dec[[#This Row],[cléTotal]])</f>
        <v>4.1841004184100415E-3</v>
      </c>
    </row>
    <row r="123" spans="11:21">
      <c r="K123" s="21" t="str">
        <f>IF(COUNTIF(Maternelle,E123)=1,listes!$T$1,IF(COUNTIF(Elémentaire,E123)=1,listes!$U$1,IF(COUNTIF(Collège,E123)=1,listes!$V$1,IF(COUNTIF(Lycée,E123)=1,listes!$W$1,""))))</f>
        <v/>
      </c>
      <c r="L123" s="21" t="str">
        <f>IF(COUNTIF(Perralière,D123)=1,listes!$P$1,IF(COUNTIF(Buers,D123)=1,listes!$J$1,IF(COUNTIF(Charpennes,D123)=1,listes!$K$1,IF(COUNTIF(Cusset,D123)=1,listes!$L$1,IF(COUNTIF(Cyprien,D123)=1,listes!$M$1,IF(COUNTIF(Ferrandière,D123)=1,listes!$N$1,IF(COUNTIF(Gratteciel,D123)=1,listes!$O$1,IF(COUNTIF(Saintjean,D123)=1,listes!$Q$1,IF(COUNTIF(horsvilleurbanne,D123)=1,listes!$R$1,"")))))))))</f>
        <v/>
      </c>
      <c r="M123" s="21" t="str">
        <f t="shared" si="1"/>
        <v/>
      </c>
      <c r="N123" s="21" t="str">
        <f>T_sept_dec[[#This Row],[Etablissement accueillant]]&amp;"-"&amp;T_sept_dec[[#This Row],[Enseignant référent (Nom Prénom)]]</f>
        <v>-</v>
      </c>
      <c r="O123" s="21">
        <f>1/COUNTIF(T_sept_dec[CléEtablissement],T_sept_dec[[#This Row],[CléEtablissement]])</f>
        <v>4.1841004184100415E-3</v>
      </c>
      <c r="P12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3" s="186">
        <f>1/COUNTIF(T_sept_dec[CléRéseau-Rize horsmed],T_sept_dec[[#This Row],[CléRéseau-Rize horsmed]])</f>
        <v>4.1841004184100415E-3</v>
      </c>
      <c r="R123" s="186" t="str">
        <f>IF(COUNTIF(RIZE,T_sept_dec[[#This Row],[Secteur organisateur]]),"Rize_"&amp;T_sept_dec[[#This Row],[Enseignant référent (Nom Prénom)]],"")</f>
        <v/>
      </c>
      <c r="S123" s="186">
        <f>1/COUNTIF(T_sept_dec[CléRize],T_sept_dec[[#This Row],[CléRize]])</f>
        <v>4.048582995951417E-3</v>
      </c>
      <c r="T123" s="186" t="str">
        <f>IF(COUNTIF(Total,T_sept_dec[[#This Row],[Secteur organisateur]]),"Total_"&amp;T_sept_dec[[#This Row],[Enseignant référent (Nom Prénom)]],"")</f>
        <v/>
      </c>
      <c r="U123" s="186">
        <f>1/COUNTIF(T_sept_dec[cléTotal],T_sept_dec[[#This Row],[cléTotal]])</f>
        <v>4.1841004184100415E-3</v>
      </c>
    </row>
    <row r="124" spans="11:21">
      <c r="K124" s="21" t="str">
        <f>IF(COUNTIF(Maternelle,E124)=1,listes!$T$1,IF(COUNTIF(Elémentaire,E124)=1,listes!$U$1,IF(COUNTIF(Collège,E124)=1,listes!$V$1,IF(COUNTIF(Lycée,E124)=1,listes!$W$1,""))))</f>
        <v/>
      </c>
      <c r="L124" s="21" t="str">
        <f>IF(COUNTIF(Perralière,D124)=1,listes!$P$1,IF(COUNTIF(Buers,D124)=1,listes!$J$1,IF(COUNTIF(Charpennes,D124)=1,listes!$K$1,IF(COUNTIF(Cusset,D124)=1,listes!$L$1,IF(COUNTIF(Cyprien,D124)=1,listes!$M$1,IF(COUNTIF(Ferrandière,D124)=1,listes!$N$1,IF(COUNTIF(Gratteciel,D124)=1,listes!$O$1,IF(COUNTIF(Saintjean,D124)=1,listes!$Q$1,IF(COUNTIF(horsvilleurbanne,D124)=1,listes!$R$1,"")))))))))</f>
        <v/>
      </c>
      <c r="M124" s="21" t="str">
        <f t="shared" si="1"/>
        <v/>
      </c>
      <c r="N124" s="21" t="str">
        <f>T_sept_dec[[#This Row],[Etablissement accueillant]]&amp;"-"&amp;T_sept_dec[[#This Row],[Enseignant référent (Nom Prénom)]]</f>
        <v>-</v>
      </c>
      <c r="O124" s="21">
        <f>1/COUNTIF(T_sept_dec[CléEtablissement],T_sept_dec[[#This Row],[CléEtablissement]])</f>
        <v>4.1841004184100415E-3</v>
      </c>
      <c r="P12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4" s="186">
        <f>1/COUNTIF(T_sept_dec[CléRéseau-Rize horsmed],T_sept_dec[[#This Row],[CléRéseau-Rize horsmed]])</f>
        <v>4.1841004184100415E-3</v>
      </c>
      <c r="R124" s="186" t="str">
        <f>IF(COUNTIF(RIZE,T_sept_dec[[#This Row],[Secteur organisateur]]),"Rize_"&amp;T_sept_dec[[#This Row],[Enseignant référent (Nom Prénom)]],"")</f>
        <v/>
      </c>
      <c r="S124" s="186">
        <f>1/COUNTIF(T_sept_dec[CléRize],T_sept_dec[[#This Row],[CléRize]])</f>
        <v>4.048582995951417E-3</v>
      </c>
      <c r="T124" s="186" t="str">
        <f>IF(COUNTIF(Total,T_sept_dec[[#This Row],[Secteur organisateur]]),"Total_"&amp;T_sept_dec[[#This Row],[Enseignant référent (Nom Prénom)]],"")</f>
        <v/>
      </c>
      <c r="U124" s="186">
        <f>1/COUNTIF(T_sept_dec[cléTotal],T_sept_dec[[#This Row],[cléTotal]])</f>
        <v>4.1841004184100415E-3</v>
      </c>
    </row>
    <row r="125" spans="11:21">
      <c r="K125" s="21" t="str">
        <f>IF(COUNTIF(Maternelle,E125)=1,listes!$T$1,IF(COUNTIF(Elémentaire,E125)=1,listes!$U$1,IF(COUNTIF(Collège,E125)=1,listes!$V$1,IF(COUNTIF(Lycée,E125)=1,listes!$W$1,""))))</f>
        <v/>
      </c>
      <c r="L125" s="21" t="str">
        <f>IF(COUNTIF(Perralière,D125)=1,listes!$P$1,IF(COUNTIF(Buers,D125)=1,listes!$J$1,IF(COUNTIF(Charpennes,D125)=1,listes!$K$1,IF(COUNTIF(Cusset,D125)=1,listes!$L$1,IF(COUNTIF(Cyprien,D125)=1,listes!$M$1,IF(COUNTIF(Ferrandière,D125)=1,listes!$N$1,IF(COUNTIF(Gratteciel,D125)=1,listes!$O$1,IF(COUNTIF(Saintjean,D125)=1,listes!$Q$1,IF(COUNTIF(horsvilleurbanne,D125)=1,listes!$R$1,"")))))))))</f>
        <v/>
      </c>
      <c r="M125" s="21" t="str">
        <f t="shared" si="1"/>
        <v/>
      </c>
      <c r="N125" s="21" t="str">
        <f>T_sept_dec[[#This Row],[Etablissement accueillant]]&amp;"-"&amp;T_sept_dec[[#This Row],[Enseignant référent (Nom Prénom)]]</f>
        <v>-</v>
      </c>
      <c r="O125" s="21">
        <f>1/COUNTIF(T_sept_dec[CléEtablissement],T_sept_dec[[#This Row],[CléEtablissement]])</f>
        <v>4.1841004184100415E-3</v>
      </c>
      <c r="P12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5" s="186">
        <f>1/COUNTIF(T_sept_dec[CléRéseau-Rize horsmed],T_sept_dec[[#This Row],[CléRéseau-Rize horsmed]])</f>
        <v>4.1841004184100415E-3</v>
      </c>
      <c r="R125" s="186" t="str">
        <f>IF(COUNTIF(RIZE,T_sept_dec[[#This Row],[Secteur organisateur]]),"Rize_"&amp;T_sept_dec[[#This Row],[Enseignant référent (Nom Prénom)]],"")</f>
        <v/>
      </c>
      <c r="S125" s="186">
        <f>1/COUNTIF(T_sept_dec[CléRize],T_sept_dec[[#This Row],[CléRize]])</f>
        <v>4.048582995951417E-3</v>
      </c>
      <c r="T125" s="186" t="str">
        <f>IF(COUNTIF(Total,T_sept_dec[[#This Row],[Secteur organisateur]]),"Total_"&amp;T_sept_dec[[#This Row],[Enseignant référent (Nom Prénom)]],"")</f>
        <v/>
      </c>
      <c r="U125" s="186">
        <f>1/COUNTIF(T_sept_dec[cléTotal],T_sept_dec[[#This Row],[cléTotal]])</f>
        <v>4.1841004184100415E-3</v>
      </c>
    </row>
    <row r="126" spans="11:21">
      <c r="K126" s="21" t="str">
        <f>IF(COUNTIF(Maternelle,E126)=1,listes!$T$1,IF(COUNTIF(Elémentaire,E126)=1,listes!$U$1,IF(COUNTIF(Collège,E126)=1,listes!$V$1,IF(COUNTIF(Lycée,E126)=1,listes!$W$1,""))))</f>
        <v/>
      </c>
      <c r="L126" s="21" t="str">
        <f>IF(COUNTIF(Perralière,D126)=1,listes!$P$1,IF(COUNTIF(Buers,D126)=1,listes!$J$1,IF(COUNTIF(Charpennes,D126)=1,listes!$K$1,IF(COUNTIF(Cusset,D126)=1,listes!$L$1,IF(COUNTIF(Cyprien,D126)=1,listes!$M$1,IF(COUNTIF(Ferrandière,D126)=1,listes!$N$1,IF(COUNTIF(Gratteciel,D126)=1,listes!$O$1,IF(COUNTIF(Saintjean,D126)=1,listes!$Q$1,IF(COUNTIF(horsvilleurbanne,D126)=1,listes!$R$1,"")))))))))</f>
        <v/>
      </c>
      <c r="M126" s="21" t="str">
        <f t="shared" si="1"/>
        <v/>
      </c>
      <c r="N126" s="21" t="str">
        <f>T_sept_dec[[#This Row],[Etablissement accueillant]]&amp;"-"&amp;T_sept_dec[[#This Row],[Enseignant référent (Nom Prénom)]]</f>
        <v>-</v>
      </c>
      <c r="O126" s="21">
        <f>1/COUNTIF(T_sept_dec[CléEtablissement],T_sept_dec[[#This Row],[CléEtablissement]])</f>
        <v>4.1841004184100415E-3</v>
      </c>
      <c r="P12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6" s="186">
        <f>1/COUNTIF(T_sept_dec[CléRéseau-Rize horsmed],T_sept_dec[[#This Row],[CléRéseau-Rize horsmed]])</f>
        <v>4.1841004184100415E-3</v>
      </c>
      <c r="R126" s="186" t="str">
        <f>IF(COUNTIF(RIZE,T_sept_dec[[#This Row],[Secteur organisateur]]),"Rize_"&amp;T_sept_dec[[#This Row],[Enseignant référent (Nom Prénom)]],"")</f>
        <v/>
      </c>
      <c r="S126" s="186">
        <f>1/COUNTIF(T_sept_dec[CléRize],T_sept_dec[[#This Row],[CléRize]])</f>
        <v>4.048582995951417E-3</v>
      </c>
      <c r="T126" s="186" t="str">
        <f>IF(COUNTIF(Total,T_sept_dec[[#This Row],[Secteur organisateur]]),"Total_"&amp;T_sept_dec[[#This Row],[Enseignant référent (Nom Prénom)]],"")</f>
        <v/>
      </c>
      <c r="U126" s="186">
        <f>1/COUNTIF(T_sept_dec[cléTotal],T_sept_dec[[#This Row],[cléTotal]])</f>
        <v>4.1841004184100415E-3</v>
      </c>
    </row>
    <row r="127" spans="11:21">
      <c r="K127" s="21" t="str">
        <f>IF(COUNTIF(Maternelle,E127)=1,listes!$T$1,IF(COUNTIF(Elémentaire,E127)=1,listes!$U$1,IF(COUNTIF(Collège,E127)=1,listes!$V$1,IF(COUNTIF(Lycée,E127)=1,listes!$W$1,""))))</f>
        <v/>
      </c>
      <c r="L127" s="21" t="str">
        <f>IF(COUNTIF(Perralière,D127)=1,listes!$P$1,IF(COUNTIF(Buers,D127)=1,listes!$J$1,IF(COUNTIF(Charpennes,D127)=1,listes!$K$1,IF(COUNTIF(Cusset,D127)=1,listes!$L$1,IF(COUNTIF(Cyprien,D127)=1,listes!$M$1,IF(COUNTIF(Ferrandière,D127)=1,listes!$N$1,IF(COUNTIF(Gratteciel,D127)=1,listes!$O$1,IF(COUNTIF(Saintjean,D127)=1,listes!$Q$1,IF(COUNTIF(horsvilleurbanne,D127)=1,listes!$R$1,"")))))))))</f>
        <v/>
      </c>
      <c r="M127" s="21" t="str">
        <f t="shared" si="1"/>
        <v/>
      </c>
      <c r="N127" s="21" t="str">
        <f>T_sept_dec[[#This Row],[Etablissement accueillant]]&amp;"-"&amp;T_sept_dec[[#This Row],[Enseignant référent (Nom Prénom)]]</f>
        <v>-</v>
      </c>
      <c r="O127" s="21">
        <f>1/COUNTIF(T_sept_dec[CléEtablissement],T_sept_dec[[#This Row],[CléEtablissement]])</f>
        <v>4.1841004184100415E-3</v>
      </c>
      <c r="P12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7" s="186">
        <f>1/COUNTIF(T_sept_dec[CléRéseau-Rize horsmed],T_sept_dec[[#This Row],[CléRéseau-Rize horsmed]])</f>
        <v>4.1841004184100415E-3</v>
      </c>
      <c r="R127" s="186" t="str">
        <f>IF(COUNTIF(RIZE,T_sept_dec[[#This Row],[Secteur organisateur]]),"Rize_"&amp;T_sept_dec[[#This Row],[Enseignant référent (Nom Prénom)]],"")</f>
        <v/>
      </c>
      <c r="S127" s="186">
        <f>1/COUNTIF(T_sept_dec[CléRize],T_sept_dec[[#This Row],[CléRize]])</f>
        <v>4.048582995951417E-3</v>
      </c>
      <c r="T127" s="186" t="str">
        <f>IF(COUNTIF(Total,T_sept_dec[[#This Row],[Secteur organisateur]]),"Total_"&amp;T_sept_dec[[#This Row],[Enseignant référent (Nom Prénom)]],"")</f>
        <v/>
      </c>
      <c r="U127" s="186">
        <f>1/COUNTIF(T_sept_dec[cléTotal],T_sept_dec[[#This Row],[cléTotal]])</f>
        <v>4.1841004184100415E-3</v>
      </c>
    </row>
    <row r="128" spans="11:21">
      <c r="K128" s="21" t="str">
        <f>IF(COUNTIF(Maternelle,E128)=1,listes!$T$1,IF(COUNTIF(Elémentaire,E128)=1,listes!$U$1,IF(COUNTIF(Collège,E128)=1,listes!$V$1,IF(COUNTIF(Lycée,E128)=1,listes!$W$1,""))))</f>
        <v/>
      </c>
      <c r="L128" s="21" t="str">
        <f>IF(COUNTIF(Perralière,D128)=1,listes!$P$1,IF(COUNTIF(Buers,D128)=1,listes!$J$1,IF(COUNTIF(Charpennes,D128)=1,listes!$K$1,IF(COUNTIF(Cusset,D128)=1,listes!$L$1,IF(COUNTIF(Cyprien,D128)=1,listes!$M$1,IF(COUNTIF(Ferrandière,D128)=1,listes!$N$1,IF(COUNTIF(Gratteciel,D128)=1,listes!$O$1,IF(COUNTIF(Saintjean,D128)=1,listes!$Q$1,IF(COUNTIF(horsvilleurbanne,D128)=1,listes!$R$1,"")))))))))</f>
        <v/>
      </c>
      <c r="M128" s="21" t="str">
        <f t="shared" si="1"/>
        <v/>
      </c>
      <c r="N128" s="21" t="str">
        <f>T_sept_dec[[#This Row],[Etablissement accueillant]]&amp;"-"&amp;T_sept_dec[[#This Row],[Enseignant référent (Nom Prénom)]]</f>
        <v>-</v>
      </c>
      <c r="O128" s="21">
        <f>1/COUNTIF(T_sept_dec[CléEtablissement],T_sept_dec[[#This Row],[CléEtablissement]])</f>
        <v>4.1841004184100415E-3</v>
      </c>
      <c r="P12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8" s="186">
        <f>1/COUNTIF(T_sept_dec[CléRéseau-Rize horsmed],T_sept_dec[[#This Row],[CléRéseau-Rize horsmed]])</f>
        <v>4.1841004184100415E-3</v>
      </c>
      <c r="R128" s="186" t="str">
        <f>IF(COUNTIF(RIZE,T_sept_dec[[#This Row],[Secteur organisateur]]),"Rize_"&amp;T_sept_dec[[#This Row],[Enseignant référent (Nom Prénom)]],"")</f>
        <v/>
      </c>
      <c r="S128" s="186">
        <f>1/COUNTIF(T_sept_dec[CléRize],T_sept_dec[[#This Row],[CléRize]])</f>
        <v>4.048582995951417E-3</v>
      </c>
      <c r="T128" s="186" t="str">
        <f>IF(COUNTIF(Total,T_sept_dec[[#This Row],[Secteur organisateur]]),"Total_"&amp;T_sept_dec[[#This Row],[Enseignant référent (Nom Prénom)]],"")</f>
        <v/>
      </c>
      <c r="U128" s="186">
        <f>1/COUNTIF(T_sept_dec[cléTotal],T_sept_dec[[#This Row],[cléTotal]])</f>
        <v>4.1841004184100415E-3</v>
      </c>
    </row>
    <row r="129" spans="1:21">
      <c r="K129" s="21" t="str">
        <f>IF(COUNTIF(Maternelle,E129)=1,listes!$T$1,IF(COUNTIF(Elémentaire,E129)=1,listes!$U$1,IF(COUNTIF(Collège,E129)=1,listes!$V$1,IF(COUNTIF(Lycée,E129)=1,listes!$W$1,""))))</f>
        <v/>
      </c>
      <c r="L129" s="21" t="str">
        <f>IF(COUNTIF(Perralière,D129)=1,listes!$P$1,IF(COUNTIF(Buers,D129)=1,listes!$J$1,IF(COUNTIF(Charpennes,D129)=1,listes!$K$1,IF(COUNTIF(Cusset,D129)=1,listes!$L$1,IF(COUNTIF(Cyprien,D129)=1,listes!$M$1,IF(COUNTIF(Ferrandière,D129)=1,listes!$N$1,IF(COUNTIF(Gratteciel,D129)=1,listes!$O$1,IF(COUNTIF(Saintjean,D129)=1,listes!$Q$1,IF(COUNTIF(horsvilleurbanne,D129)=1,listes!$R$1,"")))))))))</f>
        <v/>
      </c>
      <c r="M129" s="21" t="str">
        <f t="shared" si="1"/>
        <v/>
      </c>
      <c r="N129" s="21" t="str">
        <f>T_sept_dec[[#This Row],[Etablissement accueillant]]&amp;"-"&amp;T_sept_dec[[#This Row],[Enseignant référent (Nom Prénom)]]</f>
        <v>-</v>
      </c>
      <c r="O129" s="21">
        <f>1/COUNTIF(T_sept_dec[CléEtablissement],T_sept_dec[[#This Row],[CléEtablissement]])</f>
        <v>4.1841004184100415E-3</v>
      </c>
      <c r="P12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29" s="186">
        <f>1/COUNTIF(T_sept_dec[CléRéseau-Rize horsmed],T_sept_dec[[#This Row],[CléRéseau-Rize horsmed]])</f>
        <v>4.1841004184100415E-3</v>
      </c>
      <c r="R129" s="186" t="str">
        <f>IF(COUNTIF(RIZE,T_sept_dec[[#This Row],[Secteur organisateur]]),"Rize_"&amp;T_sept_dec[[#This Row],[Enseignant référent (Nom Prénom)]],"")</f>
        <v/>
      </c>
      <c r="S129" s="186">
        <f>1/COUNTIF(T_sept_dec[CléRize],T_sept_dec[[#This Row],[CléRize]])</f>
        <v>4.048582995951417E-3</v>
      </c>
      <c r="T129" s="186" t="str">
        <f>IF(COUNTIF(Total,T_sept_dec[[#This Row],[Secteur organisateur]]),"Total_"&amp;T_sept_dec[[#This Row],[Enseignant référent (Nom Prénom)]],"")</f>
        <v/>
      </c>
      <c r="U129" s="186">
        <f>1/COUNTIF(T_sept_dec[cléTotal],T_sept_dec[[#This Row],[cléTotal]])</f>
        <v>4.1841004184100415E-3</v>
      </c>
    </row>
    <row r="130" spans="1:21">
      <c r="K130" s="21" t="str">
        <f>IF(COUNTIF(Maternelle,E130)=1,listes!$T$1,IF(COUNTIF(Elémentaire,E130)=1,listes!$U$1,IF(COUNTIF(Collège,E130)=1,listes!$V$1,IF(COUNTIF(Lycée,E130)=1,listes!$W$1,""))))</f>
        <v/>
      </c>
      <c r="L130" s="21" t="str">
        <f>IF(COUNTIF(Perralière,D130)=1,listes!$P$1,IF(COUNTIF(Buers,D130)=1,listes!$J$1,IF(COUNTIF(Charpennes,D130)=1,listes!$K$1,IF(COUNTIF(Cusset,D130)=1,listes!$L$1,IF(COUNTIF(Cyprien,D130)=1,listes!$M$1,IF(COUNTIF(Ferrandière,D130)=1,listes!$N$1,IF(COUNTIF(Gratteciel,D130)=1,listes!$O$1,IF(COUNTIF(Saintjean,D130)=1,listes!$Q$1,IF(COUNTIF(horsvilleurbanne,D130)=1,listes!$R$1,"")))))))))</f>
        <v/>
      </c>
      <c r="M130" s="21" t="str">
        <f t="shared" ref="M130:M193" si="2">IF(COUNTIF(FDL,B130)=1,"FDL",IF(COUNTIF(RIZE,B130)=1,"RIZE",IF(COUNTIF(MLIS,B130)=1,"MLIS",IF(COUNTIF(PACBUS,B130)=1,"PAC-BUS",IF(COUNTIF(Tonkin,B130)=1,"Tonkin","")))))</f>
        <v/>
      </c>
      <c r="N130" s="21" t="str">
        <f>T_sept_dec[[#This Row],[Etablissement accueillant]]&amp;"-"&amp;T_sept_dec[[#This Row],[Enseignant référent (Nom Prénom)]]</f>
        <v>-</v>
      </c>
      <c r="O130" s="21">
        <f>1/COUNTIF(T_sept_dec[CléEtablissement],T_sept_dec[[#This Row],[CléEtablissement]])</f>
        <v>4.1841004184100415E-3</v>
      </c>
      <c r="P13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0" s="186">
        <f>1/COUNTIF(T_sept_dec[CléRéseau-Rize horsmed],T_sept_dec[[#This Row],[CléRéseau-Rize horsmed]])</f>
        <v>4.1841004184100415E-3</v>
      </c>
      <c r="R130" s="186" t="str">
        <f>IF(COUNTIF(RIZE,T_sept_dec[[#This Row],[Secteur organisateur]]),"Rize_"&amp;T_sept_dec[[#This Row],[Enseignant référent (Nom Prénom)]],"")</f>
        <v/>
      </c>
      <c r="S130" s="186">
        <f>1/COUNTIF(T_sept_dec[CléRize],T_sept_dec[[#This Row],[CléRize]])</f>
        <v>4.048582995951417E-3</v>
      </c>
      <c r="T130" s="186" t="str">
        <f>IF(COUNTIF(Total,T_sept_dec[[#This Row],[Secteur organisateur]]),"Total_"&amp;T_sept_dec[[#This Row],[Enseignant référent (Nom Prénom)]],"")</f>
        <v/>
      </c>
      <c r="U130" s="186">
        <f>1/COUNTIF(T_sept_dec[cléTotal],T_sept_dec[[#This Row],[cléTotal]])</f>
        <v>4.1841004184100415E-3</v>
      </c>
    </row>
    <row r="131" spans="1:21">
      <c r="K131" s="21" t="str">
        <f>IF(COUNTIF(Maternelle,E131)=1,listes!$T$1,IF(COUNTIF(Elémentaire,E131)=1,listes!$U$1,IF(COUNTIF(Collège,E131)=1,listes!$V$1,IF(COUNTIF(Lycée,E131)=1,listes!$W$1,""))))</f>
        <v/>
      </c>
      <c r="L131" s="21" t="str">
        <f>IF(COUNTIF(Perralière,D131)=1,listes!$P$1,IF(COUNTIF(Buers,D131)=1,listes!$J$1,IF(COUNTIF(Charpennes,D131)=1,listes!$K$1,IF(COUNTIF(Cusset,D131)=1,listes!$L$1,IF(COUNTIF(Cyprien,D131)=1,listes!$M$1,IF(COUNTIF(Ferrandière,D131)=1,listes!$N$1,IF(COUNTIF(Gratteciel,D131)=1,listes!$O$1,IF(COUNTIF(Saintjean,D131)=1,listes!$Q$1,IF(COUNTIF(horsvilleurbanne,D131)=1,listes!$R$1,"")))))))))</f>
        <v/>
      </c>
      <c r="M131" s="21" t="str">
        <f t="shared" si="2"/>
        <v/>
      </c>
      <c r="N131" s="21" t="str">
        <f>T_sept_dec[[#This Row],[Etablissement accueillant]]&amp;"-"&amp;T_sept_dec[[#This Row],[Enseignant référent (Nom Prénom)]]</f>
        <v>-</v>
      </c>
      <c r="O131" s="21">
        <f>1/COUNTIF(T_sept_dec[CléEtablissement],T_sept_dec[[#This Row],[CléEtablissement]])</f>
        <v>4.1841004184100415E-3</v>
      </c>
      <c r="P13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1" s="186">
        <f>1/COUNTIF(T_sept_dec[CléRéseau-Rize horsmed],T_sept_dec[[#This Row],[CléRéseau-Rize horsmed]])</f>
        <v>4.1841004184100415E-3</v>
      </c>
      <c r="R131" s="186" t="str">
        <f>IF(COUNTIF(RIZE,T_sept_dec[[#This Row],[Secteur organisateur]]),"Rize_"&amp;T_sept_dec[[#This Row],[Enseignant référent (Nom Prénom)]],"")</f>
        <v/>
      </c>
      <c r="S131" s="186">
        <f>1/COUNTIF(T_sept_dec[CléRize],T_sept_dec[[#This Row],[CléRize]])</f>
        <v>4.048582995951417E-3</v>
      </c>
      <c r="T131" s="186" t="str">
        <f>IF(COUNTIF(Total,T_sept_dec[[#This Row],[Secteur organisateur]]),"Total_"&amp;T_sept_dec[[#This Row],[Enseignant référent (Nom Prénom)]],"")</f>
        <v/>
      </c>
      <c r="U131" s="186">
        <f>1/COUNTIF(T_sept_dec[cléTotal],T_sept_dec[[#This Row],[cléTotal]])</f>
        <v>4.1841004184100415E-3</v>
      </c>
    </row>
    <row r="132" spans="1:21" ht="15.75" customHeight="1">
      <c r="K132" s="21" t="str">
        <f>IF(COUNTIF(Maternelle,E132)=1,listes!$T$1,IF(COUNTIF(Elémentaire,E132)=1,listes!$U$1,IF(COUNTIF(Collège,E132)=1,listes!$V$1,IF(COUNTIF(Lycée,E132)=1,listes!$W$1,""))))</f>
        <v/>
      </c>
      <c r="L132" s="21" t="str">
        <f>IF(COUNTIF(Perralière,D132)=1,listes!$P$1,IF(COUNTIF(Buers,D132)=1,listes!$J$1,IF(COUNTIF(Charpennes,D132)=1,listes!$K$1,IF(COUNTIF(Cusset,D132)=1,listes!$L$1,IF(COUNTIF(Cyprien,D132)=1,listes!$M$1,IF(COUNTIF(Ferrandière,D132)=1,listes!$N$1,IF(COUNTIF(Gratteciel,D132)=1,listes!$O$1,IF(COUNTIF(Saintjean,D132)=1,listes!$Q$1,IF(COUNTIF(horsvilleurbanne,D132)=1,listes!$R$1,"")))))))))</f>
        <v/>
      </c>
      <c r="M132" s="21" t="str">
        <f t="shared" si="2"/>
        <v/>
      </c>
      <c r="N132" s="21" t="str">
        <f>T_sept_dec[[#This Row],[Etablissement accueillant]]&amp;"-"&amp;T_sept_dec[[#This Row],[Enseignant référent (Nom Prénom)]]</f>
        <v>-</v>
      </c>
      <c r="O132" s="21">
        <f>1/COUNTIF(T_sept_dec[CléEtablissement],T_sept_dec[[#This Row],[CléEtablissement]])</f>
        <v>4.1841004184100415E-3</v>
      </c>
      <c r="P13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2" s="186">
        <f>1/COUNTIF(T_sept_dec[CléRéseau-Rize horsmed],T_sept_dec[[#This Row],[CléRéseau-Rize horsmed]])</f>
        <v>4.1841004184100415E-3</v>
      </c>
      <c r="R132" s="186" t="str">
        <f>IF(COUNTIF(RIZE,T_sept_dec[[#This Row],[Secteur organisateur]]),"Rize_"&amp;T_sept_dec[[#This Row],[Enseignant référent (Nom Prénom)]],"")</f>
        <v/>
      </c>
      <c r="S132" s="186">
        <f>1/COUNTIF(T_sept_dec[CléRize],T_sept_dec[[#This Row],[CléRize]])</f>
        <v>4.048582995951417E-3</v>
      </c>
      <c r="T132" s="186" t="str">
        <f>IF(COUNTIF(Total,T_sept_dec[[#This Row],[Secteur organisateur]]),"Total_"&amp;T_sept_dec[[#This Row],[Enseignant référent (Nom Prénom)]],"")</f>
        <v/>
      </c>
      <c r="U132" s="186">
        <f>1/COUNTIF(T_sept_dec[cléTotal],T_sept_dec[[#This Row],[cléTotal]])</f>
        <v>4.1841004184100415E-3</v>
      </c>
    </row>
    <row r="133" spans="1:21" ht="15" customHeight="1">
      <c r="K133" s="21" t="str">
        <f>IF(COUNTIF(Maternelle,E133)=1,listes!$T$1,IF(COUNTIF(Elémentaire,E133)=1,listes!$U$1,IF(COUNTIF(Collège,E133)=1,listes!$V$1,IF(COUNTIF(Lycée,E133)=1,listes!$W$1,""))))</f>
        <v/>
      </c>
      <c r="L133" s="21" t="str">
        <f>IF(COUNTIF(Perralière,D133)=1,listes!$P$1,IF(COUNTIF(Buers,D133)=1,listes!$J$1,IF(COUNTIF(Charpennes,D133)=1,listes!$K$1,IF(COUNTIF(Cusset,D133)=1,listes!$L$1,IF(COUNTIF(Cyprien,D133)=1,listes!$M$1,IF(COUNTIF(Ferrandière,D133)=1,listes!$N$1,IF(COUNTIF(Gratteciel,D133)=1,listes!$O$1,IF(COUNTIF(Saintjean,D133)=1,listes!$Q$1,IF(COUNTIF(horsvilleurbanne,D133)=1,listes!$R$1,"")))))))))</f>
        <v/>
      </c>
      <c r="M133" s="21" t="str">
        <f t="shared" si="2"/>
        <v/>
      </c>
      <c r="N133" s="21" t="str">
        <f>T_sept_dec[[#This Row],[Etablissement accueillant]]&amp;"-"&amp;T_sept_dec[[#This Row],[Enseignant référent (Nom Prénom)]]</f>
        <v>-</v>
      </c>
      <c r="O133" s="21">
        <f>1/COUNTIF(T_sept_dec[CléEtablissement],T_sept_dec[[#This Row],[CléEtablissement]])</f>
        <v>4.1841004184100415E-3</v>
      </c>
      <c r="P13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3" s="186">
        <f>1/COUNTIF(T_sept_dec[CléRéseau-Rize horsmed],T_sept_dec[[#This Row],[CléRéseau-Rize horsmed]])</f>
        <v>4.1841004184100415E-3</v>
      </c>
      <c r="R133" s="186" t="str">
        <f>IF(COUNTIF(RIZE,T_sept_dec[[#This Row],[Secteur organisateur]]),"Rize_"&amp;T_sept_dec[[#This Row],[Enseignant référent (Nom Prénom)]],"")</f>
        <v/>
      </c>
      <c r="S133" s="186">
        <f>1/COUNTIF(T_sept_dec[CléRize],T_sept_dec[[#This Row],[CléRize]])</f>
        <v>4.048582995951417E-3</v>
      </c>
      <c r="T133" s="186" t="str">
        <f>IF(COUNTIF(Total,T_sept_dec[[#This Row],[Secteur organisateur]]),"Total_"&amp;T_sept_dec[[#This Row],[Enseignant référent (Nom Prénom)]],"")</f>
        <v/>
      </c>
      <c r="U133" s="186">
        <f>1/COUNTIF(T_sept_dec[cléTotal],T_sept_dec[[#This Row],[cléTotal]])</f>
        <v>4.1841004184100415E-3</v>
      </c>
    </row>
    <row r="134" spans="1:21">
      <c r="K134" s="21" t="str">
        <f>IF(COUNTIF(Maternelle,E134)=1,listes!$T$1,IF(COUNTIF(Elémentaire,E134)=1,listes!$U$1,IF(COUNTIF(Collège,E134)=1,listes!$V$1,IF(COUNTIF(Lycée,E134)=1,listes!$W$1,""))))</f>
        <v/>
      </c>
      <c r="L134" s="21" t="str">
        <f>IF(COUNTIF(Perralière,D134)=1,listes!$P$1,IF(COUNTIF(Buers,D134)=1,listes!$J$1,IF(COUNTIF(Charpennes,D134)=1,listes!$K$1,IF(COUNTIF(Cusset,D134)=1,listes!$L$1,IF(COUNTIF(Cyprien,D134)=1,listes!$M$1,IF(COUNTIF(Ferrandière,D134)=1,listes!$N$1,IF(COUNTIF(Gratteciel,D134)=1,listes!$O$1,IF(COUNTIF(Saintjean,D134)=1,listes!$Q$1,IF(COUNTIF(horsvilleurbanne,D134)=1,listes!$R$1,"")))))))))</f>
        <v/>
      </c>
      <c r="M134" s="21" t="str">
        <f t="shared" si="2"/>
        <v/>
      </c>
      <c r="N134" s="21" t="str">
        <f>T_sept_dec[[#This Row],[Etablissement accueillant]]&amp;"-"&amp;T_sept_dec[[#This Row],[Enseignant référent (Nom Prénom)]]</f>
        <v>-</v>
      </c>
      <c r="O134" s="21">
        <f>1/COUNTIF(T_sept_dec[CléEtablissement],T_sept_dec[[#This Row],[CléEtablissement]])</f>
        <v>4.1841004184100415E-3</v>
      </c>
      <c r="P13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4" s="186">
        <f>1/COUNTIF(T_sept_dec[CléRéseau-Rize horsmed],T_sept_dec[[#This Row],[CléRéseau-Rize horsmed]])</f>
        <v>4.1841004184100415E-3</v>
      </c>
      <c r="R134" s="186" t="str">
        <f>IF(COUNTIF(RIZE,T_sept_dec[[#This Row],[Secteur organisateur]]),"Rize_"&amp;T_sept_dec[[#This Row],[Enseignant référent (Nom Prénom)]],"")</f>
        <v/>
      </c>
      <c r="S134" s="186">
        <f>1/COUNTIF(T_sept_dec[CléRize],T_sept_dec[[#This Row],[CléRize]])</f>
        <v>4.048582995951417E-3</v>
      </c>
      <c r="T134" s="186" t="str">
        <f>IF(COUNTIF(Total,T_sept_dec[[#This Row],[Secteur organisateur]]),"Total_"&amp;T_sept_dec[[#This Row],[Enseignant référent (Nom Prénom)]],"")</f>
        <v/>
      </c>
      <c r="U134" s="186">
        <f>1/COUNTIF(T_sept_dec[cléTotal],T_sept_dec[[#This Row],[cléTotal]])</f>
        <v>4.1841004184100415E-3</v>
      </c>
    </row>
    <row r="135" spans="1:21">
      <c r="K135" s="21" t="str">
        <f>IF(COUNTIF(Maternelle,E135)=1,listes!$T$1,IF(COUNTIF(Elémentaire,E135)=1,listes!$U$1,IF(COUNTIF(Collège,E135)=1,listes!$V$1,IF(COUNTIF(Lycée,E135)=1,listes!$W$1,""))))</f>
        <v/>
      </c>
      <c r="L135" s="21" t="str">
        <f>IF(COUNTIF(Perralière,D135)=1,listes!$P$1,IF(COUNTIF(Buers,D135)=1,listes!$J$1,IF(COUNTIF(Charpennes,D135)=1,listes!$K$1,IF(COUNTIF(Cusset,D135)=1,listes!$L$1,IF(COUNTIF(Cyprien,D135)=1,listes!$M$1,IF(COUNTIF(Ferrandière,D135)=1,listes!$N$1,IF(COUNTIF(Gratteciel,D135)=1,listes!$O$1,IF(COUNTIF(Saintjean,D135)=1,listes!$Q$1,IF(COUNTIF(horsvilleurbanne,D135)=1,listes!$R$1,"")))))))))</f>
        <v/>
      </c>
      <c r="M135" s="21" t="str">
        <f t="shared" si="2"/>
        <v/>
      </c>
      <c r="N135" s="21" t="str">
        <f>T_sept_dec[[#This Row],[Etablissement accueillant]]&amp;"-"&amp;T_sept_dec[[#This Row],[Enseignant référent (Nom Prénom)]]</f>
        <v>-</v>
      </c>
      <c r="O135" s="21">
        <f>1/COUNTIF(T_sept_dec[CléEtablissement],T_sept_dec[[#This Row],[CléEtablissement]])</f>
        <v>4.1841004184100415E-3</v>
      </c>
      <c r="P13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5" s="186">
        <f>1/COUNTIF(T_sept_dec[CléRéseau-Rize horsmed],T_sept_dec[[#This Row],[CléRéseau-Rize horsmed]])</f>
        <v>4.1841004184100415E-3</v>
      </c>
      <c r="R135" s="186" t="str">
        <f>IF(COUNTIF(RIZE,T_sept_dec[[#This Row],[Secteur organisateur]]),"Rize_"&amp;T_sept_dec[[#This Row],[Enseignant référent (Nom Prénom)]],"")</f>
        <v/>
      </c>
      <c r="S135" s="186">
        <f>1/COUNTIF(T_sept_dec[CléRize],T_sept_dec[[#This Row],[CléRize]])</f>
        <v>4.048582995951417E-3</v>
      </c>
      <c r="T135" s="186" t="str">
        <f>IF(COUNTIF(Total,T_sept_dec[[#This Row],[Secteur organisateur]]),"Total_"&amp;T_sept_dec[[#This Row],[Enseignant référent (Nom Prénom)]],"")</f>
        <v/>
      </c>
      <c r="U135" s="186">
        <f>1/COUNTIF(T_sept_dec[cléTotal],T_sept_dec[[#This Row],[cléTotal]])</f>
        <v>4.1841004184100415E-3</v>
      </c>
    </row>
    <row r="136" spans="1:21">
      <c r="K136" s="21" t="str">
        <f>IF(COUNTIF(Maternelle,E136)=1,listes!$T$1,IF(COUNTIF(Elémentaire,E136)=1,listes!$U$1,IF(COUNTIF(Collège,E136)=1,listes!$V$1,IF(COUNTIF(Lycée,E136)=1,listes!$W$1,""))))</f>
        <v/>
      </c>
      <c r="L136" s="21" t="str">
        <f>IF(COUNTIF(Perralière,D136)=1,listes!$P$1,IF(COUNTIF(Buers,D136)=1,listes!$J$1,IF(COUNTIF(Charpennes,D136)=1,listes!$K$1,IF(COUNTIF(Cusset,D136)=1,listes!$L$1,IF(COUNTIF(Cyprien,D136)=1,listes!$M$1,IF(COUNTIF(Ferrandière,D136)=1,listes!$N$1,IF(COUNTIF(Gratteciel,D136)=1,listes!$O$1,IF(COUNTIF(Saintjean,D136)=1,listes!$Q$1,IF(COUNTIF(horsvilleurbanne,D136)=1,listes!$R$1,"")))))))))</f>
        <v/>
      </c>
      <c r="M136" s="21" t="str">
        <f t="shared" si="2"/>
        <v/>
      </c>
      <c r="N136" s="21" t="str">
        <f>T_sept_dec[[#This Row],[Etablissement accueillant]]&amp;"-"&amp;T_sept_dec[[#This Row],[Enseignant référent (Nom Prénom)]]</f>
        <v>-</v>
      </c>
      <c r="O136" s="21">
        <f>1/COUNTIF(T_sept_dec[CléEtablissement],T_sept_dec[[#This Row],[CléEtablissement]])</f>
        <v>4.1841004184100415E-3</v>
      </c>
      <c r="P13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6" s="186">
        <f>1/COUNTIF(T_sept_dec[CléRéseau-Rize horsmed],T_sept_dec[[#This Row],[CléRéseau-Rize horsmed]])</f>
        <v>4.1841004184100415E-3</v>
      </c>
      <c r="R136" s="186" t="str">
        <f>IF(COUNTIF(RIZE,T_sept_dec[[#This Row],[Secteur organisateur]]),"Rize_"&amp;T_sept_dec[[#This Row],[Enseignant référent (Nom Prénom)]],"")</f>
        <v/>
      </c>
      <c r="S136" s="186">
        <f>1/COUNTIF(T_sept_dec[CléRize],T_sept_dec[[#This Row],[CléRize]])</f>
        <v>4.048582995951417E-3</v>
      </c>
      <c r="T136" s="186" t="str">
        <f>IF(COUNTIF(Total,T_sept_dec[[#This Row],[Secteur organisateur]]),"Total_"&amp;T_sept_dec[[#This Row],[Enseignant référent (Nom Prénom)]],"")</f>
        <v/>
      </c>
      <c r="U136" s="186">
        <f>1/COUNTIF(T_sept_dec[cléTotal],T_sept_dec[[#This Row],[cléTotal]])</f>
        <v>4.1841004184100415E-3</v>
      </c>
    </row>
    <row r="137" spans="1:21" s="163" customFormat="1">
      <c r="A137" s="122"/>
      <c r="B137" s="20"/>
      <c r="C137" s="20"/>
      <c r="D137" s="20"/>
      <c r="E137" s="20"/>
      <c r="F137" s="20"/>
      <c r="G137" s="20"/>
      <c r="H137" s="20"/>
      <c r="I137" s="20"/>
      <c r="J137" s="20"/>
      <c r="K137" s="21" t="str">
        <f>IF(COUNTIF(Maternelle,E137)=1,listes!$T$1,IF(COUNTIF(Elémentaire,E137)=1,listes!$U$1,IF(COUNTIF(Collège,E137)=1,listes!$V$1,IF(COUNTIF(Lycée,E137)=1,listes!$W$1,""))))</f>
        <v/>
      </c>
      <c r="L137" s="21" t="str">
        <f>IF(COUNTIF(Perralière,D137)=1,listes!$P$1,IF(COUNTIF(Buers,D137)=1,listes!$J$1,IF(COUNTIF(Charpennes,D137)=1,listes!$K$1,IF(COUNTIF(Cusset,D137)=1,listes!$L$1,IF(COUNTIF(Cyprien,D137)=1,listes!$M$1,IF(COUNTIF(Ferrandière,D137)=1,listes!$N$1,IF(COUNTIF(Gratteciel,D137)=1,listes!$O$1,IF(COUNTIF(Saintjean,D137)=1,listes!$Q$1,IF(COUNTIF(horsvilleurbanne,D137)=1,listes!$R$1,"")))))))))</f>
        <v/>
      </c>
      <c r="M137" s="21" t="str">
        <f t="shared" si="2"/>
        <v/>
      </c>
      <c r="N137" s="185" t="str">
        <f>T_sept_dec[[#This Row],[Etablissement accueillant]]&amp;"-"&amp;T_sept_dec[[#This Row],[Enseignant référent (Nom Prénom)]]</f>
        <v>-</v>
      </c>
      <c r="O137" s="185">
        <f>1/COUNTIF(T_sept_dec[CléEtablissement],T_sept_dec[[#This Row],[CléEtablissement]])</f>
        <v>4.1841004184100415E-3</v>
      </c>
      <c r="P137" s="185"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7" s="187">
        <f>1/COUNTIF(T_sept_dec[CléRéseau-Rize horsmed],T_sept_dec[[#This Row],[CléRéseau-Rize horsmed]])</f>
        <v>4.1841004184100415E-3</v>
      </c>
      <c r="R137" s="187" t="str">
        <f>IF(COUNTIF(RIZE,T_sept_dec[[#This Row],[Secteur organisateur]]),"Rize_"&amp;T_sept_dec[[#This Row],[Enseignant référent (Nom Prénom)]],"")</f>
        <v/>
      </c>
      <c r="S137" s="187">
        <f>1/COUNTIF(T_sept_dec[CléRize],T_sept_dec[[#This Row],[CléRize]])</f>
        <v>4.048582995951417E-3</v>
      </c>
      <c r="T137" s="187" t="str">
        <f>IF(COUNTIF(Total,T_sept_dec[[#This Row],[Secteur organisateur]]),"Total_"&amp;T_sept_dec[[#This Row],[Enseignant référent (Nom Prénom)]],"")</f>
        <v/>
      </c>
      <c r="U137" s="187">
        <f>1/COUNTIF(T_sept_dec[cléTotal],T_sept_dec[[#This Row],[cléTotal]])</f>
        <v>4.1841004184100415E-3</v>
      </c>
    </row>
    <row r="138" spans="1:21">
      <c r="K138" s="21" t="str">
        <f>IF(COUNTIF(Maternelle,E138)=1,listes!$T$1,IF(COUNTIF(Elémentaire,E138)=1,listes!$U$1,IF(COUNTIF(Collège,E138)=1,listes!$V$1,IF(COUNTIF(Lycée,E138)=1,listes!$W$1,""))))</f>
        <v/>
      </c>
      <c r="L138" s="21" t="str">
        <f>IF(COUNTIF(Perralière,D138)=1,listes!$P$1,IF(COUNTIF(Buers,D138)=1,listes!$J$1,IF(COUNTIF(Charpennes,D138)=1,listes!$K$1,IF(COUNTIF(Cusset,D138)=1,listes!$L$1,IF(COUNTIF(Cyprien,D138)=1,listes!$M$1,IF(COUNTIF(Ferrandière,D138)=1,listes!$N$1,IF(COUNTIF(Gratteciel,D138)=1,listes!$O$1,IF(COUNTIF(Saintjean,D138)=1,listes!$Q$1,IF(COUNTIF(horsvilleurbanne,D138)=1,listes!$R$1,"")))))))))</f>
        <v/>
      </c>
      <c r="M138" s="21" t="str">
        <f t="shared" si="2"/>
        <v/>
      </c>
      <c r="N138" s="21" t="str">
        <f>T_sept_dec[[#This Row],[Etablissement accueillant]]&amp;"-"&amp;T_sept_dec[[#This Row],[Enseignant référent (Nom Prénom)]]</f>
        <v>-</v>
      </c>
      <c r="O138" s="21">
        <f>1/COUNTIF(T_sept_dec[CléEtablissement],T_sept_dec[[#This Row],[CléEtablissement]])</f>
        <v>4.1841004184100415E-3</v>
      </c>
      <c r="P13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8" s="186">
        <f>1/COUNTIF(T_sept_dec[CléRéseau-Rize horsmed],T_sept_dec[[#This Row],[CléRéseau-Rize horsmed]])</f>
        <v>4.1841004184100415E-3</v>
      </c>
      <c r="R138" s="186" t="str">
        <f>IF(COUNTIF(RIZE,T_sept_dec[[#This Row],[Secteur organisateur]]),"Rize_"&amp;T_sept_dec[[#This Row],[Enseignant référent (Nom Prénom)]],"")</f>
        <v/>
      </c>
      <c r="S138" s="186">
        <f>1/COUNTIF(T_sept_dec[CléRize],T_sept_dec[[#This Row],[CléRize]])</f>
        <v>4.048582995951417E-3</v>
      </c>
      <c r="T138" s="186" t="str">
        <f>IF(COUNTIF(Total,T_sept_dec[[#This Row],[Secteur organisateur]]),"Total_"&amp;T_sept_dec[[#This Row],[Enseignant référent (Nom Prénom)]],"")</f>
        <v/>
      </c>
      <c r="U138" s="186">
        <f>1/COUNTIF(T_sept_dec[cléTotal],T_sept_dec[[#This Row],[cléTotal]])</f>
        <v>4.1841004184100415E-3</v>
      </c>
    </row>
    <row r="139" spans="1:21">
      <c r="K139" s="21" t="str">
        <f>IF(COUNTIF(Maternelle,E139)=1,listes!$T$1,IF(COUNTIF(Elémentaire,E139)=1,listes!$U$1,IF(COUNTIF(Collège,E139)=1,listes!$V$1,IF(COUNTIF(Lycée,E139)=1,listes!$W$1,""))))</f>
        <v/>
      </c>
      <c r="L139" s="21" t="str">
        <f>IF(COUNTIF(Perralière,D139)=1,listes!$P$1,IF(COUNTIF(Buers,D139)=1,listes!$J$1,IF(COUNTIF(Charpennes,D139)=1,listes!$K$1,IF(COUNTIF(Cusset,D139)=1,listes!$L$1,IF(COUNTIF(Cyprien,D139)=1,listes!$M$1,IF(COUNTIF(Ferrandière,D139)=1,listes!$N$1,IF(COUNTIF(Gratteciel,D139)=1,listes!$O$1,IF(COUNTIF(Saintjean,D139)=1,listes!$Q$1,IF(COUNTIF(horsvilleurbanne,D139)=1,listes!$R$1,"")))))))))</f>
        <v/>
      </c>
      <c r="M139" s="21" t="str">
        <f t="shared" si="2"/>
        <v/>
      </c>
      <c r="N139" s="21" t="str">
        <f>T_sept_dec[[#This Row],[Etablissement accueillant]]&amp;"-"&amp;T_sept_dec[[#This Row],[Enseignant référent (Nom Prénom)]]</f>
        <v>-</v>
      </c>
      <c r="O139" s="21">
        <f>1/COUNTIF(T_sept_dec[CléEtablissement],T_sept_dec[[#This Row],[CléEtablissement]])</f>
        <v>4.1841004184100415E-3</v>
      </c>
      <c r="P13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39" s="186">
        <f>1/COUNTIF(T_sept_dec[CléRéseau-Rize horsmed],T_sept_dec[[#This Row],[CléRéseau-Rize horsmed]])</f>
        <v>4.1841004184100415E-3</v>
      </c>
      <c r="R139" s="186" t="str">
        <f>IF(COUNTIF(RIZE,T_sept_dec[[#This Row],[Secteur organisateur]]),"Rize_"&amp;T_sept_dec[[#This Row],[Enseignant référent (Nom Prénom)]],"")</f>
        <v/>
      </c>
      <c r="S139" s="186">
        <f>1/COUNTIF(T_sept_dec[CléRize],T_sept_dec[[#This Row],[CléRize]])</f>
        <v>4.048582995951417E-3</v>
      </c>
      <c r="T139" s="186" t="str">
        <f>IF(COUNTIF(Total,T_sept_dec[[#This Row],[Secteur organisateur]]),"Total_"&amp;T_sept_dec[[#This Row],[Enseignant référent (Nom Prénom)]],"")</f>
        <v/>
      </c>
      <c r="U139" s="186">
        <f>1/COUNTIF(T_sept_dec[cléTotal],T_sept_dec[[#This Row],[cléTotal]])</f>
        <v>4.1841004184100415E-3</v>
      </c>
    </row>
    <row r="140" spans="1:21">
      <c r="K140" s="21" t="str">
        <f>IF(COUNTIF(Maternelle,E140)=1,listes!$T$1,IF(COUNTIF(Elémentaire,E140)=1,listes!$U$1,IF(COUNTIF(Collège,E140)=1,listes!$V$1,IF(COUNTIF(Lycée,E140)=1,listes!$W$1,""))))</f>
        <v/>
      </c>
      <c r="L140" s="21" t="str">
        <f>IF(COUNTIF(Perralière,D140)=1,listes!$P$1,IF(COUNTIF(Buers,D140)=1,listes!$J$1,IF(COUNTIF(Charpennes,D140)=1,listes!$K$1,IF(COUNTIF(Cusset,D140)=1,listes!$L$1,IF(COUNTIF(Cyprien,D140)=1,listes!$M$1,IF(COUNTIF(Ferrandière,D140)=1,listes!$N$1,IF(COUNTIF(Gratteciel,D140)=1,listes!$O$1,IF(COUNTIF(Saintjean,D140)=1,listes!$Q$1,IF(COUNTIF(horsvilleurbanne,D140)=1,listes!$R$1,"")))))))))</f>
        <v/>
      </c>
      <c r="M140" s="21" t="str">
        <f t="shared" si="2"/>
        <v/>
      </c>
      <c r="N140" s="21" t="str">
        <f>T_sept_dec[[#This Row],[Etablissement accueillant]]&amp;"-"&amp;T_sept_dec[[#This Row],[Enseignant référent (Nom Prénom)]]</f>
        <v>-</v>
      </c>
      <c r="O140" s="21">
        <f>1/COUNTIF(T_sept_dec[CléEtablissement],T_sept_dec[[#This Row],[CléEtablissement]])</f>
        <v>4.1841004184100415E-3</v>
      </c>
      <c r="P14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0" s="186">
        <f>1/COUNTIF(T_sept_dec[CléRéseau-Rize horsmed],T_sept_dec[[#This Row],[CléRéseau-Rize horsmed]])</f>
        <v>4.1841004184100415E-3</v>
      </c>
      <c r="R140" s="186" t="str">
        <f>IF(COUNTIF(RIZE,T_sept_dec[[#This Row],[Secteur organisateur]]),"Rize_"&amp;T_sept_dec[[#This Row],[Enseignant référent (Nom Prénom)]],"")</f>
        <v/>
      </c>
      <c r="S140" s="186">
        <f>1/COUNTIF(T_sept_dec[CléRize],T_sept_dec[[#This Row],[CléRize]])</f>
        <v>4.048582995951417E-3</v>
      </c>
      <c r="T140" s="186" t="str">
        <f>IF(COUNTIF(Total,T_sept_dec[[#This Row],[Secteur organisateur]]),"Total_"&amp;T_sept_dec[[#This Row],[Enseignant référent (Nom Prénom)]],"")</f>
        <v/>
      </c>
      <c r="U140" s="186">
        <f>1/COUNTIF(T_sept_dec[cléTotal],T_sept_dec[[#This Row],[cléTotal]])</f>
        <v>4.1841004184100415E-3</v>
      </c>
    </row>
    <row r="141" spans="1:21">
      <c r="F141" s="155"/>
      <c r="K141" s="21" t="str">
        <f>IF(COUNTIF(Maternelle,E141)=1,listes!$T$1,IF(COUNTIF(Elémentaire,E141)=1,listes!$U$1,IF(COUNTIF(Collège,E141)=1,listes!$V$1,IF(COUNTIF(Lycée,E141)=1,listes!$W$1,""))))</f>
        <v/>
      </c>
      <c r="L141" s="21" t="str">
        <f>IF(COUNTIF(Perralière,D141)=1,listes!$P$1,IF(COUNTIF(Buers,D141)=1,listes!$J$1,IF(COUNTIF(Charpennes,D141)=1,listes!$K$1,IF(COUNTIF(Cusset,D141)=1,listes!$L$1,IF(COUNTIF(Cyprien,D141)=1,listes!$M$1,IF(COUNTIF(Ferrandière,D141)=1,listes!$N$1,IF(COUNTIF(Gratteciel,D141)=1,listes!$O$1,IF(COUNTIF(Saintjean,D141)=1,listes!$Q$1,IF(COUNTIF(horsvilleurbanne,D141)=1,listes!$R$1,"")))))))))</f>
        <v/>
      </c>
      <c r="M141" s="21" t="str">
        <f t="shared" si="2"/>
        <v/>
      </c>
      <c r="N141" s="21" t="str">
        <f>T_sept_dec[[#This Row],[Etablissement accueillant]]&amp;"-"&amp;T_sept_dec[[#This Row],[Enseignant référent (Nom Prénom)]]</f>
        <v>-</v>
      </c>
      <c r="O141" s="21">
        <f>1/COUNTIF(T_sept_dec[CléEtablissement],T_sept_dec[[#This Row],[CléEtablissement]])</f>
        <v>4.1841004184100415E-3</v>
      </c>
      <c r="P14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1" s="186">
        <f>1/COUNTIF(T_sept_dec[CléRéseau-Rize horsmed],T_sept_dec[[#This Row],[CléRéseau-Rize horsmed]])</f>
        <v>4.1841004184100415E-3</v>
      </c>
      <c r="R141" s="186" t="str">
        <f>IF(COUNTIF(RIZE,T_sept_dec[[#This Row],[Secteur organisateur]]),"Rize_"&amp;T_sept_dec[[#This Row],[Enseignant référent (Nom Prénom)]],"")</f>
        <v/>
      </c>
      <c r="S141" s="186">
        <f>1/COUNTIF(T_sept_dec[CléRize],T_sept_dec[[#This Row],[CléRize]])</f>
        <v>4.048582995951417E-3</v>
      </c>
      <c r="T141" s="186" t="str">
        <f>IF(COUNTIF(Total,T_sept_dec[[#This Row],[Secteur organisateur]]),"Total_"&amp;T_sept_dec[[#This Row],[Enseignant référent (Nom Prénom)]],"")</f>
        <v/>
      </c>
      <c r="U141" s="186">
        <f>1/COUNTIF(T_sept_dec[cléTotal],T_sept_dec[[#This Row],[cléTotal]])</f>
        <v>4.1841004184100415E-3</v>
      </c>
    </row>
    <row r="142" spans="1:21">
      <c r="K142" s="21" t="str">
        <f>IF(COUNTIF(Maternelle,E142)=1,listes!$T$1,IF(COUNTIF(Elémentaire,E142)=1,listes!$U$1,IF(COUNTIF(Collège,E142)=1,listes!$V$1,IF(COUNTIF(Lycée,E142)=1,listes!$W$1,""))))</f>
        <v/>
      </c>
      <c r="L142" s="21" t="str">
        <f>IF(COUNTIF(Perralière,D142)=1,listes!$P$1,IF(COUNTIF(Buers,D142)=1,listes!$J$1,IF(COUNTIF(Charpennes,D142)=1,listes!$K$1,IF(COUNTIF(Cusset,D142)=1,listes!$L$1,IF(COUNTIF(Cyprien,D142)=1,listes!$M$1,IF(COUNTIF(Ferrandière,D142)=1,listes!$N$1,IF(COUNTIF(Gratteciel,D142)=1,listes!$O$1,IF(COUNTIF(Saintjean,D142)=1,listes!$Q$1,IF(COUNTIF(horsvilleurbanne,D142)=1,listes!$R$1,"")))))))))</f>
        <v/>
      </c>
      <c r="M142" s="21" t="str">
        <f t="shared" si="2"/>
        <v/>
      </c>
      <c r="N142" s="21" t="str">
        <f>T_sept_dec[[#This Row],[Etablissement accueillant]]&amp;"-"&amp;T_sept_dec[[#This Row],[Enseignant référent (Nom Prénom)]]</f>
        <v>-</v>
      </c>
      <c r="O142" s="21">
        <f>1/COUNTIF(T_sept_dec[CléEtablissement],T_sept_dec[[#This Row],[CléEtablissement]])</f>
        <v>4.1841004184100415E-3</v>
      </c>
      <c r="P14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2" s="186">
        <f>1/COUNTIF(T_sept_dec[CléRéseau-Rize horsmed],T_sept_dec[[#This Row],[CléRéseau-Rize horsmed]])</f>
        <v>4.1841004184100415E-3</v>
      </c>
      <c r="R142" s="186" t="str">
        <f>IF(COUNTIF(RIZE,T_sept_dec[[#This Row],[Secteur organisateur]]),"Rize_"&amp;T_sept_dec[[#This Row],[Enseignant référent (Nom Prénom)]],"")</f>
        <v/>
      </c>
      <c r="S142" s="186">
        <f>1/COUNTIF(T_sept_dec[CléRize],T_sept_dec[[#This Row],[CléRize]])</f>
        <v>4.048582995951417E-3</v>
      </c>
      <c r="T142" s="186" t="str">
        <f>IF(COUNTIF(Total,T_sept_dec[[#This Row],[Secteur organisateur]]),"Total_"&amp;T_sept_dec[[#This Row],[Enseignant référent (Nom Prénom)]],"")</f>
        <v/>
      </c>
      <c r="U142" s="186">
        <f>1/COUNTIF(T_sept_dec[cléTotal],T_sept_dec[[#This Row],[cléTotal]])</f>
        <v>4.1841004184100415E-3</v>
      </c>
    </row>
    <row r="143" spans="1:21">
      <c r="K143" s="21" t="str">
        <f>IF(COUNTIF(Maternelle,E143)=1,listes!$T$1,IF(COUNTIF(Elémentaire,E143)=1,listes!$U$1,IF(COUNTIF(Collège,E143)=1,listes!$V$1,IF(COUNTIF(Lycée,E143)=1,listes!$W$1,""))))</f>
        <v/>
      </c>
      <c r="L143" s="21" t="str">
        <f>IF(COUNTIF(Perralière,D143)=1,listes!$P$1,IF(COUNTIF(Buers,D143)=1,listes!$J$1,IF(COUNTIF(Charpennes,D143)=1,listes!$K$1,IF(COUNTIF(Cusset,D143)=1,listes!$L$1,IF(COUNTIF(Cyprien,D143)=1,listes!$M$1,IF(COUNTIF(Ferrandière,D143)=1,listes!$N$1,IF(COUNTIF(Gratteciel,D143)=1,listes!$O$1,IF(COUNTIF(Saintjean,D143)=1,listes!$Q$1,IF(COUNTIF(horsvilleurbanne,D143)=1,listes!$R$1,"")))))))))</f>
        <v/>
      </c>
      <c r="M143" s="21" t="str">
        <f t="shared" si="2"/>
        <v/>
      </c>
      <c r="N143" s="21" t="str">
        <f>T_sept_dec[[#This Row],[Etablissement accueillant]]&amp;"-"&amp;T_sept_dec[[#This Row],[Enseignant référent (Nom Prénom)]]</f>
        <v>-</v>
      </c>
      <c r="O143" s="21">
        <f>1/COUNTIF(T_sept_dec[CléEtablissement],T_sept_dec[[#This Row],[CléEtablissement]])</f>
        <v>4.1841004184100415E-3</v>
      </c>
      <c r="P14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3" s="186">
        <f>1/COUNTIF(T_sept_dec[CléRéseau-Rize horsmed],T_sept_dec[[#This Row],[CléRéseau-Rize horsmed]])</f>
        <v>4.1841004184100415E-3</v>
      </c>
      <c r="R143" s="186" t="str">
        <f>IF(COUNTIF(RIZE,T_sept_dec[[#This Row],[Secteur organisateur]]),"Rize_"&amp;T_sept_dec[[#This Row],[Enseignant référent (Nom Prénom)]],"")</f>
        <v/>
      </c>
      <c r="S143" s="186">
        <f>1/COUNTIF(T_sept_dec[CléRize],T_sept_dec[[#This Row],[CléRize]])</f>
        <v>4.048582995951417E-3</v>
      </c>
      <c r="T143" s="186" t="str">
        <f>IF(COUNTIF(Total,T_sept_dec[[#This Row],[Secteur organisateur]]),"Total_"&amp;T_sept_dec[[#This Row],[Enseignant référent (Nom Prénom)]],"")</f>
        <v/>
      </c>
      <c r="U143" s="186">
        <f>1/COUNTIF(T_sept_dec[cléTotal],T_sept_dec[[#This Row],[cléTotal]])</f>
        <v>4.1841004184100415E-3</v>
      </c>
    </row>
    <row r="144" spans="1:21">
      <c r="K144" s="21" t="str">
        <f>IF(COUNTIF(Maternelle,E144)=1,listes!$T$1,IF(COUNTIF(Elémentaire,E144)=1,listes!$U$1,IF(COUNTIF(Collège,E144)=1,listes!$V$1,IF(COUNTIF(Lycée,E144)=1,listes!$W$1,""))))</f>
        <v/>
      </c>
      <c r="L144" s="21" t="str">
        <f>IF(COUNTIF(Perralière,D144)=1,listes!$P$1,IF(COUNTIF(Buers,D144)=1,listes!$J$1,IF(COUNTIF(Charpennes,D144)=1,listes!$K$1,IF(COUNTIF(Cusset,D144)=1,listes!$L$1,IF(COUNTIF(Cyprien,D144)=1,listes!$M$1,IF(COUNTIF(Ferrandière,D144)=1,listes!$N$1,IF(COUNTIF(Gratteciel,D144)=1,listes!$O$1,IF(COUNTIF(Saintjean,D144)=1,listes!$Q$1,IF(COUNTIF(horsvilleurbanne,D144)=1,listes!$R$1,"")))))))))</f>
        <v/>
      </c>
      <c r="M144" s="21" t="str">
        <f t="shared" si="2"/>
        <v/>
      </c>
      <c r="N144" s="186" t="str">
        <f>T_sept_dec[[#This Row],[Etablissement accueillant]]&amp;"-"&amp;T_sept_dec[[#This Row],[Enseignant référent (Nom Prénom)]]</f>
        <v>-</v>
      </c>
      <c r="O144" s="21">
        <f>1/COUNTIF(T_sept_dec[CléEtablissement],T_sept_dec[[#This Row],[CléEtablissement]])</f>
        <v>4.1841004184100415E-3</v>
      </c>
      <c r="P14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4" s="186">
        <f>1/COUNTIF(T_sept_dec[CléRéseau-Rize horsmed],T_sept_dec[[#This Row],[CléRéseau-Rize horsmed]])</f>
        <v>4.1841004184100415E-3</v>
      </c>
      <c r="R144" s="186" t="str">
        <f>IF(COUNTIF(RIZE,T_sept_dec[[#This Row],[Secteur organisateur]]),"Rize_"&amp;T_sept_dec[[#This Row],[Enseignant référent (Nom Prénom)]],"")</f>
        <v/>
      </c>
      <c r="S144" s="186">
        <f>1/COUNTIF(T_sept_dec[CléRize],T_sept_dec[[#This Row],[CléRize]])</f>
        <v>4.048582995951417E-3</v>
      </c>
      <c r="T144" s="186" t="str">
        <f>IF(COUNTIF(Total,T_sept_dec[[#This Row],[Secteur organisateur]]),"Total_"&amp;T_sept_dec[[#This Row],[Enseignant référent (Nom Prénom)]],"")</f>
        <v/>
      </c>
      <c r="U144" s="186">
        <f>1/COUNTIF(T_sept_dec[cléTotal],T_sept_dec[[#This Row],[cléTotal]])</f>
        <v>4.1841004184100415E-3</v>
      </c>
    </row>
    <row r="145" spans="11:21">
      <c r="K145" s="21" t="str">
        <f>IF(COUNTIF(Maternelle,E145)=1,listes!$T$1,IF(COUNTIF(Elémentaire,E145)=1,listes!$U$1,IF(COUNTIF(Collège,E145)=1,listes!$V$1,IF(COUNTIF(Lycée,E145)=1,listes!$W$1,""))))</f>
        <v/>
      </c>
      <c r="L145" s="21" t="str">
        <f>IF(COUNTIF(Perralière,D145)=1,listes!$P$1,IF(COUNTIF(Buers,D145)=1,listes!$J$1,IF(COUNTIF(Charpennes,D145)=1,listes!$K$1,IF(COUNTIF(Cusset,D145)=1,listes!$L$1,IF(COUNTIF(Cyprien,D145)=1,listes!$M$1,IF(COUNTIF(Ferrandière,D145)=1,listes!$N$1,IF(COUNTIF(Gratteciel,D145)=1,listes!$O$1,IF(COUNTIF(Saintjean,D145)=1,listes!$Q$1,IF(COUNTIF(horsvilleurbanne,D145)=1,listes!$R$1,"")))))))))</f>
        <v/>
      </c>
      <c r="M145" s="21" t="str">
        <f t="shared" si="2"/>
        <v/>
      </c>
      <c r="N145" s="186" t="str">
        <f>T_sept_dec[[#This Row],[Etablissement accueillant]]&amp;"-"&amp;T_sept_dec[[#This Row],[Enseignant référent (Nom Prénom)]]</f>
        <v>-</v>
      </c>
      <c r="O145" s="21">
        <f>1/COUNTIF(T_sept_dec[CléEtablissement],T_sept_dec[[#This Row],[CléEtablissement]])</f>
        <v>4.1841004184100415E-3</v>
      </c>
      <c r="P14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5" s="186">
        <f>1/COUNTIF(T_sept_dec[CléRéseau-Rize horsmed],T_sept_dec[[#This Row],[CléRéseau-Rize horsmed]])</f>
        <v>4.1841004184100415E-3</v>
      </c>
      <c r="R145" s="186" t="str">
        <f>IF(COUNTIF(RIZE,T_sept_dec[[#This Row],[Secteur organisateur]]),"Rize_"&amp;T_sept_dec[[#This Row],[Enseignant référent (Nom Prénom)]],"")</f>
        <v/>
      </c>
      <c r="S145" s="186">
        <f>1/COUNTIF(T_sept_dec[CléRize],T_sept_dec[[#This Row],[CléRize]])</f>
        <v>4.048582995951417E-3</v>
      </c>
      <c r="T145" s="186" t="str">
        <f>IF(COUNTIF(Total,T_sept_dec[[#This Row],[Secteur organisateur]]),"Total_"&amp;T_sept_dec[[#This Row],[Enseignant référent (Nom Prénom)]],"")</f>
        <v/>
      </c>
      <c r="U145" s="186">
        <f>1/COUNTIF(T_sept_dec[cléTotal],T_sept_dec[[#This Row],[cléTotal]])</f>
        <v>4.1841004184100415E-3</v>
      </c>
    </row>
    <row r="146" spans="11:21">
      <c r="K146" s="21" t="str">
        <f>IF(COUNTIF(Maternelle,E146)=1,listes!$T$1,IF(COUNTIF(Elémentaire,E146)=1,listes!$U$1,IF(COUNTIF(Collège,E146)=1,listes!$V$1,IF(COUNTIF(Lycée,E146)=1,listes!$W$1,""))))</f>
        <v/>
      </c>
      <c r="L146" s="21" t="str">
        <f>IF(COUNTIF(Perralière,D146)=1,listes!$P$1,IF(COUNTIF(Buers,D146)=1,listes!$J$1,IF(COUNTIF(Charpennes,D146)=1,listes!$K$1,IF(COUNTIF(Cusset,D146)=1,listes!$L$1,IF(COUNTIF(Cyprien,D146)=1,listes!$M$1,IF(COUNTIF(Ferrandière,D146)=1,listes!$N$1,IF(COUNTIF(Gratteciel,D146)=1,listes!$O$1,IF(COUNTIF(Saintjean,D146)=1,listes!$Q$1,IF(COUNTIF(horsvilleurbanne,D146)=1,listes!$R$1,"")))))))))</f>
        <v/>
      </c>
      <c r="M146" s="21" t="str">
        <f t="shared" si="2"/>
        <v/>
      </c>
      <c r="N146" s="186" t="str">
        <f>T_sept_dec[[#This Row],[Etablissement accueillant]]&amp;"-"&amp;T_sept_dec[[#This Row],[Enseignant référent (Nom Prénom)]]</f>
        <v>-</v>
      </c>
      <c r="O146" s="21">
        <f>1/COUNTIF(T_sept_dec[CléEtablissement],T_sept_dec[[#This Row],[CléEtablissement]])</f>
        <v>4.1841004184100415E-3</v>
      </c>
      <c r="P14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6" s="186">
        <f>1/COUNTIF(T_sept_dec[CléRéseau-Rize horsmed],T_sept_dec[[#This Row],[CléRéseau-Rize horsmed]])</f>
        <v>4.1841004184100415E-3</v>
      </c>
      <c r="R146" s="186" t="str">
        <f>IF(COUNTIF(RIZE,T_sept_dec[[#This Row],[Secteur organisateur]]),"Rize_"&amp;T_sept_dec[[#This Row],[Enseignant référent (Nom Prénom)]],"")</f>
        <v/>
      </c>
      <c r="S146" s="186">
        <f>1/COUNTIF(T_sept_dec[CléRize],T_sept_dec[[#This Row],[CléRize]])</f>
        <v>4.048582995951417E-3</v>
      </c>
      <c r="T146" s="186" t="str">
        <f>IF(COUNTIF(Total,T_sept_dec[[#This Row],[Secteur organisateur]]),"Total_"&amp;T_sept_dec[[#This Row],[Enseignant référent (Nom Prénom)]],"")</f>
        <v/>
      </c>
      <c r="U146" s="186">
        <f>1/COUNTIF(T_sept_dec[cléTotal],T_sept_dec[[#This Row],[cléTotal]])</f>
        <v>4.1841004184100415E-3</v>
      </c>
    </row>
    <row r="147" spans="11:21">
      <c r="K147" s="21" t="str">
        <f>IF(COUNTIF(Maternelle,E147)=1,listes!$T$1,IF(COUNTIF(Elémentaire,E147)=1,listes!$U$1,IF(COUNTIF(Collège,E147)=1,listes!$V$1,IF(COUNTIF(Lycée,E147)=1,listes!$W$1,""))))</f>
        <v/>
      </c>
      <c r="L147" s="21" t="str">
        <f>IF(COUNTIF(Perralière,D147)=1,listes!$P$1,IF(COUNTIF(Buers,D147)=1,listes!$J$1,IF(COUNTIF(Charpennes,D147)=1,listes!$K$1,IF(COUNTIF(Cusset,D147)=1,listes!$L$1,IF(COUNTIF(Cyprien,D147)=1,listes!$M$1,IF(COUNTIF(Ferrandière,D147)=1,listes!$N$1,IF(COUNTIF(Gratteciel,D147)=1,listes!$O$1,IF(COUNTIF(Saintjean,D147)=1,listes!$Q$1,IF(COUNTIF(horsvilleurbanne,D147)=1,listes!$R$1,"")))))))))</f>
        <v/>
      </c>
      <c r="M147" s="21" t="str">
        <f t="shared" si="2"/>
        <v/>
      </c>
      <c r="N147" s="186" t="str">
        <f>T_sept_dec[[#This Row],[Etablissement accueillant]]&amp;"-"&amp;T_sept_dec[[#This Row],[Enseignant référent (Nom Prénom)]]</f>
        <v>-</v>
      </c>
      <c r="O147" s="21">
        <f>1/COUNTIF(T_sept_dec[CléEtablissement],T_sept_dec[[#This Row],[CléEtablissement]])</f>
        <v>4.1841004184100415E-3</v>
      </c>
      <c r="P14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7" s="186">
        <f>1/COUNTIF(T_sept_dec[CléRéseau-Rize horsmed],T_sept_dec[[#This Row],[CléRéseau-Rize horsmed]])</f>
        <v>4.1841004184100415E-3</v>
      </c>
      <c r="R147" s="186" t="str">
        <f>IF(COUNTIF(RIZE,T_sept_dec[[#This Row],[Secteur organisateur]]),"Rize_"&amp;T_sept_dec[[#This Row],[Enseignant référent (Nom Prénom)]],"")</f>
        <v/>
      </c>
      <c r="S147" s="186">
        <f>1/COUNTIF(T_sept_dec[CléRize],T_sept_dec[[#This Row],[CléRize]])</f>
        <v>4.048582995951417E-3</v>
      </c>
      <c r="T147" s="186" t="str">
        <f>IF(COUNTIF(Total,T_sept_dec[[#This Row],[Secteur organisateur]]),"Total_"&amp;T_sept_dec[[#This Row],[Enseignant référent (Nom Prénom)]],"")</f>
        <v/>
      </c>
      <c r="U147" s="186">
        <f>1/COUNTIF(T_sept_dec[cléTotal],T_sept_dec[[#This Row],[cléTotal]])</f>
        <v>4.1841004184100415E-3</v>
      </c>
    </row>
    <row r="148" spans="11:21">
      <c r="K148" s="21" t="str">
        <f>IF(COUNTIF(Maternelle,E148)=1,listes!$T$1,IF(COUNTIF(Elémentaire,E148)=1,listes!$U$1,IF(COUNTIF(Collège,E148)=1,listes!$V$1,IF(COUNTIF(Lycée,E148)=1,listes!$W$1,""))))</f>
        <v/>
      </c>
      <c r="L148" s="21" t="str">
        <f>IF(COUNTIF(Perralière,D148)=1,listes!$P$1,IF(COUNTIF(Buers,D148)=1,listes!$J$1,IF(COUNTIF(Charpennes,D148)=1,listes!$K$1,IF(COUNTIF(Cusset,D148)=1,listes!$L$1,IF(COUNTIF(Cyprien,D148)=1,listes!$M$1,IF(COUNTIF(Ferrandière,D148)=1,listes!$N$1,IF(COUNTIF(Gratteciel,D148)=1,listes!$O$1,IF(COUNTIF(Saintjean,D148)=1,listes!$Q$1,IF(COUNTIF(horsvilleurbanne,D148)=1,listes!$R$1,"")))))))))</f>
        <v/>
      </c>
      <c r="M148" s="21" t="str">
        <f t="shared" si="2"/>
        <v/>
      </c>
      <c r="N148" s="186" t="str">
        <f>T_sept_dec[[#This Row],[Etablissement accueillant]]&amp;"-"&amp;T_sept_dec[[#This Row],[Enseignant référent (Nom Prénom)]]</f>
        <v>-</v>
      </c>
      <c r="O148" s="21">
        <f>1/COUNTIF(T_sept_dec[CléEtablissement],T_sept_dec[[#This Row],[CléEtablissement]])</f>
        <v>4.1841004184100415E-3</v>
      </c>
      <c r="P14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8" s="186">
        <f>1/COUNTIF(T_sept_dec[CléRéseau-Rize horsmed],T_sept_dec[[#This Row],[CléRéseau-Rize horsmed]])</f>
        <v>4.1841004184100415E-3</v>
      </c>
      <c r="R148" s="186" t="str">
        <f>IF(COUNTIF(RIZE,T_sept_dec[[#This Row],[Secteur organisateur]]),"Rize_"&amp;T_sept_dec[[#This Row],[Enseignant référent (Nom Prénom)]],"")</f>
        <v/>
      </c>
      <c r="S148" s="186">
        <f>1/COUNTIF(T_sept_dec[CléRize],T_sept_dec[[#This Row],[CléRize]])</f>
        <v>4.048582995951417E-3</v>
      </c>
      <c r="T148" s="186" t="str">
        <f>IF(COUNTIF(Total,T_sept_dec[[#This Row],[Secteur organisateur]]),"Total_"&amp;T_sept_dec[[#This Row],[Enseignant référent (Nom Prénom)]],"")</f>
        <v/>
      </c>
      <c r="U148" s="186">
        <f>1/COUNTIF(T_sept_dec[cléTotal],T_sept_dec[[#This Row],[cléTotal]])</f>
        <v>4.1841004184100415E-3</v>
      </c>
    </row>
    <row r="149" spans="11:21">
      <c r="K149" s="21" t="str">
        <f>IF(COUNTIF(Maternelle,E149)=1,listes!$T$1,IF(COUNTIF(Elémentaire,E149)=1,listes!$U$1,IF(COUNTIF(Collège,E149)=1,listes!$V$1,IF(COUNTIF(Lycée,E149)=1,listes!$W$1,""))))</f>
        <v/>
      </c>
      <c r="L149" s="21" t="str">
        <f>IF(COUNTIF(Perralière,D149)=1,listes!$P$1,IF(COUNTIF(Buers,D149)=1,listes!$J$1,IF(COUNTIF(Charpennes,D149)=1,listes!$K$1,IF(COUNTIF(Cusset,D149)=1,listes!$L$1,IF(COUNTIF(Cyprien,D149)=1,listes!$M$1,IF(COUNTIF(Ferrandière,D149)=1,listes!$N$1,IF(COUNTIF(Gratteciel,D149)=1,listes!$O$1,IF(COUNTIF(Saintjean,D149)=1,listes!$Q$1,IF(COUNTIF(horsvilleurbanne,D149)=1,listes!$R$1,"")))))))))</f>
        <v/>
      </c>
      <c r="M149" s="21" t="str">
        <f t="shared" si="2"/>
        <v/>
      </c>
      <c r="N149" s="186" t="str">
        <f>T_sept_dec[[#This Row],[Etablissement accueillant]]&amp;"-"&amp;T_sept_dec[[#This Row],[Enseignant référent (Nom Prénom)]]</f>
        <v>-</v>
      </c>
      <c r="O149" s="21">
        <f>1/COUNTIF(T_sept_dec[CléEtablissement],T_sept_dec[[#This Row],[CléEtablissement]])</f>
        <v>4.1841004184100415E-3</v>
      </c>
      <c r="P14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49" s="186">
        <f>1/COUNTIF(T_sept_dec[CléRéseau-Rize horsmed],T_sept_dec[[#This Row],[CléRéseau-Rize horsmed]])</f>
        <v>4.1841004184100415E-3</v>
      </c>
      <c r="R149" s="186" t="str">
        <f>IF(COUNTIF(RIZE,T_sept_dec[[#This Row],[Secteur organisateur]]),"Rize_"&amp;T_sept_dec[[#This Row],[Enseignant référent (Nom Prénom)]],"")</f>
        <v/>
      </c>
      <c r="S149" s="186">
        <f>1/COUNTIF(T_sept_dec[CléRize],T_sept_dec[[#This Row],[CléRize]])</f>
        <v>4.048582995951417E-3</v>
      </c>
      <c r="T149" s="186" t="str">
        <f>IF(COUNTIF(Total,T_sept_dec[[#This Row],[Secteur organisateur]]),"Total_"&amp;T_sept_dec[[#This Row],[Enseignant référent (Nom Prénom)]],"")</f>
        <v/>
      </c>
      <c r="U149" s="186">
        <f>1/COUNTIF(T_sept_dec[cléTotal],T_sept_dec[[#This Row],[cléTotal]])</f>
        <v>4.1841004184100415E-3</v>
      </c>
    </row>
    <row r="150" spans="11:21">
      <c r="K150" s="21" t="str">
        <f>IF(COUNTIF(Maternelle,E150)=1,listes!$T$1,IF(COUNTIF(Elémentaire,E150)=1,listes!$U$1,IF(COUNTIF(Collège,E150)=1,listes!$V$1,IF(COUNTIF(Lycée,E150)=1,listes!$W$1,""))))</f>
        <v/>
      </c>
      <c r="L150" s="21" t="str">
        <f>IF(COUNTIF(Perralière,D150)=1,listes!$P$1,IF(COUNTIF(Buers,D150)=1,listes!$J$1,IF(COUNTIF(Charpennes,D150)=1,listes!$K$1,IF(COUNTIF(Cusset,D150)=1,listes!$L$1,IF(COUNTIF(Cyprien,D150)=1,listes!$M$1,IF(COUNTIF(Ferrandière,D150)=1,listes!$N$1,IF(COUNTIF(Gratteciel,D150)=1,listes!$O$1,IF(COUNTIF(Saintjean,D150)=1,listes!$Q$1,IF(COUNTIF(horsvilleurbanne,D150)=1,listes!$R$1,"")))))))))</f>
        <v/>
      </c>
      <c r="M150" s="21" t="str">
        <f t="shared" si="2"/>
        <v/>
      </c>
      <c r="N150" s="186" t="str">
        <f>T_sept_dec[[#This Row],[Etablissement accueillant]]&amp;"-"&amp;T_sept_dec[[#This Row],[Enseignant référent (Nom Prénom)]]</f>
        <v>-</v>
      </c>
      <c r="O150" s="21">
        <f>1/COUNTIF(T_sept_dec[CléEtablissement],T_sept_dec[[#This Row],[CléEtablissement]])</f>
        <v>4.1841004184100415E-3</v>
      </c>
      <c r="P15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0" s="186">
        <f>1/COUNTIF(T_sept_dec[CléRéseau-Rize horsmed],T_sept_dec[[#This Row],[CléRéseau-Rize horsmed]])</f>
        <v>4.1841004184100415E-3</v>
      </c>
      <c r="R150" s="186" t="str">
        <f>IF(COUNTIF(RIZE,T_sept_dec[[#This Row],[Secteur organisateur]]),"Rize_"&amp;T_sept_dec[[#This Row],[Enseignant référent (Nom Prénom)]],"")</f>
        <v/>
      </c>
      <c r="S150" s="186">
        <f>1/COUNTIF(T_sept_dec[CléRize],T_sept_dec[[#This Row],[CléRize]])</f>
        <v>4.048582995951417E-3</v>
      </c>
      <c r="T150" s="186" t="str">
        <f>IF(COUNTIF(Total,T_sept_dec[[#This Row],[Secteur organisateur]]),"Total_"&amp;T_sept_dec[[#This Row],[Enseignant référent (Nom Prénom)]],"")</f>
        <v/>
      </c>
      <c r="U150" s="186">
        <f>1/COUNTIF(T_sept_dec[cléTotal],T_sept_dec[[#This Row],[cléTotal]])</f>
        <v>4.1841004184100415E-3</v>
      </c>
    </row>
    <row r="151" spans="11:21">
      <c r="K151" s="21" t="str">
        <f>IF(COUNTIF(Maternelle,E151)=1,listes!$T$1,IF(COUNTIF(Elémentaire,E151)=1,listes!$U$1,IF(COUNTIF(Collège,E151)=1,listes!$V$1,IF(COUNTIF(Lycée,E151)=1,listes!$W$1,""))))</f>
        <v/>
      </c>
      <c r="L151" s="21" t="str">
        <f>IF(COUNTIF(Perralière,D151)=1,listes!$P$1,IF(COUNTIF(Buers,D151)=1,listes!$J$1,IF(COUNTIF(Charpennes,D151)=1,listes!$K$1,IF(COUNTIF(Cusset,D151)=1,listes!$L$1,IF(COUNTIF(Cyprien,D151)=1,listes!$M$1,IF(COUNTIF(Ferrandière,D151)=1,listes!$N$1,IF(COUNTIF(Gratteciel,D151)=1,listes!$O$1,IF(COUNTIF(Saintjean,D151)=1,listes!$Q$1,IF(COUNTIF(horsvilleurbanne,D151)=1,listes!$R$1,"")))))))))</f>
        <v/>
      </c>
      <c r="M151" s="21" t="str">
        <f t="shared" si="2"/>
        <v/>
      </c>
      <c r="N151" s="186" t="str">
        <f>T_sept_dec[[#This Row],[Etablissement accueillant]]&amp;"-"&amp;T_sept_dec[[#This Row],[Enseignant référent (Nom Prénom)]]</f>
        <v>-</v>
      </c>
      <c r="O151" s="21">
        <f>1/COUNTIF(T_sept_dec[CléEtablissement],T_sept_dec[[#This Row],[CléEtablissement]])</f>
        <v>4.1841004184100415E-3</v>
      </c>
      <c r="P15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1" s="186">
        <f>1/COUNTIF(T_sept_dec[CléRéseau-Rize horsmed],T_sept_dec[[#This Row],[CléRéseau-Rize horsmed]])</f>
        <v>4.1841004184100415E-3</v>
      </c>
      <c r="R151" s="186" t="str">
        <f>IF(COUNTIF(RIZE,T_sept_dec[[#This Row],[Secteur organisateur]]),"Rize_"&amp;T_sept_dec[[#This Row],[Enseignant référent (Nom Prénom)]],"")</f>
        <v/>
      </c>
      <c r="S151" s="186">
        <f>1/COUNTIF(T_sept_dec[CléRize],T_sept_dec[[#This Row],[CléRize]])</f>
        <v>4.048582995951417E-3</v>
      </c>
      <c r="T151" s="186" t="str">
        <f>IF(COUNTIF(Total,T_sept_dec[[#This Row],[Secteur organisateur]]),"Total_"&amp;T_sept_dec[[#This Row],[Enseignant référent (Nom Prénom)]],"")</f>
        <v/>
      </c>
      <c r="U151" s="186">
        <f>1/COUNTIF(T_sept_dec[cléTotal],T_sept_dec[[#This Row],[cléTotal]])</f>
        <v>4.1841004184100415E-3</v>
      </c>
    </row>
    <row r="152" spans="11:21">
      <c r="K152" s="21" t="str">
        <f>IF(COUNTIF(Maternelle,E152)=1,listes!$T$1,IF(COUNTIF(Elémentaire,E152)=1,listes!$U$1,IF(COUNTIF(Collège,E152)=1,listes!$V$1,IF(COUNTIF(Lycée,E152)=1,listes!$W$1,""))))</f>
        <v/>
      </c>
      <c r="L152" s="21" t="str">
        <f>IF(COUNTIF(Perralière,D152)=1,listes!$P$1,IF(COUNTIF(Buers,D152)=1,listes!$J$1,IF(COUNTIF(Charpennes,D152)=1,listes!$K$1,IF(COUNTIF(Cusset,D152)=1,listes!$L$1,IF(COUNTIF(Cyprien,D152)=1,listes!$M$1,IF(COUNTIF(Ferrandière,D152)=1,listes!$N$1,IF(COUNTIF(Gratteciel,D152)=1,listes!$O$1,IF(COUNTIF(Saintjean,D152)=1,listes!$Q$1,IF(COUNTIF(horsvilleurbanne,D152)=1,listes!$R$1,"")))))))))</f>
        <v/>
      </c>
      <c r="M152" s="21" t="str">
        <f t="shared" si="2"/>
        <v/>
      </c>
      <c r="N152" s="186" t="str">
        <f>T_sept_dec[[#This Row],[Etablissement accueillant]]&amp;"-"&amp;T_sept_dec[[#This Row],[Enseignant référent (Nom Prénom)]]</f>
        <v>-</v>
      </c>
      <c r="O152" s="21">
        <f>1/COUNTIF(T_sept_dec[CléEtablissement],T_sept_dec[[#This Row],[CléEtablissement]])</f>
        <v>4.1841004184100415E-3</v>
      </c>
      <c r="P15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2" s="186">
        <f>1/COUNTIF(T_sept_dec[CléRéseau-Rize horsmed],T_sept_dec[[#This Row],[CléRéseau-Rize horsmed]])</f>
        <v>4.1841004184100415E-3</v>
      </c>
      <c r="R152" s="186" t="str">
        <f>IF(COUNTIF(RIZE,T_sept_dec[[#This Row],[Secteur organisateur]]),"Rize_"&amp;T_sept_dec[[#This Row],[Enseignant référent (Nom Prénom)]],"")</f>
        <v/>
      </c>
      <c r="S152" s="186">
        <f>1/COUNTIF(T_sept_dec[CléRize],T_sept_dec[[#This Row],[CléRize]])</f>
        <v>4.048582995951417E-3</v>
      </c>
      <c r="T152" s="186" t="str">
        <f>IF(COUNTIF(Total,T_sept_dec[[#This Row],[Secteur organisateur]]),"Total_"&amp;T_sept_dec[[#This Row],[Enseignant référent (Nom Prénom)]],"")</f>
        <v/>
      </c>
      <c r="U152" s="186">
        <f>1/COUNTIF(T_sept_dec[cléTotal],T_sept_dec[[#This Row],[cléTotal]])</f>
        <v>4.1841004184100415E-3</v>
      </c>
    </row>
    <row r="153" spans="11:21">
      <c r="K153" s="21" t="str">
        <f>IF(COUNTIF(Maternelle,E153)=1,listes!$T$1,IF(COUNTIF(Elémentaire,E153)=1,listes!$U$1,IF(COUNTIF(Collège,E153)=1,listes!$V$1,IF(COUNTIF(Lycée,E153)=1,listes!$W$1,""))))</f>
        <v/>
      </c>
      <c r="L153" s="21" t="str">
        <f>IF(COUNTIF(Perralière,D153)=1,listes!$P$1,IF(COUNTIF(Buers,D153)=1,listes!$J$1,IF(COUNTIF(Charpennes,D153)=1,listes!$K$1,IF(COUNTIF(Cusset,D153)=1,listes!$L$1,IF(COUNTIF(Cyprien,D153)=1,listes!$M$1,IF(COUNTIF(Ferrandière,D153)=1,listes!$N$1,IF(COUNTIF(Gratteciel,D153)=1,listes!$O$1,IF(COUNTIF(Saintjean,D153)=1,listes!$Q$1,IF(COUNTIF(horsvilleurbanne,D153)=1,listes!$R$1,"")))))))))</f>
        <v/>
      </c>
      <c r="M153" s="21" t="str">
        <f t="shared" si="2"/>
        <v/>
      </c>
      <c r="N153" s="186" t="str">
        <f>T_sept_dec[[#This Row],[Etablissement accueillant]]&amp;"-"&amp;T_sept_dec[[#This Row],[Enseignant référent (Nom Prénom)]]</f>
        <v>-</v>
      </c>
      <c r="O153" s="21">
        <f>1/COUNTIF(T_sept_dec[CléEtablissement],T_sept_dec[[#This Row],[CléEtablissement]])</f>
        <v>4.1841004184100415E-3</v>
      </c>
      <c r="P15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3" s="186">
        <f>1/COUNTIF(T_sept_dec[CléRéseau-Rize horsmed],T_sept_dec[[#This Row],[CléRéseau-Rize horsmed]])</f>
        <v>4.1841004184100415E-3</v>
      </c>
      <c r="R153" s="186" t="str">
        <f>IF(COUNTIF(RIZE,T_sept_dec[[#This Row],[Secteur organisateur]]),"Rize_"&amp;T_sept_dec[[#This Row],[Enseignant référent (Nom Prénom)]],"")</f>
        <v/>
      </c>
      <c r="S153" s="186">
        <f>1/COUNTIF(T_sept_dec[CléRize],T_sept_dec[[#This Row],[CléRize]])</f>
        <v>4.048582995951417E-3</v>
      </c>
      <c r="T153" s="186" t="str">
        <f>IF(COUNTIF(Total,T_sept_dec[[#This Row],[Secteur organisateur]]),"Total_"&amp;T_sept_dec[[#This Row],[Enseignant référent (Nom Prénom)]],"")</f>
        <v/>
      </c>
      <c r="U153" s="186">
        <f>1/COUNTIF(T_sept_dec[cléTotal],T_sept_dec[[#This Row],[cléTotal]])</f>
        <v>4.1841004184100415E-3</v>
      </c>
    </row>
    <row r="154" spans="11:21">
      <c r="K154" s="21" t="str">
        <f>IF(COUNTIF(Maternelle,E154)=1,listes!$T$1,IF(COUNTIF(Elémentaire,E154)=1,listes!$U$1,IF(COUNTIF(Collège,E154)=1,listes!$V$1,IF(COUNTIF(Lycée,E154)=1,listes!$W$1,""))))</f>
        <v/>
      </c>
      <c r="L154" s="21" t="str">
        <f>IF(COUNTIF(Perralière,D154)=1,listes!$P$1,IF(COUNTIF(Buers,D154)=1,listes!$J$1,IF(COUNTIF(Charpennes,D154)=1,listes!$K$1,IF(COUNTIF(Cusset,D154)=1,listes!$L$1,IF(COUNTIF(Cyprien,D154)=1,listes!$M$1,IF(COUNTIF(Ferrandière,D154)=1,listes!$N$1,IF(COUNTIF(Gratteciel,D154)=1,listes!$O$1,IF(COUNTIF(Saintjean,D154)=1,listes!$Q$1,IF(COUNTIF(horsvilleurbanne,D154)=1,listes!$R$1,"")))))))))</f>
        <v/>
      </c>
      <c r="M154" s="21" t="str">
        <f t="shared" si="2"/>
        <v/>
      </c>
      <c r="N154" s="186" t="str">
        <f>T_sept_dec[[#This Row],[Etablissement accueillant]]&amp;"-"&amp;T_sept_dec[[#This Row],[Enseignant référent (Nom Prénom)]]</f>
        <v>-</v>
      </c>
      <c r="O154" s="21">
        <f>1/COUNTIF(T_sept_dec[CléEtablissement],T_sept_dec[[#This Row],[CléEtablissement]])</f>
        <v>4.1841004184100415E-3</v>
      </c>
      <c r="P15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4" s="186">
        <f>1/COUNTIF(T_sept_dec[CléRéseau-Rize horsmed],T_sept_dec[[#This Row],[CléRéseau-Rize horsmed]])</f>
        <v>4.1841004184100415E-3</v>
      </c>
      <c r="R154" s="186" t="str">
        <f>IF(COUNTIF(RIZE,T_sept_dec[[#This Row],[Secteur organisateur]]),"Rize_"&amp;T_sept_dec[[#This Row],[Enseignant référent (Nom Prénom)]],"")</f>
        <v/>
      </c>
      <c r="S154" s="186">
        <f>1/COUNTIF(T_sept_dec[CléRize],T_sept_dec[[#This Row],[CléRize]])</f>
        <v>4.048582995951417E-3</v>
      </c>
      <c r="T154" s="186" t="str">
        <f>IF(COUNTIF(Total,T_sept_dec[[#This Row],[Secteur organisateur]]),"Total_"&amp;T_sept_dec[[#This Row],[Enseignant référent (Nom Prénom)]],"")</f>
        <v/>
      </c>
      <c r="U154" s="186">
        <f>1/COUNTIF(T_sept_dec[cléTotal],T_sept_dec[[#This Row],[cléTotal]])</f>
        <v>4.1841004184100415E-3</v>
      </c>
    </row>
    <row r="155" spans="11:21">
      <c r="K155" s="21" t="str">
        <f>IF(COUNTIF(Maternelle,E155)=1,listes!$T$1,IF(COUNTIF(Elémentaire,E155)=1,listes!$U$1,IF(COUNTIF(Collège,E155)=1,listes!$V$1,IF(COUNTIF(Lycée,E155)=1,listes!$W$1,""))))</f>
        <v/>
      </c>
      <c r="L155" s="21" t="str">
        <f>IF(COUNTIF(Perralière,D155)=1,listes!$P$1,IF(COUNTIF(Buers,D155)=1,listes!$J$1,IF(COUNTIF(Charpennes,D155)=1,listes!$K$1,IF(COUNTIF(Cusset,D155)=1,listes!$L$1,IF(COUNTIF(Cyprien,D155)=1,listes!$M$1,IF(COUNTIF(Ferrandière,D155)=1,listes!$N$1,IF(COUNTIF(Gratteciel,D155)=1,listes!$O$1,IF(COUNTIF(Saintjean,D155)=1,listes!$Q$1,IF(COUNTIF(horsvilleurbanne,D155)=1,listes!$R$1,"")))))))))</f>
        <v/>
      </c>
      <c r="M155" s="21" t="str">
        <f t="shared" si="2"/>
        <v/>
      </c>
      <c r="N155" s="186" t="str">
        <f>T_sept_dec[[#This Row],[Etablissement accueillant]]&amp;"-"&amp;T_sept_dec[[#This Row],[Enseignant référent (Nom Prénom)]]</f>
        <v>-</v>
      </c>
      <c r="O155" s="21">
        <f>1/COUNTIF(T_sept_dec[CléEtablissement],T_sept_dec[[#This Row],[CléEtablissement]])</f>
        <v>4.1841004184100415E-3</v>
      </c>
      <c r="P15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5" s="186">
        <f>1/COUNTIF(T_sept_dec[CléRéseau-Rize horsmed],T_sept_dec[[#This Row],[CléRéseau-Rize horsmed]])</f>
        <v>4.1841004184100415E-3</v>
      </c>
      <c r="R155" s="186" t="str">
        <f>IF(COUNTIF(RIZE,T_sept_dec[[#This Row],[Secteur organisateur]]),"Rize_"&amp;T_sept_dec[[#This Row],[Enseignant référent (Nom Prénom)]],"")</f>
        <v/>
      </c>
      <c r="S155" s="186">
        <f>1/COUNTIF(T_sept_dec[CléRize],T_sept_dec[[#This Row],[CléRize]])</f>
        <v>4.048582995951417E-3</v>
      </c>
      <c r="T155" s="186" t="str">
        <f>IF(COUNTIF(Total,T_sept_dec[[#This Row],[Secteur organisateur]]),"Total_"&amp;T_sept_dec[[#This Row],[Enseignant référent (Nom Prénom)]],"")</f>
        <v/>
      </c>
      <c r="U155" s="186">
        <f>1/COUNTIF(T_sept_dec[cléTotal],T_sept_dec[[#This Row],[cléTotal]])</f>
        <v>4.1841004184100415E-3</v>
      </c>
    </row>
    <row r="156" spans="11:21">
      <c r="K156" s="21" t="str">
        <f>IF(COUNTIF(Maternelle,E156)=1,listes!$T$1,IF(COUNTIF(Elémentaire,E156)=1,listes!$U$1,IF(COUNTIF(Collège,E156)=1,listes!$V$1,IF(COUNTIF(Lycée,E156)=1,listes!$W$1,""))))</f>
        <v/>
      </c>
      <c r="L156" s="21" t="str">
        <f>IF(COUNTIF(Perralière,D156)=1,listes!$P$1,IF(COUNTIF(Buers,D156)=1,listes!$J$1,IF(COUNTIF(Charpennes,D156)=1,listes!$K$1,IF(COUNTIF(Cusset,D156)=1,listes!$L$1,IF(COUNTIF(Cyprien,D156)=1,listes!$M$1,IF(COUNTIF(Ferrandière,D156)=1,listes!$N$1,IF(COUNTIF(Gratteciel,D156)=1,listes!$O$1,IF(COUNTIF(Saintjean,D156)=1,listes!$Q$1,IF(COUNTIF(horsvilleurbanne,D156)=1,listes!$R$1,"")))))))))</f>
        <v/>
      </c>
      <c r="M156" s="21" t="str">
        <f t="shared" si="2"/>
        <v/>
      </c>
      <c r="N156" s="186" t="str">
        <f>T_sept_dec[[#This Row],[Etablissement accueillant]]&amp;"-"&amp;T_sept_dec[[#This Row],[Enseignant référent (Nom Prénom)]]</f>
        <v>-</v>
      </c>
      <c r="O156" s="21">
        <f>1/COUNTIF(T_sept_dec[CléEtablissement],T_sept_dec[[#This Row],[CléEtablissement]])</f>
        <v>4.1841004184100415E-3</v>
      </c>
      <c r="P15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6" s="186">
        <f>1/COUNTIF(T_sept_dec[CléRéseau-Rize horsmed],T_sept_dec[[#This Row],[CléRéseau-Rize horsmed]])</f>
        <v>4.1841004184100415E-3</v>
      </c>
      <c r="R156" s="186" t="str">
        <f>IF(COUNTIF(RIZE,T_sept_dec[[#This Row],[Secteur organisateur]]),"Rize_"&amp;T_sept_dec[[#This Row],[Enseignant référent (Nom Prénom)]],"")</f>
        <v/>
      </c>
      <c r="S156" s="186">
        <f>1/COUNTIF(T_sept_dec[CléRize],T_sept_dec[[#This Row],[CléRize]])</f>
        <v>4.048582995951417E-3</v>
      </c>
      <c r="T156" s="186" t="str">
        <f>IF(COUNTIF(Total,T_sept_dec[[#This Row],[Secteur organisateur]]),"Total_"&amp;T_sept_dec[[#This Row],[Enseignant référent (Nom Prénom)]],"")</f>
        <v/>
      </c>
      <c r="U156" s="186">
        <f>1/COUNTIF(T_sept_dec[cléTotal],T_sept_dec[[#This Row],[cléTotal]])</f>
        <v>4.1841004184100415E-3</v>
      </c>
    </row>
    <row r="157" spans="11:21">
      <c r="K157" s="21" t="str">
        <f>IF(COUNTIF(Maternelle,E157)=1,listes!$T$1,IF(COUNTIF(Elémentaire,E157)=1,listes!$U$1,IF(COUNTIF(Collège,E157)=1,listes!$V$1,IF(COUNTIF(Lycée,E157)=1,listes!$W$1,""))))</f>
        <v/>
      </c>
      <c r="L157" s="21" t="str">
        <f>IF(COUNTIF(Perralière,D157)=1,listes!$P$1,IF(COUNTIF(Buers,D157)=1,listes!$J$1,IF(COUNTIF(Charpennes,D157)=1,listes!$K$1,IF(COUNTIF(Cusset,D157)=1,listes!$L$1,IF(COUNTIF(Cyprien,D157)=1,listes!$M$1,IF(COUNTIF(Ferrandière,D157)=1,listes!$N$1,IF(COUNTIF(Gratteciel,D157)=1,listes!$O$1,IF(COUNTIF(Saintjean,D157)=1,listes!$Q$1,IF(COUNTIF(horsvilleurbanne,D157)=1,listes!$R$1,"")))))))))</f>
        <v/>
      </c>
      <c r="M157" s="21" t="str">
        <f t="shared" si="2"/>
        <v/>
      </c>
      <c r="N157" s="186" t="str">
        <f>T_sept_dec[[#This Row],[Etablissement accueillant]]&amp;"-"&amp;T_sept_dec[[#This Row],[Enseignant référent (Nom Prénom)]]</f>
        <v>-</v>
      </c>
      <c r="O157" s="21">
        <f>1/COUNTIF(T_sept_dec[CléEtablissement],T_sept_dec[[#This Row],[CléEtablissement]])</f>
        <v>4.1841004184100415E-3</v>
      </c>
      <c r="P15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7" s="186">
        <f>1/COUNTIF(T_sept_dec[CléRéseau-Rize horsmed],T_sept_dec[[#This Row],[CléRéseau-Rize horsmed]])</f>
        <v>4.1841004184100415E-3</v>
      </c>
      <c r="R157" s="186" t="str">
        <f>IF(COUNTIF(RIZE,T_sept_dec[[#This Row],[Secteur organisateur]]),"Rize_"&amp;T_sept_dec[[#This Row],[Enseignant référent (Nom Prénom)]],"")</f>
        <v/>
      </c>
      <c r="S157" s="186">
        <f>1/COUNTIF(T_sept_dec[CléRize],T_sept_dec[[#This Row],[CléRize]])</f>
        <v>4.048582995951417E-3</v>
      </c>
      <c r="T157" s="186" t="str">
        <f>IF(COUNTIF(Total,T_sept_dec[[#This Row],[Secteur organisateur]]),"Total_"&amp;T_sept_dec[[#This Row],[Enseignant référent (Nom Prénom)]],"")</f>
        <v/>
      </c>
      <c r="U157" s="186">
        <f>1/COUNTIF(T_sept_dec[cléTotal],T_sept_dec[[#This Row],[cléTotal]])</f>
        <v>4.1841004184100415E-3</v>
      </c>
    </row>
    <row r="158" spans="11:21">
      <c r="K158" s="21" t="str">
        <f>IF(COUNTIF(Maternelle,E158)=1,listes!$T$1,IF(COUNTIF(Elémentaire,E158)=1,listes!$U$1,IF(COUNTIF(Collège,E158)=1,listes!$V$1,IF(COUNTIF(Lycée,E158)=1,listes!$W$1,""))))</f>
        <v/>
      </c>
      <c r="L158" s="21" t="str">
        <f>IF(COUNTIF(Perralière,D158)=1,listes!$P$1,IF(COUNTIF(Buers,D158)=1,listes!$J$1,IF(COUNTIF(Charpennes,D158)=1,listes!$K$1,IF(COUNTIF(Cusset,D158)=1,listes!$L$1,IF(COUNTIF(Cyprien,D158)=1,listes!$M$1,IF(COUNTIF(Ferrandière,D158)=1,listes!$N$1,IF(COUNTIF(Gratteciel,D158)=1,listes!$O$1,IF(COUNTIF(Saintjean,D158)=1,listes!$Q$1,IF(COUNTIF(horsvilleurbanne,D158)=1,listes!$R$1,"")))))))))</f>
        <v/>
      </c>
      <c r="M158" s="21" t="str">
        <f t="shared" si="2"/>
        <v/>
      </c>
      <c r="N158" s="186" t="str">
        <f>T_sept_dec[[#This Row],[Etablissement accueillant]]&amp;"-"&amp;T_sept_dec[[#This Row],[Enseignant référent (Nom Prénom)]]</f>
        <v>-</v>
      </c>
      <c r="O158" s="21">
        <f>1/COUNTIF(T_sept_dec[CléEtablissement],T_sept_dec[[#This Row],[CléEtablissement]])</f>
        <v>4.1841004184100415E-3</v>
      </c>
      <c r="P15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8" s="186">
        <f>1/COUNTIF(T_sept_dec[CléRéseau-Rize horsmed],T_sept_dec[[#This Row],[CléRéseau-Rize horsmed]])</f>
        <v>4.1841004184100415E-3</v>
      </c>
      <c r="R158" s="186" t="str">
        <f>IF(COUNTIF(RIZE,T_sept_dec[[#This Row],[Secteur organisateur]]),"Rize_"&amp;T_sept_dec[[#This Row],[Enseignant référent (Nom Prénom)]],"")</f>
        <v/>
      </c>
      <c r="S158" s="186">
        <f>1/COUNTIF(T_sept_dec[CléRize],T_sept_dec[[#This Row],[CléRize]])</f>
        <v>4.048582995951417E-3</v>
      </c>
      <c r="T158" s="186" t="str">
        <f>IF(COUNTIF(Total,T_sept_dec[[#This Row],[Secteur organisateur]]),"Total_"&amp;T_sept_dec[[#This Row],[Enseignant référent (Nom Prénom)]],"")</f>
        <v/>
      </c>
      <c r="U158" s="186">
        <f>1/COUNTIF(T_sept_dec[cléTotal],T_sept_dec[[#This Row],[cléTotal]])</f>
        <v>4.1841004184100415E-3</v>
      </c>
    </row>
    <row r="159" spans="11:21">
      <c r="K159" s="21" t="str">
        <f>IF(COUNTIF(Maternelle,E159)=1,listes!$T$1,IF(COUNTIF(Elémentaire,E159)=1,listes!$U$1,IF(COUNTIF(Collège,E159)=1,listes!$V$1,IF(COUNTIF(Lycée,E159)=1,listes!$W$1,""))))</f>
        <v/>
      </c>
      <c r="L159" s="21" t="str">
        <f>IF(COUNTIF(Perralière,D159)=1,listes!$P$1,IF(COUNTIF(Buers,D159)=1,listes!$J$1,IF(COUNTIF(Charpennes,D159)=1,listes!$K$1,IF(COUNTIF(Cusset,D159)=1,listes!$L$1,IF(COUNTIF(Cyprien,D159)=1,listes!$M$1,IF(COUNTIF(Ferrandière,D159)=1,listes!$N$1,IF(COUNTIF(Gratteciel,D159)=1,listes!$O$1,IF(COUNTIF(Saintjean,D159)=1,listes!$Q$1,IF(COUNTIF(horsvilleurbanne,D159)=1,listes!$R$1,"")))))))))</f>
        <v/>
      </c>
      <c r="M159" s="21" t="str">
        <f t="shared" si="2"/>
        <v/>
      </c>
      <c r="N159" s="186" t="str">
        <f>T_sept_dec[[#This Row],[Etablissement accueillant]]&amp;"-"&amp;T_sept_dec[[#This Row],[Enseignant référent (Nom Prénom)]]</f>
        <v>-</v>
      </c>
      <c r="O159" s="21">
        <f>1/COUNTIF(T_sept_dec[CléEtablissement],T_sept_dec[[#This Row],[CléEtablissement]])</f>
        <v>4.1841004184100415E-3</v>
      </c>
      <c r="P15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59" s="186">
        <f>1/COUNTIF(T_sept_dec[CléRéseau-Rize horsmed],T_sept_dec[[#This Row],[CléRéseau-Rize horsmed]])</f>
        <v>4.1841004184100415E-3</v>
      </c>
      <c r="R159" s="186" t="str">
        <f>IF(COUNTIF(RIZE,T_sept_dec[[#This Row],[Secteur organisateur]]),"Rize_"&amp;T_sept_dec[[#This Row],[Enseignant référent (Nom Prénom)]],"")</f>
        <v/>
      </c>
      <c r="S159" s="186">
        <f>1/COUNTIF(T_sept_dec[CléRize],T_sept_dec[[#This Row],[CléRize]])</f>
        <v>4.048582995951417E-3</v>
      </c>
      <c r="T159" s="186" t="str">
        <f>IF(COUNTIF(Total,T_sept_dec[[#This Row],[Secteur organisateur]]),"Total_"&amp;T_sept_dec[[#This Row],[Enseignant référent (Nom Prénom)]],"")</f>
        <v/>
      </c>
      <c r="U159" s="186">
        <f>1/COUNTIF(T_sept_dec[cléTotal],T_sept_dec[[#This Row],[cléTotal]])</f>
        <v>4.1841004184100415E-3</v>
      </c>
    </row>
    <row r="160" spans="11:21">
      <c r="K160" s="21" t="str">
        <f>IF(COUNTIF(Maternelle,E160)=1,listes!$T$1,IF(COUNTIF(Elémentaire,E160)=1,listes!$U$1,IF(COUNTIF(Collège,E160)=1,listes!$V$1,IF(COUNTIF(Lycée,E160)=1,listes!$W$1,""))))</f>
        <v/>
      </c>
      <c r="L160" s="21" t="str">
        <f>IF(COUNTIF(Perralière,D160)=1,listes!$P$1,IF(COUNTIF(Buers,D160)=1,listes!$J$1,IF(COUNTIF(Charpennes,D160)=1,listes!$K$1,IF(COUNTIF(Cusset,D160)=1,listes!$L$1,IF(COUNTIF(Cyprien,D160)=1,listes!$M$1,IF(COUNTIF(Ferrandière,D160)=1,listes!$N$1,IF(COUNTIF(Gratteciel,D160)=1,listes!$O$1,IF(COUNTIF(Saintjean,D160)=1,listes!$Q$1,IF(COUNTIF(horsvilleurbanne,D160)=1,listes!$R$1,"")))))))))</f>
        <v/>
      </c>
      <c r="M160" s="21" t="str">
        <f t="shared" si="2"/>
        <v/>
      </c>
      <c r="N160" s="186" t="str">
        <f>T_sept_dec[[#This Row],[Etablissement accueillant]]&amp;"-"&amp;T_sept_dec[[#This Row],[Enseignant référent (Nom Prénom)]]</f>
        <v>-</v>
      </c>
      <c r="O160" s="21">
        <f>1/COUNTIF(T_sept_dec[CléEtablissement],T_sept_dec[[#This Row],[CléEtablissement]])</f>
        <v>4.1841004184100415E-3</v>
      </c>
      <c r="P16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0" s="186">
        <f>1/COUNTIF(T_sept_dec[CléRéseau-Rize horsmed],T_sept_dec[[#This Row],[CléRéseau-Rize horsmed]])</f>
        <v>4.1841004184100415E-3</v>
      </c>
      <c r="R160" s="186" t="str">
        <f>IF(COUNTIF(RIZE,T_sept_dec[[#This Row],[Secteur organisateur]]),"Rize_"&amp;T_sept_dec[[#This Row],[Enseignant référent (Nom Prénom)]],"")</f>
        <v/>
      </c>
      <c r="S160" s="186">
        <f>1/COUNTIF(T_sept_dec[CléRize],T_sept_dec[[#This Row],[CléRize]])</f>
        <v>4.048582995951417E-3</v>
      </c>
      <c r="T160" s="186" t="str">
        <f>IF(COUNTIF(Total,T_sept_dec[[#This Row],[Secteur organisateur]]),"Total_"&amp;T_sept_dec[[#This Row],[Enseignant référent (Nom Prénom)]],"")</f>
        <v/>
      </c>
      <c r="U160" s="186">
        <f>1/COUNTIF(T_sept_dec[cléTotal],T_sept_dec[[#This Row],[cléTotal]])</f>
        <v>4.1841004184100415E-3</v>
      </c>
    </row>
    <row r="161" spans="11:21">
      <c r="K161" s="21" t="str">
        <f>IF(COUNTIF(Maternelle,E161)=1,listes!$T$1,IF(COUNTIF(Elémentaire,E161)=1,listes!$U$1,IF(COUNTIF(Collège,E161)=1,listes!$V$1,IF(COUNTIF(Lycée,E161)=1,listes!$W$1,""))))</f>
        <v/>
      </c>
      <c r="L161" s="21" t="str">
        <f>IF(COUNTIF(Perralière,D161)=1,listes!$P$1,IF(COUNTIF(Buers,D161)=1,listes!$J$1,IF(COUNTIF(Charpennes,D161)=1,listes!$K$1,IF(COUNTIF(Cusset,D161)=1,listes!$L$1,IF(COUNTIF(Cyprien,D161)=1,listes!$M$1,IF(COUNTIF(Ferrandière,D161)=1,listes!$N$1,IF(COUNTIF(Gratteciel,D161)=1,listes!$O$1,IF(COUNTIF(Saintjean,D161)=1,listes!$Q$1,IF(COUNTIF(horsvilleurbanne,D161)=1,listes!$R$1,"")))))))))</f>
        <v/>
      </c>
      <c r="M161" s="21" t="str">
        <f t="shared" si="2"/>
        <v/>
      </c>
      <c r="N161" s="186" t="str">
        <f>T_sept_dec[[#This Row],[Etablissement accueillant]]&amp;"-"&amp;T_sept_dec[[#This Row],[Enseignant référent (Nom Prénom)]]</f>
        <v>-</v>
      </c>
      <c r="O161" s="21">
        <f>1/COUNTIF(T_sept_dec[CléEtablissement],T_sept_dec[[#This Row],[CléEtablissement]])</f>
        <v>4.1841004184100415E-3</v>
      </c>
      <c r="P16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1" s="186">
        <f>1/COUNTIF(T_sept_dec[CléRéseau-Rize horsmed],T_sept_dec[[#This Row],[CléRéseau-Rize horsmed]])</f>
        <v>4.1841004184100415E-3</v>
      </c>
      <c r="R161" s="186" t="str">
        <f>IF(COUNTIF(RIZE,T_sept_dec[[#This Row],[Secteur organisateur]]),"Rize_"&amp;T_sept_dec[[#This Row],[Enseignant référent (Nom Prénom)]],"")</f>
        <v/>
      </c>
      <c r="S161" s="186">
        <f>1/COUNTIF(T_sept_dec[CléRize],T_sept_dec[[#This Row],[CléRize]])</f>
        <v>4.048582995951417E-3</v>
      </c>
      <c r="T161" s="186" t="str">
        <f>IF(COUNTIF(Total,T_sept_dec[[#This Row],[Secteur organisateur]]),"Total_"&amp;T_sept_dec[[#This Row],[Enseignant référent (Nom Prénom)]],"")</f>
        <v/>
      </c>
      <c r="U161" s="186">
        <f>1/COUNTIF(T_sept_dec[cléTotal],T_sept_dec[[#This Row],[cléTotal]])</f>
        <v>4.1841004184100415E-3</v>
      </c>
    </row>
    <row r="162" spans="11:21">
      <c r="K162" s="21" t="str">
        <f>IF(COUNTIF(Maternelle,E162)=1,listes!$T$1,IF(COUNTIF(Elémentaire,E162)=1,listes!$U$1,IF(COUNTIF(Collège,E162)=1,listes!$V$1,IF(COUNTIF(Lycée,E162)=1,listes!$W$1,""))))</f>
        <v/>
      </c>
      <c r="L162" s="21" t="str">
        <f>IF(COUNTIF(Perralière,D162)=1,listes!$P$1,IF(COUNTIF(Buers,D162)=1,listes!$J$1,IF(COUNTIF(Charpennes,D162)=1,listes!$K$1,IF(COUNTIF(Cusset,D162)=1,listes!$L$1,IF(COUNTIF(Cyprien,D162)=1,listes!$M$1,IF(COUNTIF(Ferrandière,D162)=1,listes!$N$1,IF(COUNTIF(Gratteciel,D162)=1,listes!$O$1,IF(COUNTIF(Saintjean,D162)=1,listes!$Q$1,IF(COUNTIF(horsvilleurbanne,D162)=1,listes!$R$1,"")))))))))</f>
        <v/>
      </c>
      <c r="M162" s="21" t="str">
        <f t="shared" si="2"/>
        <v/>
      </c>
      <c r="N162" s="186" t="str">
        <f>T_sept_dec[[#This Row],[Etablissement accueillant]]&amp;"-"&amp;T_sept_dec[[#This Row],[Enseignant référent (Nom Prénom)]]</f>
        <v>-</v>
      </c>
      <c r="O162" s="21">
        <f>1/COUNTIF(T_sept_dec[CléEtablissement],T_sept_dec[[#This Row],[CléEtablissement]])</f>
        <v>4.1841004184100415E-3</v>
      </c>
      <c r="P16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2" s="186">
        <f>1/COUNTIF(T_sept_dec[CléRéseau-Rize horsmed],T_sept_dec[[#This Row],[CléRéseau-Rize horsmed]])</f>
        <v>4.1841004184100415E-3</v>
      </c>
      <c r="R162" s="186" t="str">
        <f>IF(COUNTIF(RIZE,T_sept_dec[[#This Row],[Secteur organisateur]]),"Rize_"&amp;T_sept_dec[[#This Row],[Enseignant référent (Nom Prénom)]],"")</f>
        <v/>
      </c>
      <c r="S162" s="186">
        <f>1/COUNTIF(T_sept_dec[CléRize],T_sept_dec[[#This Row],[CléRize]])</f>
        <v>4.048582995951417E-3</v>
      </c>
      <c r="T162" s="186" t="str">
        <f>IF(COUNTIF(Total,T_sept_dec[[#This Row],[Secteur organisateur]]),"Total_"&amp;T_sept_dec[[#This Row],[Enseignant référent (Nom Prénom)]],"")</f>
        <v/>
      </c>
      <c r="U162" s="186">
        <f>1/COUNTIF(T_sept_dec[cléTotal],T_sept_dec[[#This Row],[cléTotal]])</f>
        <v>4.1841004184100415E-3</v>
      </c>
    </row>
    <row r="163" spans="11:21">
      <c r="K163" s="21" t="str">
        <f>IF(COUNTIF(Maternelle,E163)=1,listes!$T$1,IF(COUNTIF(Elémentaire,E163)=1,listes!$U$1,IF(COUNTIF(Collège,E163)=1,listes!$V$1,IF(COUNTIF(Lycée,E163)=1,listes!$W$1,""))))</f>
        <v/>
      </c>
      <c r="L163" s="21" t="str">
        <f>IF(COUNTIF(Perralière,D163)=1,listes!$P$1,IF(COUNTIF(Buers,D163)=1,listes!$J$1,IF(COUNTIF(Charpennes,D163)=1,listes!$K$1,IF(COUNTIF(Cusset,D163)=1,listes!$L$1,IF(COUNTIF(Cyprien,D163)=1,listes!$M$1,IF(COUNTIF(Ferrandière,D163)=1,listes!$N$1,IF(COUNTIF(Gratteciel,D163)=1,listes!$O$1,IF(COUNTIF(Saintjean,D163)=1,listes!$Q$1,IF(COUNTIF(horsvilleurbanne,D163)=1,listes!$R$1,"")))))))))</f>
        <v/>
      </c>
      <c r="M163" s="21" t="str">
        <f t="shared" si="2"/>
        <v/>
      </c>
      <c r="N163" s="186" t="str">
        <f>T_sept_dec[[#This Row],[Etablissement accueillant]]&amp;"-"&amp;T_sept_dec[[#This Row],[Enseignant référent (Nom Prénom)]]</f>
        <v>-</v>
      </c>
      <c r="O163" s="21">
        <f>1/COUNTIF(T_sept_dec[CléEtablissement],T_sept_dec[[#This Row],[CléEtablissement]])</f>
        <v>4.1841004184100415E-3</v>
      </c>
      <c r="P16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3" s="186">
        <f>1/COUNTIF(T_sept_dec[CléRéseau-Rize horsmed],T_sept_dec[[#This Row],[CléRéseau-Rize horsmed]])</f>
        <v>4.1841004184100415E-3</v>
      </c>
      <c r="R163" s="186" t="str">
        <f>IF(COUNTIF(RIZE,T_sept_dec[[#This Row],[Secteur organisateur]]),"Rize_"&amp;T_sept_dec[[#This Row],[Enseignant référent (Nom Prénom)]],"")</f>
        <v/>
      </c>
      <c r="S163" s="186">
        <f>1/COUNTIF(T_sept_dec[CléRize],T_sept_dec[[#This Row],[CléRize]])</f>
        <v>4.048582995951417E-3</v>
      </c>
      <c r="T163" s="186" t="str">
        <f>IF(COUNTIF(Total,T_sept_dec[[#This Row],[Secteur organisateur]]),"Total_"&amp;T_sept_dec[[#This Row],[Enseignant référent (Nom Prénom)]],"")</f>
        <v/>
      </c>
      <c r="U163" s="186">
        <f>1/COUNTIF(T_sept_dec[cléTotal],T_sept_dec[[#This Row],[cléTotal]])</f>
        <v>4.1841004184100415E-3</v>
      </c>
    </row>
    <row r="164" spans="11:21">
      <c r="K164" s="21" t="str">
        <f>IF(COUNTIF(Maternelle,E164)=1,listes!$T$1,IF(COUNTIF(Elémentaire,E164)=1,listes!$U$1,IF(COUNTIF(Collège,E164)=1,listes!$V$1,IF(COUNTIF(Lycée,E164)=1,listes!$W$1,""))))</f>
        <v/>
      </c>
      <c r="L164" s="21" t="str">
        <f>IF(COUNTIF(Perralière,D164)=1,listes!$P$1,IF(COUNTIF(Buers,D164)=1,listes!$J$1,IF(COUNTIF(Charpennes,D164)=1,listes!$K$1,IF(COUNTIF(Cusset,D164)=1,listes!$L$1,IF(COUNTIF(Cyprien,D164)=1,listes!$M$1,IF(COUNTIF(Ferrandière,D164)=1,listes!$N$1,IF(COUNTIF(Gratteciel,D164)=1,listes!$O$1,IF(COUNTIF(Saintjean,D164)=1,listes!$Q$1,IF(COUNTIF(horsvilleurbanne,D164)=1,listes!$R$1,"")))))))))</f>
        <v/>
      </c>
      <c r="M164" s="21" t="str">
        <f t="shared" si="2"/>
        <v/>
      </c>
      <c r="N164" s="186" t="str">
        <f>T_sept_dec[[#This Row],[Etablissement accueillant]]&amp;"-"&amp;T_sept_dec[[#This Row],[Enseignant référent (Nom Prénom)]]</f>
        <v>-</v>
      </c>
      <c r="O164" s="21">
        <f>1/COUNTIF(T_sept_dec[CléEtablissement],T_sept_dec[[#This Row],[CléEtablissement]])</f>
        <v>4.1841004184100415E-3</v>
      </c>
      <c r="P16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4" s="186">
        <f>1/COUNTIF(T_sept_dec[CléRéseau-Rize horsmed],T_sept_dec[[#This Row],[CléRéseau-Rize horsmed]])</f>
        <v>4.1841004184100415E-3</v>
      </c>
      <c r="R164" s="186" t="str">
        <f>IF(COUNTIF(RIZE,T_sept_dec[[#This Row],[Secteur organisateur]]),"Rize_"&amp;T_sept_dec[[#This Row],[Enseignant référent (Nom Prénom)]],"")</f>
        <v/>
      </c>
      <c r="S164" s="186">
        <f>1/COUNTIF(T_sept_dec[CléRize],T_sept_dec[[#This Row],[CléRize]])</f>
        <v>4.048582995951417E-3</v>
      </c>
      <c r="T164" s="186" t="str">
        <f>IF(COUNTIF(Total,T_sept_dec[[#This Row],[Secteur organisateur]]),"Total_"&amp;T_sept_dec[[#This Row],[Enseignant référent (Nom Prénom)]],"")</f>
        <v/>
      </c>
      <c r="U164" s="186">
        <f>1/COUNTIF(T_sept_dec[cléTotal],T_sept_dec[[#This Row],[cléTotal]])</f>
        <v>4.1841004184100415E-3</v>
      </c>
    </row>
    <row r="165" spans="11:21">
      <c r="K165" s="21" t="str">
        <f>IF(COUNTIF(Maternelle,E165)=1,listes!$T$1,IF(COUNTIF(Elémentaire,E165)=1,listes!$U$1,IF(COUNTIF(Collège,E165)=1,listes!$V$1,IF(COUNTIF(Lycée,E165)=1,listes!$W$1,""))))</f>
        <v/>
      </c>
      <c r="L165" s="21" t="str">
        <f>IF(COUNTIF(Perralière,D165)=1,listes!$P$1,IF(COUNTIF(Buers,D165)=1,listes!$J$1,IF(COUNTIF(Charpennes,D165)=1,listes!$K$1,IF(COUNTIF(Cusset,D165)=1,listes!$L$1,IF(COUNTIF(Cyprien,D165)=1,listes!$M$1,IF(COUNTIF(Ferrandière,D165)=1,listes!$N$1,IF(COUNTIF(Gratteciel,D165)=1,listes!$O$1,IF(COUNTIF(Saintjean,D165)=1,listes!$Q$1,IF(COUNTIF(horsvilleurbanne,D165)=1,listes!$R$1,"")))))))))</f>
        <v/>
      </c>
      <c r="M165" s="21" t="str">
        <f t="shared" si="2"/>
        <v/>
      </c>
      <c r="N165" s="186" t="str">
        <f>T_sept_dec[[#This Row],[Etablissement accueillant]]&amp;"-"&amp;T_sept_dec[[#This Row],[Enseignant référent (Nom Prénom)]]</f>
        <v>-</v>
      </c>
      <c r="O165" s="21">
        <f>1/COUNTIF(T_sept_dec[CléEtablissement],T_sept_dec[[#This Row],[CléEtablissement]])</f>
        <v>4.1841004184100415E-3</v>
      </c>
      <c r="P16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5" s="186">
        <f>1/COUNTIF(T_sept_dec[CléRéseau-Rize horsmed],T_sept_dec[[#This Row],[CléRéseau-Rize horsmed]])</f>
        <v>4.1841004184100415E-3</v>
      </c>
      <c r="R165" s="186" t="str">
        <f>IF(COUNTIF(RIZE,T_sept_dec[[#This Row],[Secteur organisateur]]),"Rize_"&amp;T_sept_dec[[#This Row],[Enseignant référent (Nom Prénom)]],"")</f>
        <v/>
      </c>
      <c r="S165" s="186">
        <f>1/COUNTIF(T_sept_dec[CléRize],T_sept_dec[[#This Row],[CléRize]])</f>
        <v>4.048582995951417E-3</v>
      </c>
      <c r="T165" s="186" t="str">
        <f>IF(COUNTIF(Total,T_sept_dec[[#This Row],[Secteur organisateur]]),"Total_"&amp;T_sept_dec[[#This Row],[Enseignant référent (Nom Prénom)]],"")</f>
        <v/>
      </c>
      <c r="U165" s="186">
        <f>1/COUNTIF(T_sept_dec[cléTotal],T_sept_dec[[#This Row],[cléTotal]])</f>
        <v>4.1841004184100415E-3</v>
      </c>
    </row>
    <row r="166" spans="11:21">
      <c r="K166" s="21" t="str">
        <f>IF(COUNTIF(Maternelle,E166)=1,listes!$T$1,IF(COUNTIF(Elémentaire,E166)=1,listes!$U$1,IF(COUNTIF(Collège,E166)=1,listes!$V$1,IF(COUNTIF(Lycée,E166)=1,listes!$W$1,""))))</f>
        <v/>
      </c>
      <c r="L166" s="21" t="str">
        <f>IF(COUNTIF(Perralière,D166)=1,listes!$P$1,IF(COUNTIF(Buers,D166)=1,listes!$J$1,IF(COUNTIF(Charpennes,D166)=1,listes!$K$1,IF(COUNTIF(Cusset,D166)=1,listes!$L$1,IF(COUNTIF(Cyprien,D166)=1,listes!$M$1,IF(COUNTIF(Ferrandière,D166)=1,listes!$N$1,IF(COUNTIF(Gratteciel,D166)=1,listes!$O$1,IF(COUNTIF(Saintjean,D166)=1,listes!$Q$1,IF(COUNTIF(horsvilleurbanne,D166)=1,listes!$R$1,"")))))))))</f>
        <v/>
      </c>
      <c r="M166" s="21" t="str">
        <f t="shared" si="2"/>
        <v/>
      </c>
      <c r="N166" s="186" t="str">
        <f>T_sept_dec[[#This Row],[Etablissement accueillant]]&amp;"-"&amp;T_sept_dec[[#This Row],[Enseignant référent (Nom Prénom)]]</f>
        <v>-</v>
      </c>
      <c r="O166" s="21">
        <f>1/COUNTIF(T_sept_dec[CléEtablissement],T_sept_dec[[#This Row],[CléEtablissement]])</f>
        <v>4.1841004184100415E-3</v>
      </c>
      <c r="P16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6" s="186">
        <f>1/COUNTIF(T_sept_dec[CléRéseau-Rize horsmed],T_sept_dec[[#This Row],[CléRéseau-Rize horsmed]])</f>
        <v>4.1841004184100415E-3</v>
      </c>
      <c r="R166" s="186" t="str">
        <f>IF(COUNTIF(RIZE,T_sept_dec[[#This Row],[Secteur organisateur]]),"Rize_"&amp;T_sept_dec[[#This Row],[Enseignant référent (Nom Prénom)]],"")</f>
        <v/>
      </c>
      <c r="S166" s="186">
        <f>1/COUNTIF(T_sept_dec[CléRize],T_sept_dec[[#This Row],[CléRize]])</f>
        <v>4.048582995951417E-3</v>
      </c>
      <c r="T166" s="186" t="str">
        <f>IF(COUNTIF(Total,T_sept_dec[[#This Row],[Secteur organisateur]]),"Total_"&amp;T_sept_dec[[#This Row],[Enseignant référent (Nom Prénom)]],"")</f>
        <v/>
      </c>
      <c r="U166" s="186">
        <f>1/COUNTIF(T_sept_dec[cléTotal],T_sept_dec[[#This Row],[cléTotal]])</f>
        <v>4.1841004184100415E-3</v>
      </c>
    </row>
    <row r="167" spans="11:21">
      <c r="K167" s="21" t="str">
        <f>IF(COUNTIF(Maternelle,E167)=1,listes!$T$1,IF(COUNTIF(Elémentaire,E167)=1,listes!$U$1,IF(COUNTIF(Collège,E167)=1,listes!$V$1,IF(COUNTIF(Lycée,E167)=1,listes!$W$1,""))))</f>
        <v/>
      </c>
      <c r="L167" s="21" t="str">
        <f>IF(COUNTIF(Perralière,D167)=1,listes!$P$1,IF(COUNTIF(Buers,D167)=1,listes!$J$1,IF(COUNTIF(Charpennes,D167)=1,listes!$K$1,IF(COUNTIF(Cusset,D167)=1,listes!$L$1,IF(COUNTIF(Cyprien,D167)=1,listes!$M$1,IF(COUNTIF(Ferrandière,D167)=1,listes!$N$1,IF(COUNTIF(Gratteciel,D167)=1,listes!$O$1,IF(COUNTIF(Saintjean,D167)=1,listes!$Q$1,IF(COUNTIF(horsvilleurbanne,D167)=1,listes!$R$1,"")))))))))</f>
        <v/>
      </c>
      <c r="M167" s="21" t="str">
        <f t="shared" si="2"/>
        <v/>
      </c>
      <c r="N167" s="186" t="str">
        <f>T_sept_dec[[#This Row],[Etablissement accueillant]]&amp;"-"&amp;T_sept_dec[[#This Row],[Enseignant référent (Nom Prénom)]]</f>
        <v>-</v>
      </c>
      <c r="O167" s="21">
        <f>1/COUNTIF(T_sept_dec[CléEtablissement],T_sept_dec[[#This Row],[CléEtablissement]])</f>
        <v>4.1841004184100415E-3</v>
      </c>
      <c r="P16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7" s="186">
        <f>1/COUNTIF(T_sept_dec[CléRéseau-Rize horsmed],T_sept_dec[[#This Row],[CléRéseau-Rize horsmed]])</f>
        <v>4.1841004184100415E-3</v>
      </c>
      <c r="R167" s="186" t="str">
        <f>IF(COUNTIF(RIZE,T_sept_dec[[#This Row],[Secteur organisateur]]),"Rize_"&amp;T_sept_dec[[#This Row],[Enseignant référent (Nom Prénom)]],"")</f>
        <v/>
      </c>
      <c r="S167" s="186">
        <f>1/COUNTIF(T_sept_dec[CléRize],T_sept_dec[[#This Row],[CléRize]])</f>
        <v>4.048582995951417E-3</v>
      </c>
      <c r="T167" s="186" t="str">
        <f>IF(COUNTIF(Total,T_sept_dec[[#This Row],[Secteur organisateur]]),"Total_"&amp;T_sept_dec[[#This Row],[Enseignant référent (Nom Prénom)]],"")</f>
        <v/>
      </c>
      <c r="U167" s="186">
        <f>1/COUNTIF(T_sept_dec[cléTotal],T_sept_dec[[#This Row],[cléTotal]])</f>
        <v>4.1841004184100415E-3</v>
      </c>
    </row>
    <row r="168" spans="11:21">
      <c r="K168" s="21" t="str">
        <f>IF(COUNTIF(Maternelle,E168)=1,listes!$T$1,IF(COUNTIF(Elémentaire,E168)=1,listes!$U$1,IF(COUNTIF(Collège,E168)=1,listes!$V$1,IF(COUNTIF(Lycée,E168)=1,listes!$W$1,""))))</f>
        <v/>
      </c>
      <c r="L168" s="21" t="str">
        <f>IF(COUNTIF(Perralière,D168)=1,listes!$P$1,IF(COUNTIF(Buers,D168)=1,listes!$J$1,IF(COUNTIF(Charpennes,D168)=1,listes!$K$1,IF(COUNTIF(Cusset,D168)=1,listes!$L$1,IF(COUNTIF(Cyprien,D168)=1,listes!$M$1,IF(COUNTIF(Ferrandière,D168)=1,listes!$N$1,IF(COUNTIF(Gratteciel,D168)=1,listes!$O$1,IF(COUNTIF(Saintjean,D168)=1,listes!$Q$1,IF(COUNTIF(horsvilleurbanne,D168)=1,listes!$R$1,"")))))))))</f>
        <v/>
      </c>
      <c r="M168" s="21" t="str">
        <f t="shared" si="2"/>
        <v/>
      </c>
      <c r="N168" s="186" t="str">
        <f>T_sept_dec[[#This Row],[Etablissement accueillant]]&amp;"-"&amp;T_sept_dec[[#This Row],[Enseignant référent (Nom Prénom)]]</f>
        <v>-</v>
      </c>
      <c r="O168" s="21">
        <f>1/COUNTIF(T_sept_dec[CléEtablissement],T_sept_dec[[#This Row],[CléEtablissement]])</f>
        <v>4.1841004184100415E-3</v>
      </c>
      <c r="P16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8" s="186">
        <f>1/COUNTIF(T_sept_dec[CléRéseau-Rize horsmed],T_sept_dec[[#This Row],[CléRéseau-Rize horsmed]])</f>
        <v>4.1841004184100415E-3</v>
      </c>
      <c r="R168" s="186" t="str">
        <f>IF(COUNTIF(RIZE,T_sept_dec[[#This Row],[Secteur organisateur]]),"Rize_"&amp;T_sept_dec[[#This Row],[Enseignant référent (Nom Prénom)]],"")</f>
        <v/>
      </c>
      <c r="S168" s="186">
        <f>1/COUNTIF(T_sept_dec[CléRize],T_sept_dec[[#This Row],[CléRize]])</f>
        <v>4.048582995951417E-3</v>
      </c>
      <c r="T168" s="186" t="str">
        <f>IF(COUNTIF(Total,T_sept_dec[[#This Row],[Secteur organisateur]]),"Total_"&amp;T_sept_dec[[#This Row],[Enseignant référent (Nom Prénom)]],"")</f>
        <v/>
      </c>
      <c r="U168" s="186">
        <f>1/COUNTIF(T_sept_dec[cléTotal],T_sept_dec[[#This Row],[cléTotal]])</f>
        <v>4.1841004184100415E-3</v>
      </c>
    </row>
    <row r="169" spans="11:21">
      <c r="K169" s="21" t="str">
        <f>IF(COUNTIF(Maternelle,E169)=1,listes!$T$1,IF(COUNTIF(Elémentaire,E169)=1,listes!$U$1,IF(COUNTIF(Collège,E169)=1,listes!$V$1,IF(COUNTIF(Lycée,E169)=1,listes!$W$1,""))))</f>
        <v/>
      </c>
      <c r="L169" s="21" t="str">
        <f>IF(COUNTIF(Perralière,D169)=1,listes!$P$1,IF(COUNTIF(Buers,D169)=1,listes!$J$1,IF(COUNTIF(Charpennes,D169)=1,listes!$K$1,IF(COUNTIF(Cusset,D169)=1,listes!$L$1,IF(COUNTIF(Cyprien,D169)=1,listes!$M$1,IF(COUNTIF(Ferrandière,D169)=1,listes!$N$1,IF(COUNTIF(Gratteciel,D169)=1,listes!$O$1,IF(COUNTIF(Saintjean,D169)=1,listes!$Q$1,IF(COUNTIF(horsvilleurbanne,D169)=1,listes!$R$1,"")))))))))</f>
        <v/>
      </c>
      <c r="M169" s="21" t="str">
        <f t="shared" si="2"/>
        <v/>
      </c>
      <c r="N169" s="186" t="str">
        <f>T_sept_dec[[#This Row],[Etablissement accueillant]]&amp;"-"&amp;T_sept_dec[[#This Row],[Enseignant référent (Nom Prénom)]]</f>
        <v>-</v>
      </c>
      <c r="O169" s="21">
        <f>1/COUNTIF(T_sept_dec[CléEtablissement],T_sept_dec[[#This Row],[CléEtablissement]])</f>
        <v>4.1841004184100415E-3</v>
      </c>
      <c r="P16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69" s="186">
        <f>1/COUNTIF(T_sept_dec[CléRéseau-Rize horsmed],T_sept_dec[[#This Row],[CléRéseau-Rize horsmed]])</f>
        <v>4.1841004184100415E-3</v>
      </c>
      <c r="R169" s="186" t="str">
        <f>IF(COUNTIF(RIZE,T_sept_dec[[#This Row],[Secteur organisateur]]),"Rize_"&amp;T_sept_dec[[#This Row],[Enseignant référent (Nom Prénom)]],"")</f>
        <v/>
      </c>
      <c r="S169" s="186">
        <f>1/COUNTIF(T_sept_dec[CléRize],T_sept_dec[[#This Row],[CléRize]])</f>
        <v>4.048582995951417E-3</v>
      </c>
      <c r="T169" s="186" t="str">
        <f>IF(COUNTIF(Total,T_sept_dec[[#This Row],[Secteur organisateur]]),"Total_"&amp;T_sept_dec[[#This Row],[Enseignant référent (Nom Prénom)]],"")</f>
        <v/>
      </c>
      <c r="U169" s="186">
        <f>1/COUNTIF(T_sept_dec[cléTotal],T_sept_dec[[#This Row],[cléTotal]])</f>
        <v>4.1841004184100415E-3</v>
      </c>
    </row>
    <row r="170" spans="11:21">
      <c r="K170" s="21" t="str">
        <f>IF(COUNTIF(Maternelle,E170)=1,listes!$T$1,IF(COUNTIF(Elémentaire,E170)=1,listes!$U$1,IF(COUNTIF(Collège,E170)=1,listes!$V$1,IF(COUNTIF(Lycée,E170)=1,listes!$W$1,""))))</f>
        <v/>
      </c>
      <c r="L170" s="21" t="str">
        <f>IF(COUNTIF(Perralière,D170)=1,listes!$P$1,IF(COUNTIF(Buers,D170)=1,listes!$J$1,IF(COUNTIF(Charpennes,D170)=1,listes!$K$1,IF(COUNTIF(Cusset,D170)=1,listes!$L$1,IF(COUNTIF(Cyprien,D170)=1,listes!$M$1,IF(COUNTIF(Ferrandière,D170)=1,listes!$N$1,IF(COUNTIF(Gratteciel,D170)=1,listes!$O$1,IF(COUNTIF(Saintjean,D170)=1,listes!$Q$1,IF(COUNTIF(horsvilleurbanne,D170)=1,listes!$R$1,"")))))))))</f>
        <v/>
      </c>
      <c r="M170" s="21" t="str">
        <f t="shared" si="2"/>
        <v/>
      </c>
      <c r="N170" s="186" t="str">
        <f>T_sept_dec[[#This Row],[Etablissement accueillant]]&amp;"-"&amp;T_sept_dec[[#This Row],[Enseignant référent (Nom Prénom)]]</f>
        <v>-</v>
      </c>
      <c r="O170" s="21">
        <f>1/COUNTIF(T_sept_dec[CléEtablissement],T_sept_dec[[#This Row],[CléEtablissement]])</f>
        <v>4.1841004184100415E-3</v>
      </c>
      <c r="P17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0" s="186">
        <f>1/COUNTIF(T_sept_dec[CléRéseau-Rize horsmed],T_sept_dec[[#This Row],[CléRéseau-Rize horsmed]])</f>
        <v>4.1841004184100415E-3</v>
      </c>
      <c r="R170" s="186" t="str">
        <f>IF(COUNTIF(RIZE,T_sept_dec[[#This Row],[Secteur organisateur]]),"Rize_"&amp;T_sept_dec[[#This Row],[Enseignant référent (Nom Prénom)]],"")</f>
        <v/>
      </c>
      <c r="S170" s="186">
        <f>1/COUNTIF(T_sept_dec[CléRize],T_sept_dec[[#This Row],[CléRize]])</f>
        <v>4.048582995951417E-3</v>
      </c>
      <c r="T170" s="186" t="str">
        <f>IF(COUNTIF(Total,T_sept_dec[[#This Row],[Secteur organisateur]]),"Total_"&amp;T_sept_dec[[#This Row],[Enseignant référent (Nom Prénom)]],"")</f>
        <v/>
      </c>
      <c r="U170" s="186">
        <f>1/COUNTIF(T_sept_dec[cléTotal],T_sept_dec[[#This Row],[cléTotal]])</f>
        <v>4.1841004184100415E-3</v>
      </c>
    </row>
    <row r="171" spans="11:21">
      <c r="K171" s="21" t="str">
        <f>IF(COUNTIF(Maternelle,E171)=1,listes!$T$1,IF(COUNTIF(Elémentaire,E171)=1,listes!$U$1,IF(COUNTIF(Collège,E171)=1,listes!$V$1,IF(COUNTIF(Lycée,E171)=1,listes!$W$1,""))))</f>
        <v/>
      </c>
      <c r="L171" s="21" t="str">
        <f>IF(COUNTIF(Perralière,D171)=1,listes!$P$1,IF(COUNTIF(Buers,D171)=1,listes!$J$1,IF(COUNTIF(Charpennes,D171)=1,listes!$K$1,IF(COUNTIF(Cusset,D171)=1,listes!$L$1,IF(COUNTIF(Cyprien,D171)=1,listes!$M$1,IF(COUNTIF(Ferrandière,D171)=1,listes!$N$1,IF(COUNTIF(Gratteciel,D171)=1,listes!$O$1,IF(COUNTIF(Saintjean,D171)=1,listes!$Q$1,IF(COUNTIF(horsvilleurbanne,D171)=1,listes!$R$1,"")))))))))</f>
        <v/>
      </c>
      <c r="M171" s="21" t="str">
        <f t="shared" si="2"/>
        <v/>
      </c>
      <c r="N171" s="186" t="str">
        <f>T_sept_dec[[#This Row],[Etablissement accueillant]]&amp;"-"&amp;T_sept_dec[[#This Row],[Enseignant référent (Nom Prénom)]]</f>
        <v>-</v>
      </c>
      <c r="O171" s="21">
        <f>1/COUNTIF(T_sept_dec[CléEtablissement],T_sept_dec[[#This Row],[CléEtablissement]])</f>
        <v>4.1841004184100415E-3</v>
      </c>
      <c r="P17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1" s="186">
        <f>1/COUNTIF(T_sept_dec[CléRéseau-Rize horsmed],T_sept_dec[[#This Row],[CléRéseau-Rize horsmed]])</f>
        <v>4.1841004184100415E-3</v>
      </c>
      <c r="R171" s="186" t="str">
        <f>IF(COUNTIF(RIZE,T_sept_dec[[#This Row],[Secteur organisateur]]),"Rize_"&amp;T_sept_dec[[#This Row],[Enseignant référent (Nom Prénom)]],"")</f>
        <v/>
      </c>
      <c r="S171" s="186">
        <f>1/COUNTIF(T_sept_dec[CléRize],T_sept_dec[[#This Row],[CléRize]])</f>
        <v>4.048582995951417E-3</v>
      </c>
      <c r="T171" s="186" t="str">
        <f>IF(COUNTIF(Total,T_sept_dec[[#This Row],[Secteur organisateur]]),"Total_"&amp;T_sept_dec[[#This Row],[Enseignant référent (Nom Prénom)]],"")</f>
        <v/>
      </c>
      <c r="U171" s="186">
        <f>1/COUNTIF(T_sept_dec[cléTotal],T_sept_dec[[#This Row],[cléTotal]])</f>
        <v>4.1841004184100415E-3</v>
      </c>
    </row>
    <row r="172" spans="11:21">
      <c r="K172" s="21" t="str">
        <f>IF(COUNTIF(Maternelle,E172)=1,listes!$T$1,IF(COUNTIF(Elémentaire,E172)=1,listes!$U$1,IF(COUNTIF(Collège,E172)=1,listes!$V$1,IF(COUNTIF(Lycée,E172)=1,listes!$W$1,""))))</f>
        <v/>
      </c>
      <c r="L172" s="21" t="str">
        <f>IF(COUNTIF(Perralière,D172)=1,listes!$P$1,IF(COUNTIF(Buers,D172)=1,listes!$J$1,IF(COUNTIF(Charpennes,D172)=1,listes!$K$1,IF(COUNTIF(Cusset,D172)=1,listes!$L$1,IF(COUNTIF(Cyprien,D172)=1,listes!$M$1,IF(COUNTIF(Ferrandière,D172)=1,listes!$N$1,IF(COUNTIF(Gratteciel,D172)=1,listes!$O$1,IF(COUNTIF(Saintjean,D172)=1,listes!$Q$1,IF(COUNTIF(horsvilleurbanne,D172)=1,listes!$R$1,"")))))))))</f>
        <v/>
      </c>
      <c r="M172" s="21" t="str">
        <f t="shared" si="2"/>
        <v/>
      </c>
      <c r="N172" s="186" t="str">
        <f>T_sept_dec[[#This Row],[Etablissement accueillant]]&amp;"-"&amp;T_sept_dec[[#This Row],[Enseignant référent (Nom Prénom)]]</f>
        <v>-</v>
      </c>
      <c r="O172" s="21">
        <f>1/COUNTIF(T_sept_dec[CléEtablissement],T_sept_dec[[#This Row],[CléEtablissement]])</f>
        <v>4.1841004184100415E-3</v>
      </c>
      <c r="P17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2" s="186">
        <f>1/COUNTIF(T_sept_dec[CléRéseau-Rize horsmed],T_sept_dec[[#This Row],[CléRéseau-Rize horsmed]])</f>
        <v>4.1841004184100415E-3</v>
      </c>
      <c r="R172" s="186" t="str">
        <f>IF(COUNTIF(RIZE,T_sept_dec[[#This Row],[Secteur organisateur]]),"Rize_"&amp;T_sept_dec[[#This Row],[Enseignant référent (Nom Prénom)]],"")</f>
        <v/>
      </c>
      <c r="S172" s="186">
        <f>1/COUNTIF(T_sept_dec[CléRize],T_sept_dec[[#This Row],[CléRize]])</f>
        <v>4.048582995951417E-3</v>
      </c>
      <c r="T172" s="186" t="str">
        <f>IF(COUNTIF(Total,T_sept_dec[[#This Row],[Secteur organisateur]]),"Total_"&amp;T_sept_dec[[#This Row],[Enseignant référent (Nom Prénom)]],"")</f>
        <v/>
      </c>
      <c r="U172" s="186">
        <f>1/COUNTIF(T_sept_dec[cléTotal],T_sept_dec[[#This Row],[cléTotal]])</f>
        <v>4.1841004184100415E-3</v>
      </c>
    </row>
    <row r="173" spans="11:21">
      <c r="K173" s="21" t="str">
        <f>IF(COUNTIF(Maternelle,E173)=1,listes!$T$1,IF(COUNTIF(Elémentaire,E173)=1,listes!$U$1,IF(COUNTIF(Collège,E173)=1,listes!$V$1,IF(COUNTIF(Lycée,E173)=1,listes!$W$1,""))))</f>
        <v/>
      </c>
      <c r="L173" s="21" t="str">
        <f>IF(COUNTIF(Perralière,D173)=1,listes!$P$1,IF(COUNTIF(Buers,D173)=1,listes!$J$1,IF(COUNTIF(Charpennes,D173)=1,listes!$K$1,IF(COUNTIF(Cusset,D173)=1,listes!$L$1,IF(COUNTIF(Cyprien,D173)=1,listes!$M$1,IF(COUNTIF(Ferrandière,D173)=1,listes!$N$1,IF(COUNTIF(Gratteciel,D173)=1,listes!$O$1,IF(COUNTIF(Saintjean,D173)=1,listes!$Q$1,IF(COUNTIF(horsvilleurbanne,D173)=1,listes!$R$1,"")))))))))</f>
        <v/>
      </c>
      <c r="M173" s="21" t="str">
        <f t="shared" si="2"/>
        <v/>
      </c>
      <c r="N173" s="186" t="str">
        <f>T_sept_dec[[#This Row],[Etablissement accueillant]]&amp;"-"&amp;T_sept_dec[[#This Row],[Enseignant référent (Nom Prénom)]]</f>
        <v>-</v>
      </c>
      <c r="O173" s="21">
        <f>1/COUNTIF(T_sept_dec[CléEtablissement],T_sept_dec[[#This Row],[CléEtablissement]])</f>
        <v>4.1841004184100415E-3</v>
      </c>
      <c r="P17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3" s="186">
        <f>1/COUNTIF(T_sept_dec[CléRéseau-Rize horsmed],T_sept_dec[[#This Row],[CléRéseau-Rize horsmed]])</f>
        <v>4.1841004184100415E-3</v>
      </c>
      <c r="R173" s="186" t="str">
        <f>IF(COUNTIF(RIZE,T_sept_dec[[#This Row],[Secteur organisateur]]),"Rize_"&amp;T_sept_dec[[#This Row],[Enseignant référent (Nom Prénom)]],"")</f>
        <v/>
      </c>
      <c r="S173" s="186">
        <f>1/COUNTIF(T_sept_dec[CléRize],T_sept_dec[[#This Row],[CléRize]])</f>
        <v>4.048582995951417E-3</v>
      </c>
      <c r="T173" s="186" t="str">
        <f>IF(COUNTIF(Total,T_sept_dec[[#This Row],[Secteur organisateur]]),"Total_"&amp;T_sept_dec[[#This Row],[Enseignant référent (Nom Prénom)]],"")</f>
        <v/>
      </c>
      <c r="U173" s="186">
        <f>1/COUNTIF(T_sept_dec[cléTotal],T_sept_dec[[#This Row],[cléTotal]])</f>
        <v>4.1841004184100415E-3</v>
      </c>
    </row>
    <row r="174" spans="11:21">
      <c r="K174" s="21" t="str">
        <f>IF(COUNTIF(Maternelle,E174)=1,listes!$T$1,IF(COUNTIF(Elémentaire,E174)=1,listes!$U$1,IF(COUNTIF(Collège,E174)=1,listes!$V$1,IF(COUNTIF(Lycée,E174)=1,listes!$W$1,""))))</f>
        <v/>
      </c>
      <c r="L174" s="21" t="str">
        <f>IF(COUNTIF(Perralière,D174)=1,listes!$P$1,IF(COUNTIF(Buers,D174)=1,listes!$J$1,IF(COUNTIF(Charpennes,D174)=1,listes!$K$1,IF(COUNTIF(Cusset,D174)=1,listes!$L$1,IF(COUNTIF(Cyprien,D174)=1,listes!$M$1,IF(COUNTIF(Ferrandière,D174)=1,listes!$N$1,IF(COUNTIF(Gratteciel,D174)=1,listes!$O$1,IF(COUNTIF(Saintjean,D174)=1,listes!$Q$1,IF(COUNTIF(horsvilleurbanne,D174)=1,listes!$R$1,"")))))))))</f>
        <v/>
      </c>
      <c r="M174" s="21" t="str">
        <f t="shared" si="2"/>
        <v/>
      </c>
      <c r="N174" s="186" t="str">
        <f>T_sept_dec[[#This Row],[Etablissement accueillant]]&amp;"-"&amp;T_sept_dec[[#This Row],[Enseignant référent (Nom Prénom)]]</f>
        <v>-</v>
      </c>
      <c r="O174" s="21">
        <f>1/COUNTIF(T_sept_dec[CléEtablissement],T_sept_dec[[#This Row],[CléEtablissement]])</f>
        <v>4.1841004184100415E-3</v>
      </c>
      <c r="P17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4" s="186">
        <f>1/COUNTIF(T_sept_dec[CléRéseau-Rize horsmed],T_sept_dec[[#This Row],[CléRéseau-Rize horsmed]])</f>
        <v>4.1841004184100415E-3</v>
      </c>
      <c r="R174" s="186" t="str">
        <f>IF(COUNTIF(RIZE,T_sept_dec[[#This Row],[Secteur organisateur]]),"Rize_"&amp;T_sept_dec[[#This Row],[Enseignant référent (Nom Prénom)]],"")</f>
        <v/>
      </c>
      <c r="S174" s="186">
        <f>1/COUNTIF(T_sept_dec[CléRize],T_sept_dec[[#This Row],[CléRize]])</f>
        <v>4.048582995951417E-3</v>
      </c>
      <c r="T174" s="186" t="str">
        <f>IF(COUNTIF(Total,T_sept_dec[[#This Row],[Secteur organisateur]]),"Total_"&amp;T_sept_dec[[#This Row],[Enseignant référent (Nom Prénom)]],"")</f>
        <v/>
      </c>
      <c r="U174" s="186">
        <f>1/COUNTIF(T_sept_dec[cléTotal],T_sept_dec[[#This Row],[cléTotal]])</f>
        <v>4.1841004184100415E-3</v>
      </c>
    </row>
    <row r="175" spans="11:21">
      <c r="K175" s="21" t="str">
        <f>IF(COUNTIF(Maternelle,E175)=1,listes!$T$1,IF(COUNTIF(Elémentaire,E175)=1,listes!$U$1,IF(COUNTIF(Collège,E175)=1,listes!$V$1,IF(COUNTIF(Lycée,E175)=1,listes!$W$1,""))))</f>
        <v/>
      </c>
      <c r="L175" s="21" t="str">
        <f>IF(COUNTIF(Perralière,D175)=1,listes!$P$1,IF(COUNTIF(Buers,D175)=1,listes!$J$1,IF(COUNTIF(Charpennes,D175)=1,listes!$K$1,IF(COUNTIF(Cusset,D175)=1,listes!$L$1,IF(COUNTIF(Cyprien,D175)=1,listes!$M$1,IF(COUNTIF(Ferrandière,D175)=1,listes!$N$1,IF(COUNTIF(Gratteciel,D175)=1,listes!$O$1,IF(COUNTIF(Saintjean,D175)=1,listes!$Q$1,IF(COUNTIF(horsvilleurbanne,D175)=1,listes!$R$1,"")))))))))</f>
        <v/>
      </c>
      <c r="M175" s="21" t="str">
        <f t="shared" si="2"/>
        <v/>
      </c>
      <c r="N175" s="186" t="str">
        <f>T_sept_dec[[#This Row],[Etablissement accueillant]]&amp;"-"&amp;T_sept_dec[[#This Row],[Enseignant référent (Nom Prénom)]]</f>
        <v>-</v>
      </c>
      <c r="O175" s="21">
        <f>1/COUNTIF(T_sept_dec[CléEtablissement],T_sept_dec[[#This Row],[CléEtablissement]])</f>
        <v>4.1841004184100415E-3</v>
      </c>
      <c r="P17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5" s="186">
        <f>1/COUNTIF(T_sept_dec[CléRéseau-Rize horsmed],T_sept_dec[[#This Row],[CléRéseau-Rize horsmed]])</f>
        <v>4.1841004184100415E-3</v>
      </c>
      <c r="R175" s="186" t="str">
        <f>IF(COUNTIF(RIZE,T_sept_dec[[#This Row],[Secteur organisateur]]),"Rize_"&amp;T_sept_dec[[#This Row],[Enseignant référent (Nom Prénom)]],"")</f>
        <v/>
      </c>
      <c r="S175" s="186">
        <f>1/COUNTIF(T_sept_dec[CléRize],T_sept_dec[[#This Row],[CléRize]])</f>
        <v>4.048582995951417E-3</v>
      </c>
      <c r="T175" s="186" t="str">
        <f>IF(COUNTIF(Total,T_sept_dec[[#This Row],[Secteur organisateur]]),"Total_"&amp;T_sept_dec[[#This Row],[Enseignant référent (Nom Prénom)]],"")</f>
        <v/>
      </c>
      <c r="U175" s="186">
        <f>1/COUNTIF(T_sept_dec[cléTotal],T_sept_dec[[#This Row],[cléTotal]])</f>
        <v>4.1841004184100415E-3</v>
      </c>
    </row>
    <row r="176" spans="11:21">
      <c r="K176" s="21" t="str">
        <f>IF(COUNTIF(Maternelle,E176)=1,listes!$T$1,IF(COUNTIF(Elémentaire,E176)=1,listes!$U$1,IF(COUNTIF(Collège,E176)=1,listes!$V$1,IF(COUNTIF(Lycée,E176)=1,listes!$W$1,""))))</f>
        <v/>
      </c>
      <c r="L176" s="21" t="str">
        <f>IF(COUNTIF(Perralière,D176)=1,listes!$P$1,IF(COUNTIF(Buers,D176)=1,listes!$J$1,IF(COUNTIF(Charpennes,D176)=1,listes!$K$1,IF(COUNTIF(Cusset,D176)=1,listes!$L$1,IF(COUNTIF(Cyprien,D176)=1,listes!$M$1,IF(COUNTIF(Ferrandière,D176)=1,listes!$N$1,IF(COUNTIF(Gratteciel,D176)=1,listes!$O$1,IF(COUNTIF(Saintjean,D176)=1,listes!$Q$1,IF(COUNTIF(horsvilleurbanne,D176)=1,listes!$R$1,"")))))))))</f>
        <v/>
      </c>
      <c r="M176" s="21" t="str">
        <f t="shared" si="2"/>
        <v/>
      </c>
      <c r="N176" s="186" t="str">
        <f>T_sept_dec[[#This Row],[Etablissement accueillant]]&amp;"-"&amp;T_sept_dec[[#This Row],[Enseignant référent (Nom Prénom)]]</f>
        <v>-</v>
      </c>
      <c r="O176" s="21">
        <f>1/COUNTIF(T_sept_dec[CléEtablissement],T_sept_dec[[#This Row],[CléEtablissement]])</f>
        <v>4.1841004184100415E-3</v>
      </c>
      <c r="P17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6" s="186">
        <f>1/COUNTIF(T_sept_dec[CléRéseau-Rize horsmed],T_sept_dec[[#This Row],[CléRéseau-Rize horsmed]])</f>
        <v>4.1841004184100415E-3</v>
      </c>
      <c r="R176" s="186" t="str">
        <f>IF(COUNTIF(RIZE,T_sept_dec[[#This Row],[Secteur organisateur]]),"Rize_"&amp;T_sept_dec[[#This Row],[Enseignant référent (Nom Prénom)]],"")</f>
        <v/>
      </c>
      <c r="S176" s="186">
        <f>1/COUNTIF(T_sept_dec[CléRize],T_sept_dec[[#This Row],[CléRize]])</f>
        <v>4.048582995951417E-3</v>
      </c>
      <c r="T176" s="186" t="str">
        <f>IF(COUNTIF(Total,T_sept_dec[[#This Row],[Secteur organisateur]]),"Total_"&amp;T_sept_dec[[#This Row],[Enseignant référent (Nom Prénom)]],"")</f>
        <v/>
      </c>
      <c r="U176" s="186">
        <f>1/COUNTIF(T_sept_dec[cléTotal],T_sept_dec[[#This Row],[cléTotal]])</f>
        <v>4.1841004184100415E-3</v>
      </c>
    </row>
    <row r="177" spans="11:21">
      <c r="K177" s="21" t="str">
        <f>IF(COUNTIF(Maternelle,E177)=1,listes!$T$1,IF(COUNTIF(Elémentaire,E177)=1,listes!$U$1,IF(COUNTIF(Collège,E177)=1,listes!$V$1,IF(COUNTIF(Lycée,E177)=1,listes!$W$1,""))))</f>
        <v/>
      </c>
      <c r="L177" s="21" t="str">
        <f>IF(COUNTIF(Perralière,D177)=1,listes!$P$1,IF(COUNTIF(Buers,D177)=1,listes!$J$1,IF(COUNTIF(Charpennes,D177)=1,listes!$K$1,IF(COUNTIF(Cusset,D177)=1,listes!$L$1,IF(COUNTIF(Cyprien,D177)=1,listes!$M$1,IF(COUNTIF(Ferrandière,D177)=1,listes!$N$1,IF(COUNTIF(Gratteciel,D177)=1,listes!$O$1,IF(COUNTIF(Saintjean,D177)=1,listes!$Q$1,IF(COUNTIF(horsvilleurbanne,D177)=1,listes!$R$1,"")))))))))</f>
        <v/>
      </c>
      <c r="M177" s="21" t="str">
        <f t="shared" si="2"/>
        <v/>
      </c>
      <c r="N177" s="186" t="str">
        <f>T_sept_dec[[#This Row],[Etablissement accueillant]]&amp;"-"&amp;T_sept_dec[[#This Row],[Enseignant référent (Nom Prénom)]]</f>
        <v>-</v>
      </c>
      <c r="O177" s="21">
        <f>1/COUNTIF(T_sept_dec[CléEtablissement],T_sept_dec[[#This Row],[CléEtablissement]])</f>
        <v>4.1841004184100415E-3</v>
      </c>
      <c r="P17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7" s="186">
        <f>1/COUNTIF(T_sept_dec[CléRéseau-Rize horsmed],T_sept_dec[[#This Row],[CléRéseau-Rize horsmed]])</f>
        <v>4.1841004184100415E-3</v>
      </c>
      <c r="R177" s="186" t="str">
        <f>IF(COUNTIF(RIZE,T_sept_dec[[#This Row],[Secteur organisateur]]),"Rize_"&amp;T_sept_dec[[#This Row],[Enseignant référent (Nom Prénom)]],"")</f>
        <v/>
      </c>
      <c r="S177" s="186">
        <f>1/COUNTIF(T_sept_dec[CléRize],T_sept_dec[[#This Row],[CléRize]])</f>
        <v>4.048582995951417E-3</v>
      </c>
      <c r="T177" s="186" t="str">
        <f>IF(COUNTIF(Total,T_sept_dec[[#This Row],[Secteur organisateur]]),"Total_"&amp;T_sept_dec[[#This Row],[Enseignant référent (Nom Prénom)]],"")</f>
        <v/>
      </c>
      <c r="U177" s="186">
        <f>1/COUNTIF(T_sept_dec[cléTotal],T_sept_dec[[#This Row],[cléTotal]])</f>
        <v>4.1841004184100415E-3</v>
      </c>
    </row>
    <row r="178" spans="11:21">
      <c r="K178" s="21" t="str">
        <f>IF(COUNTIF(Maternelle,E178)=1,listes!$T$1,IF(COUNTIF(Elémentaire,E178)=1,listes!$U$1,IF(COUNTIF(Collège,E178)=1,listes!$V$1,IF(COUNTIF(Lycée,E178)=1,listes!$W$1,""))))</f>
        <v/>
      </c>
      <c r="L178" s="21" t="str">
        <f>IF(COUNTIF(Perralière,D178)=1,listes!$P$1,IF(COUNTIF(Buers,D178)=1,listes!$J$1,IF(COUNTIF(Charpennes,D178)=1,listes!$K$1,IF(COUNTIF(Cusset,D178)=1,listes!$L$1,IF(COUNTIF(Cyprien,D178)=1,listes!$M$1,IF(COUNTIF(Ferrandière,D178)=1,listes!$N$1,IF(COUNTIF(Gratteciel,D178)=1,listes!$O$1,IF(COUNTIF(Saintjean,D178)=1,listes!$Q$1,IF(COUNTIF(horsvilleurbanne,D178)=1,listes!$R$1,"")))))))))</f>
        <v/>
      </c>
      <c r="M178" s="21" t="str">
        <f t="shared" si="2"/>
        <v/>
      </c>
      <c r="N178" s="186" t="str">
        <f>T_sept_dec[[#This Row],[Etablissement accueillant]]&amp;"-"&amp;T_sept_dec[[#This Row],[Enseignant référent (Nom Prénom)]]</f>
        <v>-</v>
      </c>
      <c r="O178" s="21">
        <f>1/COUNTIF(T_sept_dec[CléEtablissement],T_sept_dec[[#This Row],[CléEtablissement]])</f>
        <v>4.1841004184100415E-3</v>
      </c>
      <c r="P17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8" s="186">
        <f>1/COUNTIF(T_sept_dec[CléRéseau-Rize horsmed],T_sept_dec[[#This Row],[CléRéseau-Rize horsmed]])</f>
        <v>4.1841004184100415E-3</v>
      </c>
      <c r="R178" s="186" t="str">
        <f>IF(COUNTIF(RIZE,T_sept_dec[[#This Row],[Secteur organisateur]]),"Rize_"&amp;T_sept_dec[[#This Row],[Enseignant référent (Nom Prénom)]],"")</f>
        <v/>
      </c>
      <c r="S178" s="186">
        <f>1/COUNTIF(T_sept_dec[CléRize],T_sept_dec[[#This Row],[CléRize]])</f>
        <v>4.048582995951417E-3</v>
      </c>
      <c r="T178" s="186" t="str">
        <f>IF(COUNTIF(Total,T_sept_dec[[#This Row],[Secteur organisateur]]),"Total_"&amp;T_sept_dec[[#This Row],[Enseignant référent (Nom Prénom)]],"")</f>
        <v/>
      </c>
      <c r="U178" s="186">
        <f>1/COUNTIF(T_sept_dec[cléTotal],T_sept_dec[[#This Row],[cléTotal]])</f>
        <v>4.1841004184100415E-3</v>
      </c>
    </row>
    <row r="179" spans="11:21">
      <c r="K179" s="21" t="str">
        <f>IF(COUNTIF(Maternelle,E179)=1,listes!$T$1,IF(COUNTIF(Elémentaire,E179)=1,listes!$U$1,IF(COUNTIF(Collège,E179)=1,listes!$V$1,IF(COUNTIF(Lycée,E179)=1,listes!$W$1,""))))</f>
        <v/>
      </c>
      <c r="L179" s="21" t="str">
        <f>IF(COUNTIF(Perralière,D179)=1,listes!$P$1,IF(COUNTIF(Buers,D179)=1,listes!$J$1,IF(COUNTIF(Charpennes,D179)=1,listes!$K$1,IF(COUNTIF(Cusset,D179)=1,listes!$L$1,IF(COUNTIF(Cyprien,D179)=1,listes!$M$1,IF(COUNTIF(Ferrandière,D179)=1,listes!$N$1,IF(COUNTIF(Gratteciel,D179)=1,listes!$O$1,IF(COUNTIF(Saintjean,D179)=1,listes!$Q$1,IF(COUNTIF(horsvilleurbanne,D179)=1,listes!$R$1,"")))))))))</f>
        <v/>
      </c>
      <c r="M179" s="21" t="str">
        <f t="shared" si="2"/>
        <v/>
      </c>
      <c r="N179" s="186" t="str">
        <f>T_sept_dec[[#This Row],[Etablissement accueillant]]&amp;"-"&amp;T_sept_dec[[#This Row],[Enseignant référent (Nom Prénom)]]</f>
        <v>-</v>
      </c>
      <c r="O179" s="21">
        <f>1/COUNTIF(T_sept_dec[CléEtablissement],T_sept_dec[[#This Row],[CléEtablissement]])</f>
        <v>4.1841004184100415E-3</v>
      </c>
      <c r="P17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79" s="186">
        <f>1/COUNTIF(T_sept_dec[CléRéseau-Rize horsmed],T_sept_dec[[#This Row],[CléRéseau-Rize horsmed]])</f>
        <v>4.1841004184100415E-3</v>
      </c>
      <c r="R179" s="186" t="str">
        <f>IF(COUNTIF(RIZE,T_sept_dec[[#This Row],[Secteur organisateur]]),"Rize_"&amp;T_sept_dec[[#This Row],[Enseignant référent (Nom Prénom)]],"")</f>
        <v/>
      </c>
      <c r="S179" s="186">
        <f>1/COUNTIF(T_sept_dec[CléRize],T_sept_dec[[#This Row],[CléRize]])</f>
        <v>4.048582995951417E-3</v>
      </c>
      <c r="T179" s="186" t="str">
        <f>IF(COUNTIF(Total,T_sept_dec[[#This Row],[Secteur organisateur]]),"Total_"&amp;T_sept_dec[[#This Row],[Enseignant référent (Nom Prénom)]],"")</f>
        <v/>
      </c>
      <c r="U179" s="186">
        <f>1/COUNTIF(T_sept_dec[cléTotal],T_sept_dec[[#This Row],[cléTotal]])</f>
        <v>4.1841004184100415E-3</v>
      </c>
    </row>
    <row r="180" spans="11:21">
      <c r="K180" s="21" t="str">
        <f>IF(COUNTIF(Maternelle,E180)=1,listes!$T$1,IF(COUNTIF(Elémentaire,E180)=1,listes!$U$1,IF(COUNTIF(Collège,E180)=1,listes!$V$1,IF(COUNTIF(Lycée,E180)=1,listes!$W$1,""))))</f>
        <v/>
      </c>
      <c r="L180" s="21" t="str">
        <f>IF(COUNTIF(Perralière,D180)=1,listes!$P$1,IF(COUNTIF(Buers,D180)=1,listes!$J$1,IF(COUNTIF(Charpennes,D180)=1,listes!$K$1,IF(COUNTIF(Cusset,D180)=1,listes!$L$1,IF(COUNTIF(Cyprien,D180)=1,listes!$M$1,IF(COUNTIF(Ferrandière,D180)=1,listes!$N$1,IF(COUNTIF(Gratteciel,D180)=1,listes!$O$1,IF(COUNTIF(Saintjean,D180)=1,listes!$Q$1,IF(COUNTIF(horsvilleurbanne,D180)=1,listes!$R$1,"")))))))))</f>
        <v/>
      </c>
      <c r="M180" s="21" t="str">
        <f t="shared" si="2"/>
        <v/>
      </c>
      <c r="N180" s="186" t="str">
        <f>T_sept_dec[[#This Row],[Etablissement accueillant]]&amp;"-"&amp;T_sept_dec[[#This Row],[Enseignant référent (Nom Prénom)]]</f>
        <v>-</v>
      </c>
      <c r="O180" s="21">
        <f>1/COUNTIF(T_sept_dec[CléEtablissement],T_sept_dec[[#This Row],[CléEtablissement]])</f>
        <v>4.1841004184100415E-3</v>
      </c>
      <c r="P18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0" s="186">
        <f>1/COUNTIF(T_sept_dec[CléRéseau-Rize horsmed],T_sept_dec[[#This Row],[CléRéseau-Rize horsmed]])</f>
        <v>4.1841004184100415E-3</v>
      </c>
      <c r="R180" s="186" t="str">
        <f>IF(COUNTIF(RIZE,T_sept_dec[[#This Row],[Secteur organisateur]]),"Rize_"&amp;T_sept_dec[[#This Row],[Enseignant référent (Nom Prénom)]],"")</f>
        <v/>
      </c>
      <c r="S180" s="186">
        <f>1/COUNTIF(T_sept_dec[CléRize],T_sept_dec[[#This Row],[CléRize]])</f>
        <v>4.048582995951417E-3</v>
      </c>
      <c r="T180" s="186" t="str">
        <f>IF(COUNTIF(Total,T_sept_dec[[#This Row],[Secteur organisateur]]),"Total_"&amp;T_sept_dec[[#This Row],[Enseignant référent (Nom Prénom)]],"")</f>
        <v/>
      </c>
      <c r="U180" s="186">
        <f>1/COUNTIF(T_sept_dec[cléTotal],T_sept_dec[[#This Row],[cléTotal]])</f>
        <v>4.1841004184100415E-3</v>
      </c>
    </row>
    <row r="181" spans="11:21">
      <c r="K181" s="21" t="str">
        <f>IF(COUNTIF(Maternelle,E181)=1,listes!$T$1,IF(COUNTIF(Elémentaire,E181)=1,listes!$U$1,IF(COUNTIF(Collège,E181)=1,listes!$V$1,IF(COUNTIF(Lycée,E181)=1,listes!$W$1,""))))</f>
        <v/>
      </c>
      <c r="L181" s="21" t="str">
        <f>IF(COUNTIF(Perralière,D181)=1,listes!$P$1,IF(COUNTIF(Buers,D181)=1,listes!$J$1,IF(COUNTIF(Charpennes,D181)=1,listes!$K$1,IF(COUNTIF(Cusset,D181)=1,listes!$L$1,IF(COUNTIF(Cyprien,D181)=1,listes!$M$1,IF(COUNTIF(Ferrandière,D181)=1,listes!$N$1,IF(COUNTIF(Gratteciel,D181)=1,listes!$O$1,IF(COUNTIF(Saintjean,D181)=1,listes!$Q$1,IF(COUNTIF(horsvilleurbanne,D181)=1,listes!$R$1,"")))))))))</f>
        <v/>
      </c>
      <c r="M181" s="21" t="str">
        <f t="shared" si="2"/>
        <v/>
      </c>
      <c r="N181" s="186" t="str">
        <f>T_sept_dec[[#This Row],[Etablissement accueillant]]&amp;"-"&amp;T_sept_dec[[#This Row],[Enseignant référent (Nom Prénom)]]</f>
        <v>-</v>
      </c>
      <c r="O181" s="21">
        <f>1/COUNTIF(T_sept_dec[CléEtablissement],T_sept_dec[[#This Row],[CléEtablissement]])</f>
        <v>4.1841004184100415E-3</v>
      </c>
      <c r="P18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1" s="186">
        <f>1/COUNTIF(T_sept_dec[CléRéseau-Rize horsmed],T_sept_dec[[#This Row],[CléRéseau-Rize horsmed]])</f>
        <v>4.1841004184100415E-3</v>
      </c>
      <c r="R181" s="186" t="str">
        <f>IF(COUNTIF(RIZE,T_sept_dec[[#This Row],[Secteur organisateur]]),"Rize_"&amp;T_sept_dec[[#This Row],[Enseignant référent (Nom Prénom)]],"")</f>
        <v/>
      </c>
      <c r="S181" s="186">
        <f>1/COUNTIF(T_sept_dec[CléRize],T_sept_dec[[#This Row],[CléRize]])</f>
        <v>4.048582995951417E-3</v>
      </c>
      <c r="T181" s="186" t="str">
        <f>IF(COUNTIF(Total,T_sept_dec[[#This Row],[Secteur organisateur]]),"Total_"&amp;T_sept_dec[[#This Row],[Enseignant référent (Nom Prénom)]],"")</f>
        <v/>
      </c>
      <c r="U181" s="186">
        <f>1/COUNTIF(T_sept_dec[cléTotal],T_sept_dec[[#This Row],[cléTotal]])</f>
        <v>4.1841004184100415E-3</v>
      </c>
    </row>
    <row r="182" spans="11:21">
      <c r="K182" s="21" t="str">
        <f>IF(COUNTIF(Maternelle,E182)=1,listes!$T$1,IF(COUNTIF(Elémentaire,E182)=1,listes!$U$1,IF(COUNTIF(Collège,E182)=1,listes!$V$1,IF(COUNTIF(Lycée,E182)=1,listes!$W$1,""))))</f>
        <v/>
      </c>
      <c r="L182" s="21" t="str">
        <f>IF(COUNTIF(Perralière,D182)=1,listes!$P$1,IF(COUNTIF(Buers,D182)=1,listes!$J$1,IF(COUNTIF(Charpennes,D182)=1,listes!$K$1,IF(COUNTIF(Cusset,D182)=1,listes!$L$1,IF(COUNTIF(Cyprien,D182)=1,listes!$M$1,IF(COUNTIF(Ferrandière,D182)=1,listes!$N$1,IF(COUNTIF(Gratteciel,D182)=1,listes!$O$1,IF(COUNTIF(Saintjean,D182)=1,listes!$Q$1,IF(COUNTIF(horsvilleurbanne,D182)=1,listes!$R$1,"")))))))))</f>
        <v/>
      </c>
      <c r="M182" s="21" t="str">
        <f t="shared" si="2"/>
        <v/>
      </c>
      <c r="N182" s="186" t="str">
        <f>T_sept_dec[[#This Row],[Etablissement accueillant]]&amp;"-"&amp;T_sept_dec[[#This Row],[Enseignant référent (Nom Prénom)]]</f>
        <v>-</v>
      </c>
      <c r="O182" s="21">
        <f>1/COUNTIF(T_sept_dec[CléEtablissement],T_sept_dec[[#This Row],[CléEtablissement]])</f>
        <v>4.1841004184100415E-3</v>
      </c>
      <c r="P18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2" s="186">
        <f>1/COUNTIF(T_sept_dec[CléRéseau-Rize horsmed],T_sept_dec[[#This Row],[CléRéseau-Rize horsmed]])</f>
        <v>4.1841004184100415E-3</v>
      </c>
      <c r="R182" s="186" t="str">
        <f>IF(COUNTIF(RIZE,T_sept_dec[[#This Row],[Secteur organisateur]]),"Rize_"&amp;T_sept_dec[[#This Row],[Enseignant référent (Nom Prénom)]],"")</f>
        <v/>
      </c>
      <c r="S182" s="186">
        <f>1/COUNTIF(T_sept_dec[CléRize],T_sept_dec[[#This Row],[CléRize]])</f>
        <v>4.048582995951417E-3</v>
      </c>
      <c r="T182" s="186" t="str">
        <f>IF(COUNTIF(Total,T_sept_dec[[#This Row],[Secteur organisateur]]),"Total_"&amp;T_sept_dec[[#This Row],[Enseignant référent (Nom Prénom)]],"")</f>
        <v/>
      </c>
      <c r="U182" s="186">
        <f>1/COUNTIF(T_sept_dec[cléTotal],T_sept_dec[[#This Row],[cléTotal]])</f>
        <v>4.1841004184100415E-3</v>
      </c>
    </row>
    <row r="183" spans="11:21">
      <c r="K183" s="21" t="str">
        <f>IF(COUNTIF(Maternelle,E183)=1,listes!$T$1,IF(COUNTIF(Elémentaire,E183)=1,listes!$U$1,IF(COUNTIF(Collège,E183)=1,listes!$V$1,IF(COUNTIF(Lycée,E183)=1,listes!$W$1,""))))</f>
        <v/>
      </c>
      <c r="L183" s="21" t="str">
        <f>IF(COUNTIF(Perralière,D183)=1,listes!$P$1,IF(COUNTIF(Buers,D183)=1,listes!$J$1,IF(COUNTIF(Charpennes,D183)=1,listes!$K$1,IF(COUNTIF(Cusset,D183)=1,listes!$L$1,IF(COUNTIF(Cyprien,D183)=1,listes!$M$1,IF(COUNTIF(Ferrandière,D183)=1,listes!$N$1,IF(COUNTIF(Gratteciel,D183)=1,listes!$O$1,IF(COUNTIF(Saintjean,D183)=1,listes!$Q$1,IF(COUNTIF(horsvilleurbanne,D183)=1,listes!$R$1,"")))))))))</f>
        <v/>
      </c>
      <c r="M183" s="21" t="str">
        <f t="shared" si="2"/>
        <v/>
      </c>
      <c r="N183" s="186" t="str">
        <f>T_sept_dec[[#This Row],[Etablissement accueillant]]&amp;"-"&amp;T_sept_dec[[#This Row],[Enseignant référent (Nom Prénom)]]</f>
        <v>-</v>
      </c>
      <c r="O183" s="21">
        <f>1/COUNTIF(T_sept_dec[CléEtablissement],T_sept_dec[[#This Row],[CléEtablissement]])</f>
        <v>4.1841004184100415E-3</v>
      </c>
      <c r="P18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3" s="186">
        <f>1/COUNTIF(T_sept_dec[CléRéseau-Rize horsmed],T_sept_dec[[#This Row],[CléRéseau-Rize horsmed]])</f>
        <v>4.1841004184100415E-3</v>
      </c>
      <c r="R183" s="186" t="str">
        <f>IF(COUNTIF(RIZE,T_sept_dec[[#This Row],[Secteur organisateur]]),"Rize_"&amp;T_sept_dec[[#This Row],[Enseignant référent (Nom Prénom)]],"")</f>
        <v/>
      </c>
      <c r="S183" s="186">
        <f>1/COUNTIF(T_sept_dec[CléRize],T_sept_dec[[#This Row],[CléRize]])</f>
        <v>4.048582995951417E-3</v>
      </c>
      <c r="T183" s="186" t="str">
        <f>IF(COUNTIF(Total,T_sept_dec[[#This Row],[Secteur organisateur]]),"Total_"&amp;T_sept_dec[[#This Row],[Enseignant référent (Nom Prénom)]],"")</f>
        <v/>
      </c>
      <c r="U183" s="186">
        <f>1/COUNTIF(T_sept_dec[cléTotal],T_sept_dec[[#This Row],[cléTotal]])</f>
        <v>4.1841004184100415E-3</v>
      </c>
    </row>
    <row r="184" spans="11:21">
      <c r="K184" s="21" t="str">
        <f>IF(COUNTIF(Maternelle,E184)=1,listes!$T$1,IF(COUNTIF(Elémentaire,E184)=1,listes!$U$1,IF(COUNTIF(Collège,E184)=1,listes!$V$1,IF(COUNTIF(Lycée,E184)=1,listes!$W$1,""))))</f>
        <v/>
      </c>
      <c r="L184" s="21" t="str">
        <f>IF(COUNTIF(Perralière,D184)=1,listes!$P$1,IF(COUNTIF(Buers,D184)=1,listes!$J$1,IF(COUNTIF(Charpennes,D184)=1,listes!$K$1,IF(COUNTIF(Cusset,D184)=1,listes!$L$1,IF(COUNTIF(Cyprien,D184)=1,listes!$M$1,IF(COUNTIF(Ferrandière,D184)=1,listes!$N$1,IF(COUNTIF(Gratteciel,D184)=1,listes!$O$1,IF(COUNTIF(Saintjean,D184)=1,listes!$Q$1,IF(COUNTIF(horsvilleurbanne,D184)=1,listes!$R$1,"")))))))))</f>
        <v/>
      </c>
      <c r="M184" s="21" t="str">
        <f t="shared" si="2"/>
        <v/>
      </c>
      <c r="N184" s="186" t="str">
        <f>T_sept_dec[[#This Row],[Etablissement accueillant]]&amp;"-"&amp;T_sept_dec[[#This Row],[Enseignant référent (Nom Prénom)]]</f>
        <v>-</v>
      </c>
      <c r="O184" s="21">
        <f>1/COUNTIF(T_sept_dec[CléEtablissement],T_sept_dec[[#This Row],[CléEtablissement]])</f>
        <v>4.1841004184100415E-3</v>
      </c>
      <c r="P18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4" s="186">
        <f>1/COUNTIF(T_sept_dec[CléRéseau-Rize horsmed],T_sept_dec[[#This Row],[CléRéseau-Rize horsmed]])</f>
        <v>4.1841004184100415E-3</v>
      </c>
      <c r="R184" s="186" t="str">
        <f>IF(COUNTIF(RIZE,T_sept_dec[[#This Row],[Secteur organisateur]]),"Rize_"&amp;T_sept_dec[[#This Row],[Enseignant référent (Nom Prénom)]],"")</f>
        <v/>
      </c>
      <c r="S184" s="186">
        <f>1/COUNTIF(T_sept_dec[CléRize],T_sept_dec[[#This Row],[CléRize]])</f>
        <v>4.048582995951417E-3</v>
      </c>
      <c r="T184" s="186" t="str">
        <f>IF(COUNTIF(Total,T_sept_dec[[#This Row],[Secteur organisateur]]),"Total_"&amp;T_sept_dec[[#This Row],[Enseignant référent (Nom Prénom)]],"")</f>
        <v/>
      </c>
      <c r="U184" s="186">
        <f>1/COUNTIF(T_sept_dec[cléTotal],T_sept_dec[[#This Row],[cléTotal]])</f>
        <v>4.1841004184100415E-3</v>
      </c>
    </row>
    <row r="185" spans="11:21">
      <c r="K185" s="21" t="str">
        <f>IF(COUNTIF(Maternelle,E185)=1,listes!$T$1,IF(COUNTIF(Elémentaire,E185)=1,listes!$U$1,IF(COUNTIF(Collège,E185)=1,listes!$V$1,IF(COUNTIF(Lycée,E185)=1,listes!$W$1,""))))</f>
        <v/>
      </c>
      <c r="L185" s="21" t="str">
        <f>IF(COUNTIF(Perralière,D185)=1,listes!$P$1,IF(COUNTIF(Buers,D185)=1,listes!$J$1,IF(COUNTIF(Charpennes,D185)=1,listes!$K$1,IF(COUNTIF(Cusset,D185)=1,listes!$L$1,IF(COUNTIF(Cyprien,D185)=1,listes!$M$1,IF(COUNTIF(Ferrandière,D185)=1,listes!$N$1,IF(COUNTIF(Gratteciel,D185)=1,listes!$O$1,IF(COUNTIF(Saintjean,D185)=1,listes!$Q$1,IF(COUNTIF(horsvilleurbanne,D185)=1,listes!$R$1,"")))))))))</f>
        <v/>
      </c>
      <c r="M185" s="21" t="str">
        <f t="shared" si="2"/>
        <v/>
      </c>
      <c r="N185" s="186" t="str">
        <f>T_sept_dec[[#This Row],[Etablissement accueillant]]&amp;"-"&amp;T_sept_dec[[#This Row],[Enseignant référent (Nom Prénom)]]</f>
        <v>-</v>
      </c>
      <c r="O185" s="21">
        <f>1/COUNTIF(T_sept_dec[CléEtablissement],T_sept_dec[[#This Row],[CléEtablissement]])</f>
        <v>4.1841004184100415E-3</v>
      </c>
      <c r="P18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5" s="186">
        <f>1/COUNTIF(T_sept_dec[CléRéseau-Rize horsmed],T_sept_dec[[#This Row],[CléRéseau-Rize horsmed]])</f>
        <v>4.1841004184100415E-3</v>
      </c>
      <c r="R185" s="186" t="str">
        <f>IF(COUNTIF(RIZE,T_sept_dec[[#This Row],[Secteur organisateur]]),"Rize_"&amp;T_sept_dec[[#This Row],[Enseignant référent (Nom Prénom)]],"")</f>
        <v/>
      </c>
      <c r="S185" s="186">
        <f>1/COUNTIF(T_sept_dec[CléRize],T_sept_dec[[#This Row],[CléRize]])</f>
        <v>4.048582995951417E-3</v>
      </c>
      <c r="T185" s="186" t="str">
        <f>IF(COUNTIF(Total,T_sept_dec[[#This Row],[Secteur organisateur]]),"Total_"&amp;T_sept_dec[[#This Row],[Enseignant référent (Nom Prénom)]],"")</f>
        <v/>
      </c>
      <c r="U185" s="186">
        <f>1/COUNTIF(T_sept_dec[cléTotal],T_sept_dec[[#This Row],[cléTotal]])</f>
        <v>4.1841004184100415E-3</v>
      </c>
    </row>
    <row r="186" spans="11:21">
      <c r="K186" s="21" t="str">
        <f>IF(COUNTIF(Maternelle,E186)=1,listes!$T$1,IF(COUNTIF(Elémentaire,E186)=1,listes!$U$1,IF(COUNTIF(Collège,E186)=1,listes!$V$1,IF(COUNTIF(Lycée,E186)=1,listes!$W$1,""))))</f>
        <v/>
      </c>
      <c r="L186" s="21" t="str">
        <f>IF(COUNTIF(Perralière,D186)=1,listes!$P$1,IF(COUNTIF(Buers,D186)=1,listes!$J$1,IF(COUNTIF(Charpennes,D186)=1,listes!$K$1,IF(COUNTIF(Cusset,D186)=1,listes!$L$1,IF(COUNTIF(Cyprien,D186)=1,listes!$M$1,IF(COUNTIF(Ferrandière,D186)=1,listes!$N$1,IF(COUNTIF(Gratteciel,D186)=1,listes!$O$1,IF(COUNTIF(Saintjean,D186)=1,listes!$Q$1,IF(COUNTIF(horsvilleurbanne,D186)=1,listes!$R$1,"")))))))))</f>
        <v/>
      </c>
      <c r="M186" s="21" t="str">
        <f t="shared" si="2"/>
        <v/>
      </c>
      <c r="N186" s="186" t="str">
        <f>T_sept_dec[[#This Row],[Etablissement accueillant]]&amp;"-"&amp;T_sept_dec[[#This Row],[Enseignant référent (Nom Prénom)]]</f>
        <v>-</v>
      </c>
      <c r="O186" s="21">
        <f>1/COUNTIF(T_sept_dec[CléEtablissement],T_sept_dec[[#This Row],[CléEtablissement]])</f>
        <v>4.1841004184100415E-3</v>
      </c>
      <c r="P18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6" s="186">
        <f>1/COUNTIF(T_sept_dec[CléRéseau-Rize horsmed],T_sept_dec[[#This Row],[CléRéseau-Rize horsmed]])</f>
        <v>4.1841004184100415E-3</v>
      </c>
      <c r="R186" s="186" t="str">
        <f>IF(COUNTIF(RIZE,T_sept_dec[[#This Row],[Secteur organisateur]]),"Rize_"&amp;T_sept_dec[[#This Row],[Enseignant référent (Nom Prénom)]],"")</f>
        <v/>
      </c>
      <c r="S186" s="186">
        <f>1/COUNTIF(T_sept_dec[CléRize],T_sept_dec[[#This Row],[CléRize]])</f>
        <v>4.048582995951417E-3</v>
      </c>
      <c r="T186" s="186" t="str">
        <f>IF(COUNTIF(Total,T_sept_dec[[#This Row],[Secteur organisateur]]),"Total_"&amp;T_sept_dec[[#This Row],[Enseignant référent (Nom Prénom)]],"")</f>
        <v/>
      </c>
      <c r="U186" s="186">
        <f>1/COUNTIF(T_sept_dec[cléTotal],T_sept_dec[[#This Row],[cléTotal]])</f>
        <v>4.1841004184100415E-3</v>
      </c>
    </row>
    <row r="187" spans="11:21">
      <c r="K187" s="21" t="str">
        <f>IF(COUNTIF(Maternelle,E187)=1,listes!$T$1,IF(COUNTIF(Elémentaire,E187)=1,listes!$U$1,IF(COUNTIF(Collège,E187)=1,listes!$V$1,IF(COUNTIF(Lycée,E187)=1,listes!$W$1,""))))</f>
        <v/>
      </c>
      <c r="L187" s="21" t="str">
        <f>IF(COUNTIF(Perralière,D187)=1,listes!$P$1,IF(COUNTIF(Buers,D187)=1,listes!$J$1,IF(COUNTIF(Charpennes,D187)=1,listes!$K$1,IF(COUNTIF(Cusset,D187)=1,listes!$L$1,IF(COUNTIF(Cyprien,D187)=1,listes!$M$1,IF(COUNTIF(Ferrandière,D187)=1,listes!$N$1,IF(COUNTIF(Gratteciel,D187)=1,listes!$O$1,IF(COUNTIF(Saintjean,D187)=1,listes!$Q$1,IF(COUNTIF(horsvilleurbanne,D187)=1,listes!$R$1,"")))))))))</f>
        <v/>
      </c>
      <c r="M187" s="21" t="str">
        <f t="shared" si="2"/>
        <v/>
      </c>
      <c r="N187" s="186" t="str">
        <f>T_sept_dec[[#This Row],[Etablissement accueillant]]&amp;"-"&amp;T_sept_dec[[#This Row],[Enseignant référent (Nom Prénom)]]</f>
        <v>-</v>
      </c>
      <c r="O187" s="21">
        <f>1/COUNTIF(T_sept_dec[CléEtablissement],T_sept_dec[[#This Row],[CléEtablissement]])</f>
        <v>4.1841004184100415E-3</v>
      </c>
      <c r="P18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7" s="186">
        <f>1/COUNTIF(T_sept_dec[CléRéseau-Rize horsmed],T_sept_dec[[#This Row],[CléRéseau-Rize horsmed]])</f>
        <v>4.1841004184100415E-3</v>
      </c>
      <c r="R187" s="186" t="str">
        <f>IF(COUNTIF(RIZE,T_sept_dec[[#This Row],[Secteur organisateur]]),"Rize_"&amp;T_sept_dec[[#This Row],[Enseignant référent (Nom Prénom)]],"")</f>
        <v/>
      </c>
      <c r="S187" s="186">
        <f>1/COUNTIF(T_sept_dec[CléRize],T_sept_dec[[#This Row],[CléRize]])</f>
        <v>4.048582995951417E-3</v>
      </c>
      <c r="T187" s="186" t="str">
        <f>IF(COUNTIF(Total,T_sept_dec[[#This Row],[Secteur organisateur]]),"Total_"&amp;T_sept_dec[[#This Row],[Enseignant référent (Nom Prénom)]],"")</f>
        <v/>
      </c>
      <c r="U187" s="186">
        <f>1/COUNTIF(T_sept_dec[cléTotal],T_sept_dec[[#This Row],[cléTotal]])</f>
        <v>4.1841004184100415E-3</v>
      </c>
    </row>
    <row r="188" spans="11:21">
      <c r="K188" s="21" t="str">
        <f>IF(COUNTIF(Maternelle,E188)=1,listes!$T$1,IF(COUNTIF(Elémentaire,E188)=1,listes!$U$1,IF(COUNTIF(Collège,E188)=1,listes!$V$1,IF(COUNTIF(Lycée,E188)=1,listes!$W$1,""))))</f>
        <v/>
      </c>
      <c r="L188" s="21" t="str">
        <f>IF(COUNTIF(Perralière,D188)=1,listes!$P$1,IF(COUNTIF(Buers,D188)=1,listes!$J$1,IF(COUNTIF(Charpennes,D188)=1,listes!$K$1,IF(COUNTIF(Cusset,D188)=1,listes!$L$1,IF(COUNTIF(Cyprien,D188)=1,listes!$M$1,IF(COUNTIF(Ferrandière,D188)=1,listes!$N$1,IF(COUNTIF(Gratteciel,D188)=1,listes!$O$1,IF(COUNTIF(Saintjean,D188)=1,listes!$Q$1,IF(COUNTIF(horsvilleurbanne,D188)=1,listes!$R$1,"")))))))))</f>
        <v/>
      </c>
      <c r="M188" s="21" t="str">
        <f t="shared" si="2"/>
        <v/>
      </c>
      <c r="N188" s="186" t="str">
        <f>T_sept_dec[[#This Row],[Etablissement accueillant]]&amp;"-"&amp;T_sept_dec[[#This Row],[Enseignant référent (Nom Prénom)]]</f>
        <v>-</v>
      </c>
      <c r="O188" s="21">
        <f>1/COUNTIF(T_sept_dec[CléEtablissement],T_sept_dec[[#This Row],[CléEtablissement]])</f>
        <v>4.1841004184100415E-3</v>
      </c>
      <c r="P18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8" s="186">
        <f>1/COUNTIF(T_sept_dec[CléRéseau-Rize horsmed],T_sept_dec[[#This Row],[CléRéseau-Rize horsmed]])</f>
        <v>4.1841004184100415E-3</v>
      </c>
      <c r="R188" s="186" t="str">
        <f>IF(COUNTIF(RIZE,T_sept_dec[[#This Row],[Secteur organisateur]]),"Rize_"&amp;T_sept_dec[[#This Row],[Enseignant référent (Nom Prénom)]],"")</f>
        <v/>
      </c>
      <c r="S188" s="186">
        <f>1/COUNTIF(T_sept_dec[CléRize],T_sept_dec[[#This Row],[CléRize]])</f>
        <v>4.048582995951417E-3</v>
      </c>
      <c r="T188" s="186" t="str">
        <f>IF(COUNTIF(Total,T_sept_dec[[#This Row],[Secteur organisateur]]),"Total_"&amp;T_sept_dec[[#This Row],[Enseignant référent (Nom Prénom)]],"")</f>
        <v/>
      </c>
      <c r="U188" s="186">
        <f>1/COUNTIF(T_sept_dec[cléTotal],T_sept_dec[[#This Row],[cléTotal]])</f>
        <v>4.1841004184100415E-3</v>
      </c>
    </row>
    <row r="189" spans="11:21">
      <c r="K189" s="21" t="str">
        <f>IF(COUNTIF(Maternelle,E189)=1,listes!$T$1,IF(COUNTIF(Elémentaire,E189)=1,listes!$U$1,IF(COUNTIF(Collège,E189)=1,listes!$V$1,IF(COUNTIF(Lycée,E189)=1,listes!$W$1,""))))</f>
        <v/>
      </c>
      <c r="L189" s="21" t="str">
        <f>IF(COUNTIF(Perralière,D189)=1,listes!$P$1,IF(COUNTIF(Buers,D189)=1,listes!$J$1,IF(COUNTIF(Charpennes,D189)=1,listes!$K$1,IF(COUNTIF(Cusset,D189)=1,listes!$L$1,IF(COUNTIF(Cyprien,D189)=1,listes!$M$1,IF(COUNTIF(Ferrandière,D189)=1,listes!$N$1,IF(COUNTIF(Gratteciel,D189)=1,listes!$O$1,IF(COUNTIF(Saintjean,D189)=1,listes!$Q$1,IF(COUNTIF(horsvilleurbanne,D189)=1,listes!$R$1,"")))))))))</f>
        <v/>
      </c>
      <c r="M189" s="21" t="str">
        <f t="shared" si="2"/>
        <v/>
      </c>
      <c r="N189" s="186" t="str">
        <f>T_sept_dec[[#This Row],[Etablissement accueillant]]&amp;"-"&amp;T_sept_dec[[#This Row],[Enseignant référent (Nom Prénom)]]</f>
        <v>-</v>
      </c>
      <c r="O189" s="21">
        <f>1/COUNTIF(T_sept_dec[CléEtablissement],T_sept_dec[[#This Row],[CléEtablissement]])</f>
        <v>4.1841004184100415E-3</v>
      </c>
      <c r="P18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89" s="186">
        <f>1/COUNTIF(T_sept_dec[CléRéseau-Rize horsmed],T_sept_dec[[#This Row],[CléRéseau-Rize horsmed]])</f>
        <v>4.1841004184100415E-3</v>
      </c>
      <c r="R189" s="186" t="str">
        <f>IF(COUNTIF(RIZE,T_sept_dec[[#This Row],[Secteur organisateur]]),"Rize_"&amp;T_sept_dec[[#This Row],[Enseignant référent (Nom Prénom)]],"")</f>
        <v/>
      </c>
      <c r="S189" s="186">
        <f>1/COUNTIF(T_sept_dec[CléRize],T_sept_dec[[#This Row],[CléRize]])</f>
        <v>4.048582995951417E-3</v>
      </c>
      <c r="T189" s="186" t="str">
        <f>IF(COUNTIF(Total,T_sept_dec[[#This Row],[Secteur organisateur]]),"Total_"&amp;T_sept_dec[[#This Row],[Enseignant référent (Nom Prénom)]],"")</f>
        <v/>
      </c>
      <c r="U189" s="186">
        <f>1/COUNTIF(T_sept_dec[cléTotal],T_sept_dec[[#This Row],[cléTotal]])</f>
        <v>4.1841004184100415E-3</v>
      </c>
    </row>
    <row r="190" spans="11:21">
      <c r="K190" s="21" t="str">
        <f>IF(COUNTIF(Maternelle,E190)=1,listes!$T$1,IF(COUNTIF(Elémentaire,E190)=1,listes!$U$1,IF(COUNTIF(Collège,E190)=1,listes!$V$1,IF(COUNTIF(Lycée,E190)=1,listes!$W$1,""))))</f>
        <v/>
      </c>
      <c r="L190" s="21" t="str">
        <f>IF(COUNTIF(Perralière,D190)=1,listes!$P$1,IF(COUNTIF(Buers,D190)=1,listes!$J$1,IF(COUNTIF(Charpennes,D190)=1,listes!$K$1,IF(COUNTIF(Cusset,D190)=1,listes!$L$1,IF(COUNTIF(Cyprien,D190)=1,listes!$M$1,IF(COUNTIF(Ferrandière,D190)=1,listes!$N$1,IF(COUNTIF(Gratteciel,D190)=1,listes!$O$1,IF(COUNTIF(Saintjean,D190)=1,listes!$Q$1,IF(COUNTIF(horsvilleurbanne,D190)=1,listes!$R$1,"")))))))))</f>
        <v/>
      </c>
      <c r="M190" s="21" t="str">
        <f t="shared" si="2"/>
        <v/>
      </c>
      <c r="N190" s="186" t="str">
        <f>T_sept_dec[[#This Row],[Etablissement accueillant]]&amp;"-"&amp;T_sept_dec[[#This Row],[Enseignant référent (Nom Prénom)]]</f>
        <v>-</v>
      </c>
      <c r="O190" s="21">
        <f>1/COUNTIF(T_sept_dec[CléEtablissement],T_sept_dec[[#This Row],[CléEtablissement]])</f>
        <v>4.1841004184100415E-3</v>
      </c>
      <c r="P19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0" s="186">
        <f>1/COUNTIF(T_sept_dec[CléRéseau-Rize horsmed],T_sept_dec[[#This Row],[CléRéseau-Rize horsmed]])</f>
        <v>4.1841004184100415E-3</v>
      </c>
      <c r="R190" s="186" t="str">
        <f>IF(COUNTIF(RIZE,T_sept_dec[[#This Row],[Secteur organisateur]]),"Rize_"&amp;T_sept_dec[[#This Row],[Enseignant référent (Nom Prénom)]],"")</f>
        <v/>
      </c>
      <c r="S190" s="186">
        <f>1/COUNTIF(T_sept_dec[CléRize],T_sept_dec[[#This Row],[CléRize]])</f>
        <v>4.048582995951417E-3</v>
      </c>
      <c r="T190" s="186" t="str">
        <f>IF(COUNTIF(Total,T_sept_dec[[#This Row],[Secteur organisateur]]),"Total_"&amp;T_sept_dec[[#This Row],[Enseignant référent (Nom Prénom)]],"")</f>
        <v/>
      </c>
      <c r="U190" s="186">
        <f>1/COUNTIF(T_sept_dec[cléTotal],T_sept_dec[[#This Row],[cléTotal]])</f>
        <v>4.1841004184100415E-3</v>
      </c>
    </row>
    <row r="191" spans="11:21">
      <c r="K191" s="21" t="str">
        <f>IF(COUNTIF(Maternelle,E191)=1,listes!$T$1,IF(COUNTIF(Elémentaire,E191)=1,listes!$U$1,IF(COUNTIF(Collège,E191)=1,listes!$V$1,IF(COUNTIF(Lycée,E191)=1,listes!$W$1,""))))</f>
        <v/>
      </c>
      <c r="L191" s="21" t="str">
        <f>IF(COUNTIF(Perralière,D191)=1,listes!$P$1,IF(COUNTIF(Buers,D191)=1,listes!$J$1,IF(COUNTIF(Charpennes,D191)=1,listes!$K$1,IF(COUNTIF(Cusset,D191)=1,listes!$L$1,IF(COUNTIF(Cyprien,D191)=1,listes!$M$1,IF(COUNTIF(Ferrandière,D191)=1,listes!$N$1,IF(COUNTIF(Gratteciel,D191)=1,listes!$O$1,IF(COUNTIF(Saintjean,D191)=1,listes!$Q$1,IF(COUNTIF(horsvilleurbanne,D191)=1,listes!$R$1,"")))))))))</f>
        <v/>
      </c>
      <c r="M191" s="21" t="str">
        <f t="shared" si="2"/>
        <v/>
      </c>
      <c r="N191" s="186" t="str">
        <f>T_sept_dec[[#This Row],[Etablissement accueillant]]&amp;"-"&amp;T_sept_dec[[#This Row],[Enseignant référent (Nom Prénom)]]</f>
        <v>-</v>
      </c>
      <c r="O191" s="21">
        <f>1/COUNTIF(T_sept_dec[CléEtablissement],T_sept_dec[[#This Row],[CléEtablissement]])</f>
        <v>4.1841004184100415E-3</v>
      </c>
      <c r="P19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1" s="186">
        <f>1/COUNTIF(T_sept_dec[CléRéseau-Rize horsmed],T_sept_dec[[#This Row],[CléRéseau-Rize horsmed]])</f>
        <v>4.1841004184100415E-3</v>
      </c>
      <c r="R191" s="186" t="str">
        <f>IF(COUNTIF(RIZE,T_sept_dec[[#This Row],[Secteur organisateur]]),"Rize_"&amp;T_sept_dec[[#This Row],[Enseignant référent (Nom Prénom)]],"")</f>
        <v/>
      </c>
      <c r="S191" s="186">
        <f>1/COUNTIF(T_sept_dec[CléRize],T_sept_dec[[#This Row],[CléRize]])</f>
        <v>4.048582995951417E-3</v>
      </c>
      <c r="T191" s="186" t="str">
        <f>IF(COUNTIF(Total,T_sept_dec[[#This Row],[Secteur organisateur]]),"Total_"&amp;T_sept_dec[[#This Row],[Enseignant référent (Nom Prénom)]],"")</f>
        <v/>
      </c>
      <c r="U191" s="186">
        <f>1/COUNTIF(T_sept_dec[cléTotal],T_sept_dec[[#This Row],[cléTotal]])</f>
        <v>4.1841004184100415E-3</v>
      </c>
    </row>
    <row r="192" spans="11:21">
      <c r="K192" s="21" t="str">
        <f>IF(COUNTIF(Maternelle,E192)=1,listes!$T$1,IF(COUNTIF(Elémentaire,E192)=1,listes!$U$1,IF(COUNTIF(Collège,E192)=1,listes!$V$1,IF(COUNTIF(Lycée,E192)=1,listes!$W$1,""))))</f>
        <v/>
      </c>
      <c r="L192" s="21" t="str">
        <f>IF(COUNTIF(Perralière,D192)=1,listes!$P$1,IF(COUNTIF(Buers,D192)=1,listes!$J$1,IF(COUNTIF(Charpennes,D192)=1,listes!$K$1,IF(COUNTIF(Cusset,D192)=1,listes!$L$1,IF(COUNTIF(Cyprien,D192)=1,listes!$M$1,IF(COUNTIF(Ferrandière,D192)=1,listes!$N$1,IF(COUNTIF(Gratteciel,D192)=1,listes!$O$1,IF(COUNTIF(Saintjean,D192)=1,listes!$Q$1,IF(COUNTIF(horsvilleurbanne,D192)=1,listes!$R$1,"")))))))))</f>
        <v/>
      </c>
      <c r="M192" s="21" t="str">
        <f t="shared" si="2"/>
        <v/>
      </c>
      <c r="N192" s="186" t="str">
        <f>T_sept_dec[[#This Row],[Etablissement accueillant]]&amp;"-"&amp;T_sept_dec[[#This Row],[Enseignant référent (Nom Prénom)]]</f>
        <v>-</v>
      </c>
      <c r="O192" s="21">
        <f>1/COUNTIF(T_sept_dec[CléEtablissement],T_sept_dec[[#This Row],[CléEtablissement]])</f>
        <v>4.1841004184100415E-3</v>
      </c>
      <c r="P19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2" s="186">
        <f>1/COUNTIF(T_sept_dec[CléRéseau-Rize horsmed],T_sept_dec[[#This Row],[CléRéseau-Rize horsmed]])</f>
        <v>4.1841004184100415E-3</v>
      </c>
      <c r="R192" s="186" t="str">
        <f>IF(COUNTIF(RIZE,T_sept_dec[[#This Row],[Secteur organisateur]]),"Rize_"&amp;T_sept_dec[[#This Row],[Enseignant référent (Nom Prénom)]],"")</f>
        <v/>
      </c>
      <c r="S192" s="186">
        <f>1/COUNTIF(T_sept_dec[CléRize],T_sept_dec[[#This Row],[CléRize]])</f>
        <v>4.048582995951417E-3</v>
      </c>
      <c r="T192" s="186" t="str">
        <f>IF(COUNTIF(Total,T_sept_dec[[#This Row],[Secteur organisateur]]),"Total_"&amp;T_sept_dec[[#This Row],[Enseignant référent (Nom Prénom)]],"")</f>
        <v/>
      </c>
      <c r="U192" s="186">
        <f>1/COUNTIF(T_sept_dec[cléTotal],T_sept_dec[[#This Row],[cléTotal]])</f>
        <v>4.1841004184100415E-3</v>
      </c>
    </row>
    <row r="193" spans="11:21">
      <c r="K193" s="21" t="str">
        <f>IF(COUNTIF(Maternelle,E193)=1,listes!$T$1,IF(COUNTIF(Elémentaire,E193)=1,listes!$U$1,IF(COUNTIF(Collège,E193)=1,listes!$V$1,IF(COUNTIF(Lycée,E193)=1,listes!$W$1,""))))</f>
        <v/>
      </c>
      <c r="L193" s="21" t="str">
        <f>IF(COUNTIF(Perralière,D193)=1,listes!$P$1,IF(COUNTIF(Buers,D193)=1,listes!$J$1,IF(COUNTIF(Charpennes,D193)=1,listes!$K$1,IF(COUNTIF(Cusset,D193)=1,listes!$L$1,IF(COUNTIF(Cyprien,D193)=1,listes!$M$1,IF(COUNTIF(Ferrandière,D193)=1,listes!$N$1,IF(COUNTIF(Gratteciel,D193)=1,listes!$O$1,IF(COUNTIF(Saintjean,D193)=1,listes!$Q$1,IF(COUNTIF(horsvilleurbanne,D193)=1,listes!$R$1,"")))))))))</f>
        <v/>
      </c>
      <c r="M193" s="21" t="str">
        <f t="shared" si="2"/>
        <v/>
      </c>
      <c r="N193" s="186" t="str">
        <f>T_sept_dec[[#This Row],[Etablissement accueillant]]&amp;"-"&amp;T_sept_dec[[#This Row],[Enseignant référent (Nom Prénom)]]</f>
        <v>-</v>
      </c>
      <c r="O193" s="21">
        <f>1/COUNTIF(T_sept_dec[CléEtablissement],T_sept_dec[[#This Row],[CléEtablissement]])</f>
        <v>4.1841004184100415E-3</v>
      </c>
      <c r="P19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3" s="186">
        <f>1/COUNTIF(T_sept_dec[CléRéseau-Rize horsmed],T_sept_dec[[#This Row],[CléRéseau-Rize horsmed]])</f>
        <v>4.1841004184100415E-3</v>
      </c>
      <c r="R193" s="186" t="str">
        <f>IF(COUNTIF(RIZE,T_sept_dec[[#This Row],[Secteur organisateur]]),"Rize_"&amp;T_sept_dec[[#This Row],[Enseignant référent (Nom Prénom)]],"")</f>
        <v/>
      </c>
      <c r="S193" s="186">
        <f>1/COUNTIF(T_sept_dec[CléRize],T_sept_dec[[#This Row],[CléRize]])</f>
        <v>4.048582995951417E-3</v>
      </c>
      <c r="T193" s="186" t="str">
        <f>IF(COUNTIF(Total,T_sept_dec[[#This Row],[Secteur organisateur]]),"Total_"&amp;T_sept_dec[[#This Row],[Enseignant référent (Nom Prénom)]],"")</f>
        <v/>
      </c>
      <c r="U193" s="186">
        <f>1/COUNTIF(T_sept_dec[cléTotal],T_sept_dec[[#This Row],[cléTotal]])</f>
        <v>4.1841004184100415E-3</v>
      </c>
    </row>
    <row r="194" spans="11:21">
      <c r="K194" s="21" t="str">
        <f>IF(COUNTIF(Maternelle,E194)=1,listes!$T$1,IF(COUNTIF(Elémentaire,E194)=1,listes!$U$1,IF(COUNTIF(Collège,E194)=1,listes!$V$1,IF(COUNTIF(Lycée,E194)=1,listes!$W$1,""))))</f>
        <v/>
      </c>
      <c r="L194" s="21" t="str">
        <f>IF(COUNTIF(Perralière,D194)=1,listes!$P$1,IF(COUNTIF(Buers,D194)=1,listes!$J$1,IF(COUNTIF(Charpennes,D194)=1,listes!$K$1,IF(COUNTIF(Cusset,D194)=1,listes!$L$1,IF(COUNTIF(Cyprien,D194)=1,listes!$M$1,IF(COUNTIF(Ferrandière,D194)=1,listes!$N$1,IF(COUNTIF(Gratteciel,D194)=1,listes!$O$1,IF(COUNTIF(Saintjean,D194)=1,listes!$Q$1,IF(COUNTIF(horsvilleurbanne,D194)=1,listes!$R$1,"")))))))))</f>
        <v/>
      </c>
      <c r="M194" s="21" t="str">
        <f t="shared" ref="M194:M250" si="3">IF(COUNTIF(FDL,B194)=1,"FDL",IF(COUNTIF(RIZE,B194)=1,"RIZE",IF(COUNTIF(MLIS,B194)=1,"MLIS",IF(COUNTIF(PACBUS,B194)=1,"PAC-BUS",IF(COUNTIF(Tonkin,B194)=1,"Tonkin","")))))</f>
        <v/>
      </c>
      <c r="N194" s="186" t="str">
        <f>T_sept_dec[[#This Row],[Etablissement accueillant]]&amp;"-"&amp;T_sept_dec[[#This Row],[Enseignant référent (Nom Prénom)]]</f>
        <v>-</v>
      </c>
      <c r="O194" s="21">
        <f>1/COUNTIF(T_sept_dec[CléEtablissement],T_sept_dec[[#This Row],[CléEtablissement]])</f>
        <v>4.1841004184100415E-3</v>
      </c>
      <c r="P19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4" s="186">
        <f>1/COUNTIF(T_sept_dec[CléRéseau-Rize horsmed],T_sept_dec[[#This Row],[CléRéseau-Rize horsmed]])</f>
        <v>4.1841004184100415E-3</v>
      </c>
      <c r="R194" s="186" t="str">
        <f>IF(COUNTIF(RIZE,T_sept_dec[[#This Row],[Secteur organisateur]]),"Rize_"&amp;T_sept_dec[[#This Row],[Enseignant référent (Nom Prénom)]],"")</f>
        <v/>
      </c>
      <c r="S194" s="186">
        <f>1/COUNTIF(T_sept_dec[CléRize],T_sept_dec[[#This Row],[CléRize]])</f>
        <v>4.048582995951417E-3</v>
      </c>
      <c r="T194" s="186" t="str">
        <f>IF(COUNTIF(Total,T_sept_dec[[#This Row],[Secteur organisateur]]),"Total_"&amp;T_sept_dec[[#This Row],[Enseignant référent (Nom Prénom)]],"")</f>
        <v/>
      </c>
      <c r="U194" s="186">
        <f>1/COUNTIF(T_sept_dec[cléTotal],T_sept_dec[[#This Row],[cléTotal]])</f>
        <v>4.1841004184100415E-3</v>
      </c>
    </row>
    <row r="195" spans="11:21">
      <c r="K195" s="21" t="str">
        <f>IF(COUNTIF(Maternelle,E195)=1,listes!$T$1,IF(COUNTIF(Elémentaire,E195)=1,listes!$U$1,IF(COUNTIF(Collège,E195)=1,listes!$V$1,IF(COUNTIF(Lycée,E195)=1,listes!$W$1,""))))</f>
        <v/>
      </c>
      <c r="L195" s="21" t="str">
        <f>IF(COUNTIF(Perralière,D195)=1,listes!$P$1,IF(COUNTIF(Buers,D195)=1,listes!$J$1,IF(COUNTIF(Charpennes,D195)=1,listes!$K$1,IF(COUNTIF(Cusset,D195)=1,listes!$L$1,IF(COUNTIF(Cyprien,D195)=1,listes!$M$1,IF(COUNTIF(Ferrandière,D195)=1,listes!$N$1,IF(COUNTIF(Gratteciel,D195)=1,listes!$O$1,IF(COUNTIF(Saintjean,D195)=1,listes!$Q$1,IF(COUNTIF(horsvilleurbanne,D195)=1,listes!$R$1,"")))))))))</f>
        <v/>
      </c>
      <c r="M195" s="21" t="str">
        <f t="shared" si="3"/>
        <v/>
      </c>
      <c r="N195" s="186" t="str">
        <f>T_sept_dec[[#This Row],[Etablissement accueillant]]&amp;"-"&amp;T_sept_dec[[#This Row],[Enseignant référent (Nom Prénom)]]</f>
        <v>-</v>
      </c>
      <c r="O195" s="21">
        <f>1/COUNTIF(T_sept_dec[CléEtablissement],T_sept_dec[[#This Row],[CléEtablissement]])</f>
        <v>4.1841004184100415E-3</v>
      </c>
      <c r="P19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5" s="186">
        <f>1/COUNTIF(T_sept_dec[CléRéseau-Rize horsmed],T_sept_dec[[#This Row],[CléRéseau-Rize horsmed]])</f>
        <v>4.1841004184100415E-3</v>
      </c>
      <c r="R195" s="186" t="str">
        <f>IF(COUNTIF(RIZE,T_sept_dec[[#This Row],[Secteur organisateur]]),"Rize_"&amp;T_sept_dec[[#This Row],[Enseignant référent (Nom Prénom)]],"")</f>
        <v/>
      </c>
      <c r="S195" s="186">
        <f>1/COUNTIF(T_sept_dec[CléRize],T_sept_dec[[#This Row],[CléRize]])</f>
        <v>4.048582995951417E-3</v>
      </c>
      <c r="T195" s="186" t="str">
        <f>IF(COUNTIF(Total,T_sept_dec[[#This Row],[Secteur organisateur]]),"Total_"&amp;T_sept_dec[[#This Row],[Enseignant référent (Nom Prénom)]],"")</f>
        <v/>
      </c>
      <c r="U195" s="186">
        <f>1/COUNTIF(T_sept_dec[cléTotal],T_sept_dec[[#This Row],[cléTotal]])</f>
        <v>4.1841004184100415E-3</v>
      </c>
    </row>
    <row r="196" spans="11:21">
      <c r="K196" s="21" t="str">
        <f>IF(COUNTIF(Maternelle,E196)=1,listes!$T$1,IF(COUNTIF(Elémentaire,E196)=1,listes!$U$1,IF(COUNTIF(Collège,E196)=1,listes!$V$1,IF(COUNTIF(Lycée,E196)=1,listes!$W$1,""))))</f>
        <v/>
      </c>
      <c r="L196" s="21" t="str">
        <f>IF(COUNTIF(Perralière,D196)=1,listes!$P$1,IF(COUNTIF(Buers,D196)=1,listes!$J$1,IF(COUNTIF(Charpennes,D196)=1,listes!$K$1,IF(COUNTIF(Cusset,D196)=1,listes!$L$1,IF(COUNTIF(Cyprien,D196)=1,listes!$M$1,IF(COUNTIF(Ferrandière,D196)=1,listes!$N$1,IF(COUNTIF(Gratteciel,D196)=1,listes!$O$1,IF(COUNTIF(Saintjean,D196)=1,listes!$Q$1,IF(COUNTIF(horsvilleurbanne,D196)=1,listes!$R$1,"")))))))))</f>
        <v/>
      </c>
      <c r="M196" s="21" t="str">
        <f t="shared" si="3"/>
        <v/>
      </c>
      <c r="N196" s="186" t="str">
        <f>T_sept_dec[[#This Row],[Etablissement accueillant]]&amp;"-"&amp;T_sept_dec[[#This Row],[Enseignant référent (Nom Prénom)]]</f>
        <v>-</v>
      </c>
      <c r="O196" s="21">
        <f>1/COUNTIF(T_sept_dec[CléEtablissement],T_sept_dec[[#This Row],[CléEtablissement]])</f>
        <v>4.1841004184100415E-3</v>
      </c>
      <c r="P19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6" s="186">
        <f>1/COUNTIF(T_sept_dec[CléRéseau-Rize horsmed],T_sept_dec[[#This Row],[CléRéseau-Rize horsmed]])</f>
        <v>4.1841004184100415E-3</v>
      </c>
      <c r="R196" s="186" t="str">
        <f>IF(COUNTIF(RIZE,T_sept_dec[[#This Row],[Secteur organisateur]]),"Rize_"&amp;T_sept_dec[[#This Row],[Enseignant référent (Nom Prénom)]],"")</f>
        <v/>
      </c>
      <c r="S196" s="186">
        <f>1/COUNTIF(T_sept_dec[CléRize],T_sept_dec[[#This Row],[CléRize]])</f>
        <v>4.048582995951417E-3</v>
      </c>
      <c r="T196" s="186" t="str">
        <f>IF(COUNTIF(Total,T_sept_dec[[#This Row],[Secteur organisateur]]),"Total_"&amp;T_sept_dec[[#This Row],[Enseignant référent (Nom Prénom)]],"")</f>
        <v/>
      </c>
      <c r="U196" s="186">
        <f>1/COUNTIF(T_sept_dec[cléTotal],T_sept_dec[[#This Row],[cléTotal]])</f>
        <v>4.1841004184100415E-3</v>
      </c>
    </row>
    <row r="197" spans="11:21">
      <c r="K197" s="21" t="str">
        <f>IF(COUNTIF(Maternelle,E197)=1,listes!$T$1,IF(COUNTIF(Elémentaire,E197)=1,listes!$U$1,IF(COUNTIF(Collège,E197)=1,listes!$V$1,IF(COUNTIF(Lycée,E197)=1,listes!$W$1,""))))</f>
        <v/>
      </c>
      <c r="L197" s="21" t="str">
        <f>IF(COUNTIF(Perralière,D197)=1,listes!$P$1,IF(COUNTIF(Buers,D197)=1,listes!$J$1,IF(COUNTIF(Charpennes,D197)=1,listes!$K$1,IF(COUNTIF(Cusset,D197)=1,listes!$L$1,IF(COUNTIF(Cyprien,D197)=1,listes!$M$1,IF(COUNTIF(Ferrandière,D197)=1,listes!$N$1,IF(COUNTIF(Gratteciel,D197)=1,listes!$O$1,IF(COUNTIF(Saintjean,D197)=1,listes!$Q$1,IF(COUNTIF(horsvilleurbanne,D197)=1,listes!$R$1,"")))))))))</f>
        <v/>
      </c>
      <c r="M197" s="21" t="str">
        <f t="shared" si="3"/>
        <v/>
      </c>
      <c r="N197" s="186" t="str">
        <f>T_sept_dec[[#This Row],[Etablissement accueillant]]&amp;"-"&amp;T_sept_dec[[#This Row],[Enseignant référent (Nom Prénom)]]</f>
        <v>-</v>
      </c>
      <c r="O197" s="21">
        <f>1/COUNTIF(T_sept_dec[CléEtablissement],T_sept_dec[[#This Row],[CléEtablissement]])</f>
        <v>4.1841004184100415E-3</v>
      </c>
      <c r="P19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7" s="186">
        <f>1/COUNTIF(T_sept_dec[CléRéseau-Rize horsmed],T_sept_dec[[#This Row],[CléRéseau-Rize horsmed]])</f>
        <v>4.1841004184100415E-3</v>
      </c>
      <c r="R197" s="186" t="str">
        <f>IF(COUNTIF(RIZE,T_sept_dec[[#This Row],[Secteur organisateur]]),"Rize_"&amp;T_sept_dec[[#This Row],[Enseignant référent (Nom Prénom)]],"")</f>
        <v/>
      </c>
      <c r="S197" s="186">
        <f>1/COUNTIF(T_sept_dec[CléRize],T_sept_dec[[#This Row],[CléRize]])</f>
        <v>4.048582995951417E-3</v>
      </c>
      <c r="T197" s="186" t="str">
        <f>IF(COUNTIF(Total,T_sept_dec[[#This Row],[Secteur organisateur]]),"Total_"&amp;T_sept_dec[[#This Row],[Enseignant référent (Nom Prénom)]],"")</f>
        <v/>
      </c>
      <c r="U197" s="186">
        <f>1/COUNTIF(T_sept_dec[cléTotal],T_sept_dec[[#This Row],[cléTotal]])</f>
        <v>4.1841004184100415E-3</v>
      </c>
    </row>
    <row r="198" spans="11:21">
      <c r="K198" s="21" t="str">
        <f>IF(COUNTIF(Maternelle,E198)=1,listes!$T$1,IF(COUNTIF(Elémentaire,E198)=1,listes!$U$1,IF(COUNTIF(Collège,E198)=1,listes!$V$1,IF(COUNTIF(Lycée,E198)=1,listes!$W$1,""))))</f>
        <v/>
      </c>
      <c r="L198" s="21" t="str">
        <f>IF(COUNTIF(Perralière,D198)=1,listes!$P$1,IF(COUNTIF(Buers,D198)=1,listes!$J$1,IF(COUNTIF(Charpennes,D198)=1,listes!$K$1,IF(COUNTIF(Cusset,D198)=1,listes!$L$1,IF(COUNTIF(Cyprien,D198)=1,listes!$M$1,IF(COUNTIF(Ferrandière,D198)=1,listes!$N$1,IF(COUNTIF(Gratteciel,D198)=1,listes!$O$1,IF(COUNTIF(Saintjean,D198)=1,listes!$Q$1,IF(COUNTIF(horsvilleurbanne,D198)=1,listes!$R$1,"")))))))))</f>
        <v/>
      </c>
      <c r="M198" s="21" t="str">
        <f t="shared" si="3"/>
        <v/>
      </c>
      <c r="N198" s="186" t="str">
        <f>T_sept_dec[[#This Row],[Etablissement accueillant]]&amp;"-"&amp;T_sept_dec[[#This Row],[Enseignant référent (Nom Prénom)]]</f>
        <v>-</v>
      </c>
      <c r="O198" s="21">
        <f>1/COUNTIF(T_sept_dec[CléEtablissement],T_sept_dec[[#This Row],[CléEtablissement]])</f>
        <v>4.1841004184100415E-3</v>
      </c>
      <c r="P19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8" s="186">
        <f>1/COUNTIF(T_sept_dec[CléRéseau-Rize horsmed],T_sept_dec[[#This Row],[CléRéseau-Rize horsmed]])</f>
        <v>4.1841004184100415E-3</v>
      </c>
      <c r="R198" s="186" t="str">
        <f>IF(COUNTIF(RIZE,T_sept_dec[[#This Row],[Secteur organisateur]]),"Rize_"&amp;T_sept_dec[[#This Row],[Enseignant référent (Nom Prénom)]],"")</f>
        <v/>
      </c>
      <c r="S198" s="186">
        <f>1/COUNTIF(T_sept_dec[CléRize],T_sept_dec[[#This Row],[CléRize]])</f>
        <v>4.048582995951417E-3</v>
      </c>
      <c r="T198" s="186" t="str">
        <f>IF(COUNTIF(Total,T_sept_dec[[#This Row],[Secteur organisateur]]),"Total_"&amp;T_sept_dec[[#This Row],[Enseignant référent (Nom Prénom)]],"")</f>
        <v/>
      </c>
      <c r="U198" s="186">
        <f>1/COUNTIF(T_sept_dec[cléTotal],T_sept_dec[[#This Row],[cléTotal]])</f>
        <v>4.1841004184100415E-3</v>
      </c>
    </row>
    <row r="199" spans="11:21">
      <c r="K199" s="21" t="str">
        <f>IF(COUNTIF(Maternelle,E199)=1,listes!$T$1,IF(COUNTIF(Elémentaire,E199)=1,listes!$U$1,IF(COUNTIF(Collège,E199)=1,listes!$V$1,IF(COUNTIF(Lycée,E199)=1,listes!$W$1,""))))</f>
        <v/>
      </c>
      <c r="L199" s="21" t="str">
        <f>IF(COUNTIF(Perralière,D199)=1,listes!$P$1,IF(COUNTIF(Buers,D199)=1,listes!$J$1,IF(COUNTIF(Charpennes,D199)=1,listes!$K$1,IF(COUNTIF(Cusset,D199)=1,listes!$L$1,IF(COUNTIF(Cyprien,D199)=1,listes!$M$1,IF(COUNTIF(Ferrandière,D199)=1,listes!$N$1,IF(COUNTIF(Gratteciel,D199)=1,listes!$O$1,IF(COUNTIF(Saintjean,D199)=1,listes!$Q$1,IF(COUNTIF(horsvilleurbanne,D199)=1,listes!$R$1,"")))))))))</f>
        <v/>
      </c>
      <c r="M199" s="21" t="str">
        <f t="shared" si="3"/>
        <v/>
      </c>
      <c r="N199" s="186" t="str">
        <f>T_sept_dec[[#This Row],[Etablissement accueillant]]&amp;"-"&amp;T_sept_dec[[#This Row],[Enseignant référent (Nom Prénom)]]</f>
        <v>-</v>
      </c>
      <c r="O199" s="21">
        <f>1/COUNTIF(T_sept_dec[CléEtablissement],T_sept_dec[[#This Row],[CléEtablissement]])</f>
        <v>4.1841004184100415E-3</v>
      </c>
      <c r="P19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199" s="186">
        <f>1/COUNTIF(T_sept_dec[CléRéseau-Rize horsmed],T_sept_dec[[#This Row],[CléRéseau-Rize horsmed]])</f>
        <v>4.1841004184100415E-3</v>
      </c>
      <c r="R199" s="186" t="str">
        <f>IF(COUNTIF(RIZE,T_sept_dec[[#This Row],[Secteur organisateur]]),"Rize_"&amp;T_sept_dec[[#This Row],[Enseignant référent (Nom Prénom)]],"")</f>
        <v/>
      </c>
      <c r="S199" s="186">
        <f>1/COUNTIF(T_sept_dec[CléRize],T_sept_dec[[#This Row],[CléRize]])</f>
        <v>4.048582995951417E-3</v>
      </c>
      <c r="T199" s="186" t="str">
        <f>IF(COUNTIF(Total,T_sept_dec[[#This Row],[Secteur organisateur]]),"Total_"&amp;T_sept_dec[[#This Row],[Enseignant référent (Nom Prénom)]],"")</f>
        <v/>
      </c>
      <c r="U199" s="186">
        <f>1/COUNTIF(T_sept_dec[cléTotal],T_sept_dec[[#This Row],[cléTotal]])</f>
        <v>4.1841004184100415E-3</v>
      </c>
    </row>
    <row r="200" spans="11:21">
      <c r="K200" s="21" t="str">
        <f>IF(COUNTIF(Maternelle,E200)=1,listes!$T$1,IF(COUNTIF(Elémentaire,E200)=1,listes!$U$1,IF(COUNTIF(Collège,E200)=1,listes!$V$1,IF(COUNTIF(Lycée,E200)=1,listes!$W$1,""))))</f>
        <v/>
      </c>
      <c r="L200" s="21" t="str">
        <f>IF(COUNTIF(Perralière,D200)=1,listes!$P$1,IF(COUNTIF(Buers,D200)=1,listes!$J$1,IF(COUNTIF(Charpennes,D200)=1,listes!$K$1,IF(COUNTIF(Cusset,D200)=1,listes!$L$1,IF(COUNTIF(Cyprien,D200)=1,listes!$M$1,IF(COUNTIF(Ferrandière,D200)=1,listes!$N$1,IF(COUNTIF(Gratteciel,D200)=1,listes!$O$1,IF(COUNTIF(Saintjean,D200)=1,listes!$Q$1,IF(COUNTIF(horsvilleurbanne,D200)=1,listes!$R$1,"")))))))))</f>
        <v/>
      </c>
      <c r="M200" s="21" t="str">
        <f t="shared" si="3"/>
        <v/>
      </c>
      <c r="N200" s="186" t="str">
        <f>T_sept_dec[[#This Row],[Etablissement accueillant]]&amp;"-"&amp;T_sept_dec[[#This Row],[Enseignant référent (Nom Prénom)]]</f>
        <v>-</v>
      </c>
      <c r="O200" s="21">
        <f>1/COUNTIF(T_sept_dec[CléEtablissement],T_sept_dec[[#This Row],[CléEtablissement]])</f>
        <v>4.1841004184100415E-3</v>
      </c>
      <c r="P20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0" s="186">
        <f>1/COUNTIF(T_sept_dec[CléRéseau-Rize horsmed],T_sept_dec[[#This Row],[CléRéseau-Rize horsmed]])</f>
        <v>4.1841004184100415E-3</v>
      </c>
      <c r="R200" s="186" t="str">
        <f>IF(COUNTIF(RIZE,T_sept_dec[[#This Row],[Secteur organisateur]]),"Rize_"&amp;T_sept_dec[[#This Row],[Enseignant référent (Nom Prénom)]],"")</f>
        <v/>
      </c>
      <c r="S200" s="186">
        <f>1/COUNTIF(T_sept_dec[CléRize],T_sept_dec[[#This Row],[CléRize]])</f>
        <v>4.048582995951417E-3</v>
      </c>
      <c r="T200" s="186" t="str">
        <f>IF(COUNTIF(Total,T_sept_dec[[#This Row],[Secteur organisateur]]),"Total_"&amp;T_sept_dec[[#This Row],[Enseignant référent (Nom Prénom)]],"")</f>
        <v/>
      </c>
      <c r="U200" s="186">
        <f>1/COUNTIF(T_sept_dec[cléTotal],T_sept_dec[[#This Row],[cléTotal]])</f>
        <v>4.1841004184100415E-3</v>
      </c>
    </row>
    <row r="201" spans="11:21">
      <c r="K201" s="21" t="str">
        <f>IF(COUNTIF(Maternelle,E201)=1,listes!$T$1,IF(COUNTIF(Elémentaire,E201)=1,listes!$U$1,IF(COUNTIF(Collège,E201)=1,listes!$V$1,IF(COUNTIF(Lycée,E201)=1,listes!$W$1,""))))</f>
        <v/>
      </c>
      <c r="L201" s="21" t="str">
        <f>IF(COUNTIF(Perralière,D201)=1,listes!$P$1,IF(COUNTIF(Buers,D201)=1,listes!$J$1,IF(COUNTIF(Charpennes,D201)=1,listes!$K$1,IF(COUNTIF(Cusset,D201)=1,listes!$L$1,IF(COUNTIF(Cyprien,D201)=1,listes!$M$1,IF(COUNTIF(Ferrandière,D201)=1,listes!$N$1,IF(COUNTIF(Gratteciel,D201)=1,listes!$O$1,IF(COUNTIF(Saintjean,D201)=1,listes!$Q$1,IF(COUNTIF(horsvilleurbanne,D201)=1,listes!$R$1,"")))))))))</f>
        <v/>
      </c>
      <c r="M201" s="21" t="str">
        <f t="shared" si="3"/>
        <v/>
      </c>
      <c r="N201" s="186" t="str">
        <f>T_sept_dec[[#This Row],[Etablissement accueillant]]&amp;"-"&amp;T_sept_dec[[#This Row],[Enseignant référent (Nom Prénom)]]</f>
        <v>-</v>
      </c>
      <c r="O201" s="21">
        <f>1/COUNTIF(T_sept_dec[CléEtablissement],T_sept_dec[[#This Row],[CléEtablissement]])</f>
        <v>4.1841004184100415E-3</v>
      </c>
      <c r="P20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1" s="186">
        <f>1/COUNTIF(T_sept_dec[CléRéseau-Rize horsmed],T_sept_dec[[#This Row],[CléRéseau-Rize horsmed]])</f>
        <v>4.1841004184100415E-3</v>
      </c>
      <c r="R201" s="186" t="str">
        <f>IF(COUNTIF(RIZE,T_sept_dec[[#This Row],[Secteur organisateur]]),"Rize_"&amp;T_sept_dec[[#This Row],[Enseignant référent (Nom Prénom)]],"")</f>
        <v/>
      </c>
      <c r="S201" s="186">
        <f>1/COUNTIF(T_sept_dec[CléRize],T_sept_dec[[#This Row],[CléRize]])</f>
        <v>4.048582995951417E-3</v>
      </c>
      <c r="T201" s="186" t="str">
        <f>IF(COUNTIF(Total,T_sept_dec[[#This Row],[Secteur organisateur]]),"Total_"&amp;T_sept_dec[[#This Row],[Enseignant référent (Nom Prénom)]],"")</f>
        <v/>
      </c>
      <c r="U201" s="186">
        <f>1/COUNTIF(T_sept_dec[cléTotal],T_sept_dec[[#This Row],[cléTotal]])</f>
        <v>4.1841004184100415E-3</v>
      </c>
    </row>
    <row r="202" spans="11:21">
      <c r="K202" s="21" t="str">
        <f>IF(COUNTIF(Maternelle,E202)=1,listes!$T$1,IF(COUNTIF(Elémentaire,E202)=1,listes!$U$1,IF(COUNTIF(Collège,E202)=1,listes!$V$1,IF(COUNTIF(Lycée,E202)=1,listes!$W$1,""))))</f>
        <v/>
      </c>
      <c r="L202" s="21" t="str">
        <f>IF(COUNTIF(Perralière,D202)=1,listes!$P$1,IF(COUNTIF(Buers,D202)=1,listes!$J$1,IF(COUNTIF(Charpennes,D202)=1,listes!$K$1,IF(COUNTIF(Cusset,D202)=1,listes!$L$1,IF(COUNTIF(Cyprien,D202)=1,listes!$M$1,IF(COUNTIF(Ferrandière,D202)=1,listes!$N$1,IF(COUNTIF(Gratteciel,D202)=1,listes!$O$1,IF(COUNTIF(Saintjean,D202)=1,listes!$Q$1,IF(COUNTIF(horsvilleurbanne,D202)=1,listes!$R$1,"")))))))))</f>
        <v/>
      </c>
      <c r="M202" s="21" t="str">
        <f t="shared" si="3"/>
        <v/>
      </c>
      <c r="N202" s="186" t="str">
        <f>T_sept_dec[[#This Row],[Etablissement accueillant]]&amp;"-"&amp;T_sept_dec[[#This Row],[Enseignant référent (Nom Prénom)]]</f>
        <v>-</v>
      </c>
      <c r="O202" s="21">
        <f>1/COUNTIF(T_sept_dec[CléEtablissement],T_sept_dec[[#This Row],[CléEtablissement]])</f>
        <v>4.1841004184100415E-3</v>
      </c>
      <c r="P20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2" s="186">
        <f>1/COUNTIF(T_sept_dec[CléRéseau-Rize horsmed],T_sept_dec[[#This Row],[CléRéseau-Rize horsmed]])</f>
        <v>4.1841004184100415E-3</v>
      </c>
      <c r="R202" s="186" t="str">
        <f>IF(COUNTIF(RIZE,T_sept_dec[[#This Row],[Secteur organisateur]]),"Rize_"&amp;T_sept_dec[[#This Row],[Enseignant référent (Nom Prénom)]],"")</f>
        <v/>
      </c>
      <c r="S202" s="186">
        <f>1/COUNTIF(T_sept_dec[CléRize],T_sept_dec[[#This Row],[CléRize]])</f>
        <v>4.048582995951417E-3</v>
      </c>
      <c r="T202" s="186" t="str">
        <f>IF(COUNTIF(Total,T_sept_dec[[#This Row],[Secteur organisateur]]),"Total_"&amp;T_sept_dec[[#This Row],[Enseignant référent (Nom Prénom)]],"")</f>
        <v/>
      </c>
      <c r="U202" s="186">
        <f>1/COUNTIF(T_sept_dec[cléTotal],T_sept_dec[[#This Row],[cléTotal]])</f>
        <v>4.1841004184100415E-3</v>
      </c>
    </row>
    <row r="203" spans="11:21">
      <c r="K203" s="21" t="str">
        <f>IF(COUNTIF(Maternelle,E203)=1,listes!$T$1,IF(COUNTIF(Elémentaire,E203)=1,listes!$U$1,IF(COUNTIF(Collège,E203)=1,listes!$V$1,IF(COUNTIF(Lycée,E203)=1,listes!$W$1,""))))</f>
        <v/>
      </c>
      <c r="L203" s="21" t="str">
        <f>IF(COUNTIF(Perralière,D203)=1,listes!$P$1,IF(COUNTIF(Buers,D203)=1,listes!$J$1,IF(COUNTIF(Charpennes,D203)=1,listes!$K$1,IF(COUNTIF(Cusset,D203)=1,listes!$L$1,IF(COUNTIF(Cyprien,D203)=1,listes!$M$1,IF(COUNTIF(Ferrandière,D203)=1,listes!$N$1,IF(COUNTIF(Gratteciel,D203)=1,listes!$O$1,IF(COUNTIF(Saintjean,D203)=1,listes!$Q$1,IF(COUNTIF(horsvilleurbanne,D203)=1,listes!$R$1,"")))))))))</f>
        <v/>
      </c>
      <c r="M203" s="21" t="str">
        <f t="shared" si="3"/>
        <v/>
      </c>
      <c r="N203" s="186" t="str">
        <f>T_sept_dec[[#This Row],[Etablissement accueillant]]&amp;"-"&amp;T_sept_dec[[#This Row],[Enseignant référent (Nom Prénom)]]</f>
        <v>-</v>
      </c>
      <c r="O203" s="21">
        <f>1/COUNTIF(T_sept_dec[CléEtablissement],T_sept_dec[[#This Row],[CléEtablissement]])</f>
        <v>4.1841004184100415E-3</v>
      </c>
      <c r="P20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3" s="186">
        <f>1/COUNTIF(T_sept_dec[CléRéseau-Rize horsmed],T_sept_dec[[#This Row],[CléRéseau-Rize horsmed]])</f>
        <v>4.1841004184100415E-3</v>
      </c>
      <c r="R203" s="186" t="str">
        <f>IF(COUNTIF(RIZE,T_sept_dec[[#This Row],[Secteur organisateur]]),"Rize_"&amp;T_sept_dec[[#This Row],[Enseignant référent (Nom Prénom)]],"")</f>
        <v/>
      </c>
      <c r="S203" s="186">
        <f>1/COUNTIF(T_sept_dec[CléRize],T_sept_dec[[#This Row],[CléRize]])</f>
        <v>4.048582995951417E-3</v>
      </c>
      <c r="T203" s="186" t="str">
        <f>IF(COUNTIF(Total,T_sept_dec[[#This Row],[Secteur organisateur]]),"Total_"&amp;T_sept_dec[[#This Row],[Enseignant référent (Nom Prénom)]],"")</f>
        <v/>
      </c>
      <c r="U203" s="186">
        <f>1/COUNTIF(T_sept_dec[cléTotal],T_sept_dec[[#This Row],[cléTotal]])</f>
        <v>4.1841004184100415E-3</v>
      </c>
    </row>
    <row r="204" spans="11:21">
      <c r="K204" s="21" t="str">
        <f>IF(COUNTIF(Maternelle,E204)=1,listes!$T$1,IF(COUNTIF(Elémentaire,E204)=1,listes!$U$1,IF(COUNTIF(Collège,E204)=1,listes!$V$1,IF(COUNTIF(Lycée,E204)=1,listes!$W$1,""))))</f>
        <v/>
      </c>
      <c r="L204" s="21" t="str">
        <f>IF(COUNTIF(Perralière,D204)=1,listes!$P$1,IF(COUNTIF(Buers,D204)=1,listes!$J$1,IF(COUNTIF(Charpennes,D204)=1,listes!$K$1,IF(COUNTIF(Cusset,D204)=1,listes!$L$1,IF(COUNTIF(Cyprien,D204)=1,listes!$M$1,IF(COUNTIF(Ferrandière,D204)=1,listes!$N$1,IF(COUNTIF(Gratteciel,D204)=1,listes!$O$1,IF(COUNTIF(Saintjean,D204)=1,listes!$Q$1,IF(COUNTIF(horsvilleurbanne,D204)=1,listes!$R$1,"")))))))))</f>
        <v/>
      </c>
      <c r="M204" s="21" t="str">
        <f t="shared" si="3"/>
        <v/>
      </c>
      <c r="N204" s="186" t="str">
        <f>T_sept_dec[[#This Row],[Etablissement accueillant]]&amp;"-"&amp;T_sept_dec[[#This Row],[Enseignant référent (Nom Prénom)]]</f>
        <v>-</v>
      </c>
      <c r="O204" s="21">
        <f>1/COUNTIF(T_sept_dec[CléEtablissement],T_sept_dec[[#This Row],[CléEtablissement]])</f>
        <v>4.1841004184100415E-3</v>
      </c>
      <c r="P20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4" s="186">
        <f>1/COUNTIF(T_sept_dec[CléRéseau-Rize horsmed],T_sept_dec[[#This Row],[CléRéseau-Rize horsmed]])</f>
        <v>4.1841004184100415E-3</v>
      </c>
      <c r="R204" s="186" t="str">
        <f>IF(COUNTIF(RIZE,T_sept_dec[[#This Row],[Secteur organisateur]]),"Rize_"&amp;T_sept_dec[[#This Row],[Enseignant référent (Nom Prénom)]],"")</f>
        <v/>
      </c>
      <c r="S204" s="186">
        <f>1/COUNTIF(T_sept_dec[CléRize],T_sept_dec[[#This Row],[CléRize]])</f>
        <v>4.048582995951417E-3</v>
      </c>
      <c r="T204" s="186" t="str">
        <f>IF(COUNTIF(Total,T_sept_dec[[#This Row],[Secteur organisateur]]),"Total_"&amp;T_sept_dec[[#This Row],[Enseignant référent (Nom Prénom)]],"")</f>
        <v/>
      </c>
      <c r="U204" s="186">
        <f>1/COUNTIF(T_sept_dec[cléTotal],T_sept_dec[[#This Row],[cléTotal]])</f>
        <v>4.1841004184100415E-3</v>
      </c>
    </row>
    <row r="205" spans="11:21">
      <c r="K205" s="21" t="str">
        <f>IF(COUNTIF(Maternelle,E205)=1,listes!$T$1,IF(COUNTIF(Elémentaire,E205)=1,listes!$U$1,IF(COUNTIF(Collège,E205)=1,listes!$V$1,IF(COUNTIF(Lycée,E205)=1,listes!$W$1,""))))</f>
        <v/>
      </c>
      <c r="L205" s="21" t="str">
        <f>IF(COUNTIF(Perralière,D205)=1,listes!$P$1,IF(COUNTIF(Buers,D205)=1,listes!$J$1,IF(COUNTIF(Charpennes,D205)=1,listes!$K$1,IF(COUNTIF(Cusset,D205)=1,listes!$L$1,IF(COUNTIF(Cyprien,D205)=1,listes!$M$1,IF(COUNTIF(Ferrandière,D205)=1,listes!$N$1,IF(COUNTIF(Gratteciel,D205)=1,listes!$O$1,IF(COUNTIF(Saintjean,D205)=1,listes!$Q$1,IF(COUNTIF(horsvilleurbanne,D205)=1,listes!$R$1,"")))))))))</f>
        <v/>
      </c>
      <c r="M205" s="21" t="str">
        <f t="shared" si="3"/>
        <v/>
      </c>
      <c r="N205" s="186" t="str">
        <f>T_sept_dec[[#This Row],[Etablissement accueillant]]&amp;"-"&amp;T_sept_dec[[#This Row],[Enseignant référent (Nom Prénom)]]</f>
        <v>-</v>
      </c>
      <c r="O205" s="21">
        <f>1/COUNTIF(T_sept_dec[CléEtablissement],T_sept_dec[[#This Row],[CléEtablissement]])</f>
        <v>4.1841004184100415E-3</v>
      </c>
      <c r="P20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5" s="186">
        <f>1/COUNTIF(T_sept_dec[CléRéseau-Rize horsmed],T_sept_dec[[#This Row],[CléRéseau-Rize horsmed]])</f>
        <v>4.1841004184100415E-3</v>
      </c>
      <c r="R205" s="186" t="str">
        <f>IF(COUNTIF(RIZE,T_sept_dec[[#This Row],[Secteur organisateur]]),"Rize_"&amp;T_sept_dec[[#This Row],[Enseignant référent (Nom Prénom)]],"")</f>
        <v/>
      </c>
      <c r="S205" s="186">
        <f>1/COUNTIF(T_sept_dec[CléRize],T_sept_dec[[#This Row],[CléRize]])</f>
        <v>4.048582995951417E-3</v>
      </c>
      <c r="T205" s="186" t="str">
        <f>IF(COUNTIF(Total,T_sept_dec[[#This Row],[Secteur organisateur]]),"Total_"&amp;T_sept_dec[[#This Row],[Enseignant référent (Nom Prénom)]],"")</f>
        <v/>
      </c>
      <c r="U205" s="186">
        <f>1/COUNTIF(T_sept_dec[cléTotal],T_sept_dec[[#This Row],[cléTotal]])</f>
        <v>4.1841004184100415E-3</v>
      </c>
    </row>
    <row r="206" spans="11:21">
      <c r="K206" s="21" t="str">
        <f>IF(COUNTIF(Maternelle,E206)=1,listes!$T$1,IF(COUNTIF(Elémentaire,E206)=1,listes!$U$1,IF(COUNTIF(Collège,E206)=1,listes!$V$1,IF(COUNTIF(Lycée,E206)=1,listes!$W$1,""))))</f>
        <v/>
      </c>
      <c r="L206" s="21" t="str">
        <f>IF(COUNTIF(Perralière,D206)=1,listes!$P$1,IF(COUNTIF(Buers,D206)=1,listes!$J$1,IF(COUNTIF(Charpennes,D206)=1,listes!$K$1,IF(COUNTIF(Cusset,D206)=1,listes!$L$1,IF(COUNTIF(Cyprien,D206)=1,listes!$M$1,IF(COUNTIF(Ferrandière,D206)=1,listes!$N$1,IF(COUNTIF(Gratteciel,D206)=1,listes!$O$1,IF(COUNTIF(Saintjean,D206)=1,listes!$Q$1,IF(COUNTIF(horsvilleurbanne,D206)=1,listes!$R$1,"")))))))))</f>
        <v/>
      </c>
      <c r="M206" s="21" t="str">
        <f t="shared" si="3"/>
        <v/>
      </c>
      <c r="N206" s="186" t="str">
        <f>T_sept_dec[[#This Row],[Etablissement accueillant]]&amp;"-"&amp;T_sept_dec[[#This Row],[Enseignant référent (Nom Prénom)]]</f>
        <v>-</v>
      </c>
      <c r="O206" s="21">
        <f>1/COUNTIF(T_sept_dec[CléEtablissement],T_sept_dec[[#This Row],[CléEtablissement]])</f>
        <v>4.1841004184100415E-3</v>
      </c>
      <c r="P20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6" s="186">
        <f>1/COUNTIF(T_sept_dec[CléRéseau-Rize horsmed],T_sept_dec[[#This Row],[CléRéseau-Rize horsmed]])</f>
        <v>4.1841004184100415E-3</v>
      </c>
      <c r="R206" s="186" t="str">
        <f>IF(COUNTIF(RIZE,T_sept_dec[[#This Row],[Secteur organisateur]]),"Rize_"&amp;T_sept_dec[[#This Row],[Enseignant référent (Nom Prénom)]],"")</f>
        <v/>
      </c>
      <c r="S206" s="186">
        <f>1/COUNTIF(T_sept_dec[CléRize],T_sept_dec[[#This Row],[CléRize]])</f>
        <v>4.048582995951417E-3</v>
      </c>
      <c r="T206" s="186" t="str">
        <f>IF(COUNTIF(Total,T_sept_dec[[#This Row],[Secteur organisateur]]),"Total_"&amp;T_sept_dec[[#This Row],[Enseignant référent (Nom Prénom)]],"")</f>
        <v/>
      </c>
      <c r="U206" s="186">
        <f>1/COUNTIF(T_sept_dec[cléTotal],T_sept_dec[[#This Row],[cléTotal]])</f>
        <v>4.1841004184100415E-3</v>
      </c>
    </row>
    <row r="207" spans="11:21">
      <c r="K207" s="21" t="str">
        <f>IF(COUNTIF(Maternelle,E207)=1,listes!$T$1,IF(COUNTIF(Elémentaire,E207)=1,listes!$U$1,IF(COUNTIF(Collège,E207)=1,listes!$V$1,IF(COUNTIF(Lycée,E207)=1,listes!$W$1,""))))</f>
        <v/>
      </c>
      <c r="L207" s="21" t="str">
        <f>IF(COUNTIF(Perralière,D207)=1,listes!$P$1,IF(COUNTIF(Buers,D207)=1,listes!$J$1,IF(COUNTIF(Charpennes,D207)=1,listes!$K$1,IF(COUNTIF(Cusset,D207)=1,listes!$L$1,IF(COUNTIF(Cyprien,D207)=1,listes!$M$1,IF(COUNTIF(Ferrandière,D207)=1,listes!$N$1,IF(COUNTIF(Gratteciel,D207)=1,listes!$O$1,IF(COUNTIF(Saintjean,D207)=1,listes!$Q$1,IF(COUNTIF(horsvilleurbanne,D207)=1,listes!$R$1,"")))))))))</f>
        <v/>
      </c>
      <c r="M207" s="21" t="str">
        <f t="shared" si="3"/>
        <v/>
      </c>
      <c r="N207" s="186" t="str">
        <f>T_sept_dec[[#This Row],[Etablissement accueillant]]&amp;"-"&amp;T_sept_dec[[#This Row],[Enseignant référent (Nom Prénom)]]</f>
        <v>-</v>
      </c>
      <c r="O207" s="21">
        <f>1/COUNTIF(T_sept_dec[CléEtablissement],T_sept_dec[[#This Row],[CléEtablissement]])</f>
        <v>4.1841004184100415E-3</v>
      </c>
      <c r="P20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7" s="186">
        <f>1/COUNTIF(T_sept_dec[CléRéseau-Rize horsmed],T_sept_dec[[#This Row],[CléRéseau-Rize horsmed]])</f>
        <v>4.1841004184100415E-3</v>
      </c>
      <c r="R207" s="186" t="str">
        <f>IF(COUNTIF(RIZE,T_sept_dec[[#This Row],[Secteur organisateur]]),"Rize_"&amp;T_sept_dec[[#This Row],[Enseignant référent (Nom Prénom)]],"")</f>
        <v/>
      </c>
      <c r="S207" s="186">
        <f>1/COUNTIF(T_sept_dec[CléRize],T_sept_dec[[#This Row],[CléRize]])</f>
        <v>4.048582995951417E-3</v>
      </c>
      <c r="T207" s="186" t="str">
        <f>IF(COUNTIF(Total,T_sept_dec[[#This Row],[Secteur organisateur]]),"Total_"&amp;T_sept_dec[[#This Row],[Enseignant référent (Nom Prénom)]],"")</f>
        <v/>
      </c>
      <c r="U207" s="186">
        <f>1/COUNTIF(T_sept_dec[cléTotal],T_sept_dec[[#This Row],[cléTotal]])</f>
        <v>4.1841004184100415E-3</v>
      </c>
    </row>
    <row r="208" spans="11:21">
      <c r="K208" s="21" t="str">
        <f>IF(COUNTIF(Maternelle,E208)=1,listes!$T$1,IF(COUNTIF(Elémentaire,E208)=1,listes!$U$1,IF(COUNTIF(Collège,E208)=1,listes!$V$1,IF(COUNTIF(Lycée,E208)=1,listes!$W$1,""))))</f>
        <v/>
      </c>
      <c r="L208" s="21" t="str">
        <f>IF(COUNTIF(Perralière,D208)=1,listes!$P$1,IF(COUNTIF(Buers,D208)=1,listes!$J$1,IF(COUNTIF(Charpennes,D208)=1,listes!$K$1,IF(COUNTIF(Cusset,D208)=1,listes!$L$1,IF(COUNTIF(Cyprien,D208)=1,listes!$M$1,IF(COUNTIF(Ferrandière,D208)=1,listes!$N$1,IF(COUNTIF(Gratteciel,D208)=1,listes!$O$1,IF(COUNTIF(Saintjean,D208)=1,listes!$Q$1,IF(COUNTIF(horsvilleurbanne,D208)=1,listes!$R$1,"")))))))))</f>
        <v/>
      </c>
      <c r="M208" s="21" t="str">
        <f t="shared" si="3"/>
        <v/>
      </c>
      <c r="N208" s="186" t="str">
        <f>T_sept_dec[[#This Row],[Etablissement accueillant]]&amp;"-"&amp;T_sept_dec[[#This Row],[Enseignant référent (Nom Prénom)]]</f>
        <v>-</v>
      </c>
      <c r="O208" s="21">
        <f>1/COUNTIF(T_sept_dec[CléEtablissement],T_sept_dec[[#This Row],[CléEtablissement]])</f>
        <v>4.1841004184100415E-3</v>
      </c>
      <c r="P20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8" s="186">
        <f>1/COUNTIF(T_sept_dec[CléRéseau-Rize horsmed],T_sept_dec[[#This Row],[CléRéseau-Rize horsmed]])</f>
        <v>4.1841004184100415E-3</v>
      </c>
      <c r="R208" s="186" t="str">
        <f>IF(COUNTIF(RIZE,T_sept_dec[[#This Row],[Secteur organisateur]]),"Rize_"&amp;T_sept_dec[[#This Row],[Enseignant référent (Nom Prénom)]],"")</f>
        <v/>
      </c>
      <c r="S208" s="186">
        <f>1/COUNTIF(T_sept_dec[CléRize],T_sept_dec[[#This Row],[CléRize]])</f>
        <v>4.048582995951417E-3</v>
      </c>
      <c r="T208" s="186" t="str">
        <f>IF(COUNTIF(Total,T_sept_dec[[#This Row],[Secteur organisateur]]),"Total_"&amp;T_sept_dec[[#This Row],[Enseignant référent (Nom Prénom)]],"")</f>
        <v/>
      </c>
      <c r="U208" s="186">
        <f>1/COUNTIF(T_sept_dec[cléTotal],T_sept_dec[[#This Row],[cléTotal]])</f>
        <v>4.1841004184100415E-3</v>
      </c>
    </row>
    <row r="209" spans="11:21">
      <c r="K209" s="21" t="str">
        <f>IF(COUNTIF(Maternelle,E209)=1,listes!$T$1,IF(COUNTIF(Elémentaire,E209)=1,listes!$U$1,IF(COUNTIF(Collège,E209)=1,listes!$V$1,IF(COUNTIF(Lycée,E209)=1,listes!$W$1,""))))</f>
        <v/>
      </c>
      <c r="L209" s="21" t="str">
        <f>IF(COUNTIF(Perralière,D209)=1,listes!$P$1,IF(COUNTIF(Buers,D209)=1,listes!$J$1,IF(COUNTIF(Charpennes,D209)=1,listes!$K$1,IF(COUNTIF(Cusset,D209)=1,listes!$L$1,IF(COUNTIF(Cyprien,D209)=1,listes!$M$1,IF(COUNTIF(Ferrandière,D209)=1,listes!$N$1,IF(COUNTIF(Gratteciel,D209)=1,listes!$O$1,IF(COUNTIF(Saintjean,D209)=1,listes!$Q$1,IF(COUNTIF(horsvilleurbanne,D209)=1,listes!$R$1,"")))))))))</f>
        <v/>
      </c>
      <c r="M209" s="21" t="str">
        <f t="shared" si="3"/>
        <v/>
      </c>
      <c r="N209" s="186" t="str">
        <f>T_sept_dec[[#This Row],[Etablissement accueillant]]&amp;"-"&amp;T_sept_dec[[#This Row],[Enseignant référent (Nom Prénom)]]</f>
        <v>-</v>
      </c>
      <c r="O209" s="21">
        <f>1/COUNTIF(T_sept_dec[CléEtablissement],T_sept_dec[[#This Row],[CléEtablissement]])</f>
        <v>4.1841004184100415E-3</v>
      </c>
      <c r="P20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09" s="186">
        <f>1/COUNTIF(T_sept_dec[CléRéseau-Rize horsmed],T_sept_dec[[#This Row],[CléRéseau-Rize horsmed]])</f>
        <v>4.1841004184100415E-3</v>
      </c>
      <c r="R209" s="186" t="str">
        <f>IF(COUNTIF(RIZE,T_sept_dec[[#This Row],[Secteur organisateur]]),"Rize_"&amp;T_sept_dec[[#This Row],[Enseignant référent (Nom Prénom)]],"")</f>
        <v/>
      </c>
      <c r="S209" s="186">
        <f>1/COUNTIF(T_sept_dec[CléRize],T_sept_dec[[#This Row],[CléRize]])</f>
        <v>4.048582995951417E-3</v>
      </c>
      <c r="T209" s="186" t="str">
        <f>IF(COUNTIF(Total,T_sept_dec[[#This Row],[Secteur organisateur]]),"Total_"&amp;T_sept_dec[[#This Row],[Enseignant référent (Nom Prénom)]],"")</f>
        <v/>
      </c>
      <c r="U209" s="186">
        <f>1/COUNTIF(T_sept_dec[cléTotal],T_sept_dec[[#This Row],[cléTotal]])</f>
        <v>4.1841004184100415E-3</v>
      </c>
    </row>
    <row r="210" spans="11:21">
      <c r="K210" s="21" t="str">
        <f>IF(COUNTIF(Maternelle,E210)=1,listes!$T$1,IF(COUNTIF(Elémentaire,E210)=1,listes!$U$1,IF(COUNTIF(Collège,E210)=1,listes!$V$1,IF(COUNTIF(Lycée,E210)=1,listes!$W$1,""))))</f>
        <v/>
      </c>
      <c r="L210" s="21" t="str">
        <f>IF(COUNTIF(Perralière,D210)=1,listes!$P$1,IF(COUNTIF(Buers,D210)=1,listes!$J$1,IF(COUNTIF(Charpennes,D210)=1,listes!$K$1,IF(COUNTIF(Cusset,D210)=1,listes!$L$1,IF(COUNTIF(Cyprien,D210)=1,listes!$M$1,IF(COUNTIF(Ferrandière,D210)=1,listes!$N$1,IF(COUNTIF(Gratteciel,D210)=1,listes!$O$1,IF(COUNTIF(Saintjean,D210)=1,listes!$Q$1,IF(COUNTIF(horsvilleurbanne,D210)=1,listes!$R$1,"")))))))))</f>
        <v/>
      </c>
      <c r="M210" s="21" t="str">
        <f t="shared" si="3"/>
        <v/>
      </c>
      <c r="N210" s="186" t="str">
        <f>T_sept_dec[[#This Row],[Etablissement accueillant]]&amp;"-"&amp;T_sept_dec[[#This Row],[Enseignant référent (Nom Prénom)]]</f>
        <v>-</v>
      </c>
      <c r="O210" s="21">
        <f>1/COUNTIF(T_sept_dec[CléEtablissement],T_sept_dec[[#This Row],[CléEtablissement]])</f>
        <v>4.1841004184100415E-3</v>
      </c>
      <c r="P21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0" s="186">
        <f>1/COUNTIF(T_sept_dec[CléRéseau-Rize horsmed],T_sept_dec[[#This Row],[CléRéseau-Rize horsmed]])</f>
        <v>4.1841004184100415E-3</v>
      </c>
      <c r="R210" s="186" t="str">
        <f>IF(COUNTIF(RIZE,T_sept_dec[[#This Row],[Secteur organisateur]]),"Rize_"&amp;T_sept_dec[[#This Row],[Enseignant référent (Nom Prénom)]],"")</f>
        <v/>
      </c>
      <c r="S210" s="186">
        <f>1/COUNTIF(T_sept_dec[CléRize],T_sept_dec[[#This Row],[CléRize]])</f>
        <v>4.048582995951417E-3</v>
      </c>
      <c r="T210" s="186" t="str">
        <f>IF(COUNTIF(Total,T_sept_dec[[#This Row],[Secteur organisateur]]),"Total_"&amp;T_sept_dec[[#This Row],[Enseignant référent (Nom Prénom)]],"")</f>
        <v/>
      </c>
      <c r="U210" s="186">
        <f>1/COUNTIF(T_sept_dec[cléTotal],T_sept_dec[[#This Row],[cléTotal]])</f>
        <v>4.1841004184100415E-3</v>
      </c>
    </row>
    <row r="211" spans="11:21">
      <c r="K211" s="21" t="str">
        <f>IF(COUNTIF(Maternelle,E211)=1,listes!$T$1,IF(COUNTIF(Elémentaire,E211)=1,listes!$U$1,IF(COUNTIF(Collège,E211)=1,listes!$V$1,IF(COUNTIF(Lycée,E211)=1,listes!$W$1,""))))</f>
        <v/>
      </c>
      <c r="L211" s="21" t="str">
        <f>IF(COUNTIF(Perralière,D211)=1,listes!$P$1,IF(COUNTIF(Buers,D211)=1,listes!$J$1,IF(COUNTIF(Charpennes,D211)=1,listes!$K$1,IF(COUNTIF(Cusset,D211)=1,listes!$L$1,IF(COUNTIF(Cyprien,D211)=1,listes!$M$1,IF(COUNTIF(Ferrandière,D211)=1,listes!$N$1,IF(COUNTIF(Gratteciel,D211)=1,listes!$O$1,IF(COUNTIF(Saintjean,D211)=1,listes!$Q$1,IF(COUNTIF(horsvilleurbanne,D211)=1,listes!$R$1,"")))))))))</f>
        <v/>
      </c>
      <c r="M211" s="21" t="str">
        <f t="shared" si="3"/>
        <v/>
      </c>
      <c r="N211" s="186" t="str">
        <f>T_sept_dec[[#This Row],[Etablissement accueillant]]&amp;"-"&amp;T_sept_dec[[#This Row],[Enseignant référent (Nom Prénom)]]</f>
        <v>-</v>
      </c>
      <c r="O211" s="21">
        <f>1/COUNTIF(T_sept_dec[CléEtablissement],T_sept_dec[[#This Row],[CléEtablissement]])</f>
        <v>4.1841004184100415E-3</v>
      </c>
      <c r="P21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1" s="186">
        <f>1/COUNTIF(T_sept_dec[CléRéseau-Rize horsmed],T_sept_dec[[#This Row],[CléRéseau-Rize horsmed]])</f>
        <v>4.1841004184100415E-3</v>
      </c>
      <c r="R211" s="186" t="str">
        <f>IF(COUNTIF(RIZE,T_sept_dec[[#This Row],[Secteur organisateur]]),"Rize_"&amp;T_sept_dec[[#This Row],[Enseignant référent (Nom Prénom)]],"")</f>
        <v/>
      </c>
      <c r="S211" s="186">
        <f>1/COUNTIF(T_sept_dec[CléRize],T_sept_dec[[#This Row],[CléRize]])</f>
        <v>4.048582995951417E-3</v>
      </c>
      <c r="T211" s="186" t="str">
        <f>IF(COUNTIF(Total,T_sept_dec[[#This Row],[Secteur organisateur]]),"Total_"&amp;T_sept_dec[[#This Row],[Enseignant référent (Nom Prénom)]],"")</f>
        <v/>
      </c>
      <c r="U211" s="186">
        <f>1/COUNTIF(T_sept_dec[cléTotal],T_sept_dec[[#This Row],[cléTotal]])</f>
        <v>4.1841004184100415E-3</v>
      </c>
    </row>
    <row r="212" spans="11:21">
      <c r="K212" s="21" t="str">
        <f>IF(COUNTIF(Maternelle,E212)=1,listes!$T$1,IF(COUNTIF(Elémentaire,E212)=1,listes!$U$1,IF(COUNTIF(Collège,E212)=1,listes!$V$1,IF(COUNTIF(Lycée,E212)=1,listes!$W$1,""))))</f>
        <v/>
      </c>
      <c r="L212" s="21" t="str">
        <f>IF(COUNTIF(Perralière,D212)=1,listes!$P$1,IF(COUNTIF(Buers,D212)=1,listes!$J$1,IF(COUNTIF(Charpennes,D212)=1,listes!$K$1,IF(COUNTIF(Cusset,D212)=1,listes!$L$1,IF(COUNTIF(Cyprien,D212)=1,listes!$M$1,IF(COUNTIF(Ferrandière,D212)=1,listes!$N$1,IF(COUNTIF(Gratteciel,D212)=1,listes!$O$1,IF(COUNTIF(Saintjean,D212)=1,listes!$Q$1,IF(COUNTIF(horsvilleurbanne,D212)=1,listes!$R$1,"")))))))))</f>
        <v/>
      </c>
      <c r="M212" s="21" t="str">
        <f t="shared" si="3"/>
        <v/>
      </c>
      <c r="N212" s="186" t="str">
        <f>T_sept_dec[[#This Row],[Etablissement accueillant]]&amp;"-"&amp;T_sept_dec[[#This Row],[Enseignant référent (Nom Prénom)]]</f>
        <v>-</v>
      </c>
      <c r="O212" s="21">
        <f>1/COUNTIF(T_sept_dec[CléEtablissement],T_sept_dec[[#This Row],[CléEtablissement]])</f>
        <v>4.1841004184100415E-3</v>
      </c>
      <c r="P21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2" s="186">
        <f>1/COUNTIF(T_sept_dec[CléRéseau-Rize horsmed],T_sept_dec[[#This Row],[CléRéseau-Rize horsmed]])</f>
        <v>4.1841004184100415E-3</v>
      </c>
      <c r="R212" s="186" t="str">
        <f>IF(COUNTIF(RIZE,T_sept_dec[[#This Row],[Secteur organisateur]]),"Rize_"&amp;T_sept_dec[[#This Row],[Enseignant référent (Nom Prénom)]],"")</f>
        <v/>
      </c>
      <c r="S212" s="186">
        <f>1/COUNTIF(T_sept_dec[CléRize],T_sept_dec[[#This Row],[CléRize]])</f>
        <v>4.048582995951417E-3</v>
      </c>
      <c r="T212" s="186" t="str">
        <f>IF(COUNTIF(Total,T_sept_dec[[#This Row],[Secteur organisateur]]),"Total_"&amp;T_sept_dec[[#This Row],[Enseignant référent (Nom Prénom)]],"")</f>
        <v/>
      </c>
      <c r="U212" s="186">
        <f>1/COUNTIF(T_sept_dec[cléTotal],T_sept_dec[[#This Row],[cléTotal]])</f>
        <v>4.1841004184100415E-3</v>
      </c>
    </row>
    <row r="213" spans="11:21">
      <c r="K213" s="21" t="str">
        <f>IF(COUNTIF(Maternelle,E213)=1,listes!$T$1,IF(COUNTIF(Elémentaire,E213)=1,listes!$U$1,IF(COUNTIF(Collège,E213)=1,listes!$V$1,IF(COUNTIF(Lycée,E213)=1,listes!$W$1,""))))</f>
        <v/>
      </c>
      <c r="L213" s="21" t="str">
        <f>IF(COUNTIF(Perralière,D213)=1,listes!$P$1,IF(COUNTIF(Buers,D213)=1,listes!$J$1,IF(COUNTIF(Charpennes,D213)=1,listes!$K$1,IF(COUNTIF(Cusset,D213)=1,listes!$L$1,IF(COUNTIF(Cyprien,D213)=1,listes!$M$1,IF(COUNTIF(Ferrandière,D213)=1,listes!$N$1,IF(COUNTIF(Gratteciel,D213)=1,listes!$O$1,IF(COUNTIF(Saintjean,D213)=1,listes!$Q$1,IF(COUNTIF(horsvilleurbanne,D213)=1,listes!$R$1,"")))))))))</f>
        <v/>
      </c>
      <c r="M213" s="21" t="str">
        <f t="shared" si="3"/>
        <v/>
      </c>
      <c r="N213" s="186" t="str">
        <f>T_sept_dec[[#This Row],[Etablissement accueillant]]&amp;"-"&amp;T_sept_dec[[#This Row],[Enseignant référent (Nom Prénom)]]</f>
        <v>-</v>
      </c>
      <c r="O213" s="21">
        <f>1/COUNTIF(T_sept_dec[CléEtablissement],T_sept_dec[[#This Row],[CléEtablissement]])</f>
        <v>4.1841004184100415E-3</v>
      </c>
      <c r="P21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3" s="186">
        <f>1/COUNTIF(T_sept_dec[CléRéseau-Rize horsmed],T_sept_dec[[#This Row],[CléRéseau-Rize horsmed]])</f>
        <v>4.1841004184100415E-3</v>
      </c>
      <c r="R213" s="186" t="str">
        <f>IF(COUNTIF(RIZE,T_sept_dec[[#This Row],[Secteur organisateur]]),"Rize_"&amp;T_sept_dec[[#This Row],[Enseignant référent (Nom Prénom)]],"")</f>
        <v/>
      </c>
      <c r="S213" s="186">
        <f>1/COUNTIF(T_sept_dec[CléRize],T_sept_dec[[#This Row],[CléRize]])</f>
        <v>4.048582995951417E-3</v>
      </c>
      <c r="T213" s="186" t="str">
        <f>IF(COUNTIF(Total,T_sept_dec[[#This Row],[Secteur organisateur]]),"Total_"&amp;T_sept_dec[[#This Row],[Enseignant référent (Nom Prénom)]],"")</f>
        <v/>
      </c>
      <c r="U213" s="186">
        <f>1/COUNTIF(T_sept_dec[cléTotal],T_sept_dec[[#This Row],[cléTotal]])</f>
        <v>4.1841004184100415E-3</v>
      </c>
    </row>
    <row r="214" spans="11:21">
      <c r="K214" s="21" t="str">
        <f>IF(COUNTIF(Maternelle,E214)=1,listes!$T$1,IF(COUNTIF(Elémentaire,E214)=1,listes!$U$1,IF(COUNTIF(Collège,E214)=1,listes!$V$1,IF(COUNTIF(Lycée,E214)=1,listes!$W$1,""))))</f>
        <v/>
      </c>
      <c r="L214" s="21" t="str">
        <f>IF(COUNTIF(Perralière,D214)=1,listes!$P$1,IF(COUNTIF(Buers,D214)=1,listes!$J$1,IF(COUNTIF(Charpennes,D214)=1,listes!$K$1,IF(COUNTIF(Cusset,D214)=1,listes!$L$1,IF(COUNTIF(Cyprien,D214)=1,listes!$M$1,IF(COUNTIF(Ferrandière,D214)=1,listes!$N$1,IF(COUNTIF(Gratteciel,D214)=1,listes!$O$1,IF(COUNTIF(Saintjean,D214)=1,listes!$Q$1,IF(COUNTIF(horsvilleurbanne,D214)=1,listes!$R$1,"")))))))))</f>
        <v/>
      </c>
      <c r="M214" s="21" t="str">
        <f t="shared" si="3"/>
        <v/>
      </c>
      <c r="N214" s="186" t="str">
        <f>T_sept_dec[[#This Row],[Etablissement accueillant]]&amp;"-"&amp;T_sept_dec[[#This Row],[Enseignant référent (Nom Prénom)]]</f>
        <v>-</v>
      </c>
      <c r="O214" s="21">
        <f>1/COUNTIF(T_sept_dec[CléEtablissement],T_sept_dec[[#This Row],[CléEtablissement]])</f>
        <v>4.1841004184100415E-3</v>
      </c>
      <c r="P21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4" s="186">
        <f>1/COUNTIF(T_sept_dec[CléRéseau-Rize horsmed],T_sept_dec[[#This Row],[CléRéseau-Rize horsmed]])</f>
        <v>4.1841004184100415E-3</v>
      </c>
      <c r="R214" s="186" t="str">
        <f>IF(COUNTIF(RIZE,T_sept_dec[[#This Row],[Secteur organisateur]]),"Rize_"&amp;T_sept_dec[[#This Row],[Enseignant référent (Nom Prénom)]],"")</f>
        <v/>
      </c>
      <c r="S214" s="186">
        <f>1/COUNTIF(T_sept_dec[CléRize],T_sept_dec[[#This Row],[CléRize]])</f>
        <v>4.048582995951417E-3</v>
      </c>
      <c r="T214" s="186" t="str">
        <f>IF(COUNTIF(Total,T_sept_dec[[#This Row],[Secteur organisateur]]),"Total_"&amp;T_sept_dec[[#This Row],[Enseignant référent (Nom Prénom)]],"")</f>
        <v/>
      </c>
      <c r="U214" s="186">
        <f>1/COUNTIF(T_sept_dec[cléTotal],T_sept_dec[[#This Row],[cléTotal]])</f>
        <v>4.1841004184100415E-3</v>
      </c>
    </row>
    <row r="215" spans="11:21">
      <c r="K215" s="21" t="str">
        <f>IF(COUNTIF(Maternelle,E215)=1,listes!$T$1,IF(COUNTIF(Elémentaire,E215)=1,listes!$U$1,IF(COUNTIF(Collège,E215)=1,listes!$V$1,IF(COUNTIF(Lycée,E215)=1,listes!$W$1,""))))</f>
        <v/>
      </c>
      <c r="L215" s="21" t="str">
        <f>IF(COUNTIF(Perralière,D215)=1,listes!$P$1,IF(COUNTIF(Buers,D215)=1,listes!$J$1,IF(COUNTIF(Charpennes,D215)=1,listes!$K$1,IF(COUNTIF(Cusset,D215)=1,listes!$L$1,IF(COUNTIF(Cyprien,D215)=1,listes!$M$1,IF(COUNTIF(Ferrandière,D215)=1,listes!$N$1,IF(COUNTIF(Gratteciel,D215)=1,listes!$O$1,IF(COUNTIF(Saintjean,D215)=1,listes!$Q$1,IF(COUNTIF(horsvilleurbanne,D215)=1,listes!$R$1,"")))))))))</f>
        <v/>
      </c>
      <c r="M215" s="21" t="str">
        <f t="shared" si="3"/>
        <v/>
      </c>
      <c r="N215" s="186" t="str">
        <f>T_sept_dec[[#This Row],[Etablissement accueillant]]&amp;"-"&amp;T_sept_dec[[#This Row],[Enseignant référent (Nom Prénom)]]</f>
        <v>-</v>
      </c>
      <c r="O215" s="21">
        <f>1/COUNTIF(T_sept_dec[CléEtablissement],T_sept_dec[[#This Row],[CléEtablissement]])</f>
        <v>4.1841004184100415E-3</v>
      </c>
      <c r="P21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5" s="186">
        <f>1/COUNTIF(T_sept_dec[CléRéseau-Rize horsmed],T_sept_dec[[#This Row],[CléRéseau-Rize horsmed]])</f>
        <v>4.1841004184100415E-3</v>
      </c>
      <c r="R215" s="186" t="str">
        <f>IF(COUNTIF(RIZE,T_sept_dec[[#This Row],[Secteur organisateur]]),"Rize_"&amp;T_sept_dec[[#This Row],[Enseignant référent (Nom Prénom)]],"")</f>
        <v/>
      </c>
      <c r="S215" s="186">
        <f>1/COUNTIF(T_sept_dec[CléRize],T_sept_dec[[#This Row],[CléRize]])</f>
        <v>4.048582995951417E-3</v>
      </c>
      <c r="T215" s="186" t="str">
        <f>IF(COUNTIF(Total,T_sept_dec[[#This Row],[Secteur organisateur]]),"Total_"&amp;T_sept_dec[[#This Row],[Enseignant référent (Nom Prénom)]],"")</f>
        <v/>
      </c>
      <c r="U215" s="186">
        <f>1/COUNTIF(T_sept_dec[cléTotal],T_sept_dec[[#This Row],[cléTotal]])</f>
        <v>4.1841004184100415E-3</v>
      </c>
    </row>
    <row r="216" spans="11:21">
      <c r="K216" s="21" t="str">
        <f>IF(COUNTIF(Maternelle,E216)=1,listes!$T$1,IF(COUNTIF(Elémentaire,E216)=1,listes!$U$1,IF(COUNTIF(Collège,E216)=1,listes!$V$1,IF(COUNTIF(Lycée,E216)=1,listes!$W$1,""))))</f>
        <v/>
      </c>
      <c r="L216" s="21" t="str">
        <f>IF(COUNTIF(Perralière,D216)=1,listes!$P$1,IF(COUNTIF(Buers,D216)=1,listes!$J$1,IF(COUNTIF(Charpennes,D216)=1,listes!$K$1,IF(COUNTIF(Cusset,D216)=1,listes!$L$1,IF(COUNTIF(Cyprien,D216)=1,listes!$M$1,IF(COUNTIF(Ferrandière,D216)=1,listes!$N$1,IF(COUNTIF(Gratteciel,D216)=1,listes!$O$1,IF(COUNTIF(Saintjean,D216)=1,listes!$Q$1,IF(COUNTIF(horsvilleurbanne,D216)=1,listes!$R$1,"")))))))))</f>
        <v/>
      </c>
      <c r="M216" s="21" t="str">
        <f t="shared" si="3"/>
        <v/>
      </c>
      <c r="N216" s="186" t="str">
        <f>T_sept_dec[[#This Row],[Etablissement accueillant]]&amp;"-"&amp;T_sept_dec[[#This Row],[Enseignant référent (Nom Prénom)]]</f>
        <v>-</v>
      </c>
      <c r="O216" s="21">
        <f>1/COUNTIF(T_sept_dec[CléEtablissement],T_sept_dec[[#This Row],[CléEtablissement]])</f>
        <v>4.1841004184100415E-3</v>
      </c>
      <c r="P21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6" s="186">
        <f>1/COUNTIF(T_sept_dec[CléRéseau-Rize horsmed],T_sept_dec[[#This Row],[CléRéseau-Rize horsmed]])</f>
        <v>4.1841004184100415E-3</v>
      </c>
      <c r="R216" s="186" t="str">
        <f>IF(COUNTIF(RIZE,T_sept_dec[[#This Row],[Secteur organisateur]]),"Rize_"&amp;T_sept_dec[[#This Row],[Enseignant référent (Nom Prénom)]],"")</f>
        <v/>
      </c>
      <c r="S216" s="186">
        <f>1/COUNTIF(T_sept_dec[CléRize],T_sept_dec[[#This Row],[CléRize]])</f>
        <v>4.048582995951417E-3</v>
      </c>
      <c r="T216" s="186" t="str">
        <f>IF(COUNTIF(Total,T_sept_dec[[#This Row],[Secteur organisateur]]),"Total_"&amp;T_sept_dec[[#This Row],[Enseignant référent (Nom Prénom)]],"")</f>
        <v/>
      </c>
      <c r="U216" s="186">
        <f>1/COUNTIF(T_sept_dec[cléTotal],T_sept_dec[[#This Row],[cléTotal]])</f>
        <v>4.1841004184100415E-3</v>
      </c>
    </row>
    <row r="217" spans="11:21">
      <c r="K217" s="21" t="str">
        <f>IF(COUNTIF(Maternelle,E217)=1,listes!$T$1,IF(COUNTIF(Elémentaire,E217)=1,listes!$U$1,IF(COUNTIF(Collège,E217)=1,listes!$V$1,IF(COUNTIF(Lycée,E217)=1,listes!$W$1,""))))</f>
        <v/>
      </c>
      <c r="L217" s="21" t="str">
        <f>IF(COUNTIF(Perralière,D217)=1,listes!$P$1,IF(COUNTIF(Buers,D217)=1,listes!$J$1,IF(COUNTIF(Charpennes,D217)=1,listes!$K$1,IF(COUNTIF(Cusset,D217)=1,listes!$L$1,IF(COUNTIF(Cyprien,D217)=1,listes!$M$1,IF(COUNTIF(Ferrandière,D217)=1,listes!$N$1,IF(COUNTIF(Gratteciel,D217)=1,listes!$O$1,IF(COUNTIF(Saintjean,D217)=1,listes!$Q$1,IF(COUNTIF(horsvilleurbanne,D217)=1,listes!$R$1,"")))))))))</f>
        <v/>
      </c>
      <c r="M217" s="21" t="str">
        <f t="shared" si="3"/>
        <v/>
      </c>
      <c r="N217" s="186" t="str">
        <f>T_sept_dec[[#This Row],[Etablissement accueillant]]&amp;"-"&amp;T_sept_dec[[#This Row],[Enseignant référent (Nom Prénom)]]</f>
        <v>-</v>
      </c>
      <c r="O217" s="21">
        <f>1/COUNTIF(T_sept_dec[CléEtablissement],T_sept_dec[[#This Row],[CléEtablissement]])</f>
        <v>4.1841004184100415E-3</v>
      </c>
      <c r="P21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7" s="186">
        <f>1/COUNTIF(T_sept_dec[CléRéseau-Rize horsmed],T_sept_dec[[#This Row],[CléRéseau-Rize horsmed]])</f>
        <v>4.1841004184100415E-3</v>
      </c>
      <c r="R217" s="186" t="str">
        <f>IF(COUNTIF(RIZE,T_sept_dec[[#This Row],[Secteur organisateur]]),"Rize_"&amp;T_sept_dec[[#This Row],[Enseignant référent (Nom Prénom)]],"")</f>
        <v/>
      </c>
      <c r="S217" s="186">
        <f>1/COUNTIF(T_sept_dec[CléRize],T_sept_dec[[#This Row],[CléRize]])</f>
        <v>4.048582995951417E-3</v>
      </c>
      <c r="T217" s="186" t="str">
        <f>IF(COUNTIF(Total,T_sept_dec[[#This Row],[Secteur organisateur]]),"Total_"&amp;T_sept_dec[[#This Row],[Enseignant référent (Nom Prénom)]],"")</f>
        <v/>
      </c>
      <c r="U217" s="186">
        <f>1/COUNTIF(T_sept_dec[cléTotal],T_sept_dec[[#This Row],[cléTotal]])</f>
        <v>4.1841004184100415E-3</v>
      </c>
    </row>
    <row r="218" spans="11:21">
      <c r="K218" s="21" t="str">
        <f>IF(COUNTIF(Maternelle,E218)=1,listes!$T$1,IF(COUNTIF(Elémentaire,E218)=1,listes!$U$1,IF(COUNTIF(Collège,E218)=1,listes!$V$1,IF(COUNTIF(Lycée,E218)=1,listes!$W$1,""))))</f>
        <v/>
      </c>
      <c r="L218" s="21" t="str">
        <f>IF(COUNTIF(Perralière,D218)=1,listes!$P$1,IF(COUNTIF(Buers,D218)=1,listes!$J$1,IF(COUNTIF(Charpennes,D218)=1,listes!$K$1,IF(COUNTIF(Cusset,D218)=1,listes!$L$1,IF(COUNTIF(Cyprien,D218)=1,listes!$M$1,IF(COUNTIF(Ferrandière,D218)=1,listes!$N$1,IF(COUNTIF(Gratteciel,D218)=1,listes!$O$1,IF(COUNTIF(Saintjean,D218)=1,listes!$Q$1,IF(COUNTIF(horsvilleurbanne,D218)=1,listes!$R$1,"")))))))))</f>
        <v/>
      </c>
      <c r="M218" s="21" t="str">
        <f t="shared" si="3"/>
        <v/>
      </c>
      <c r="N218" s="186" t="str">
        <f>T_sept_dec[[#This Row],[Etablissement accueillant]]&amp;"-"&amp;T_sept_dec[[#This Row],[Enseignant référent (Nom Prénom)]]</f>
        <v>-</v>
      </c>
      <c r="O218" s="21">
        <f>1/COUNTIF(T_sept_dec[CléEtablissement],T_sept_dec[[#This Row],[CléEtablissement]])</f>
        <v>4.1841004184100415E-3</v>
      </c>
      <c r="P21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8" s="186">
        <f>1/COUNTIF(T_sept_dec[CléRéseau-Rize horsmed],T_sept_dec[[#This Row],[CléRéseau-Rize horsmed]])</f>
        <v>4.1841004184100415E-3</v>
      </c>
      <c r="R218" s="186" t="str">
        <f>IF(COUNTIF(RIZE,T_sept_dec[[#This Row],[Secteur organisateur]]),"Rize_"&amp;T_sept_dec[[#This Row],[Enseignant référent (Nom Prénom)]],"")</f>
        <v/>
      </c>
      <c r="S218" s="186">
        <f>1/COUNTIF(T_sept_dec[CléRize],T_sept_dec[[#This Row],[CléRize]])</f>
        <v>4.048582995951417E-3</v>
      </c>
      <c r="T218" s="186" t="str">
        <f>IF(COUNTIF(Total,T_sept_dec[[#This Row],[Secteur organisateur]]),"Total_"&amp;T_sept_dec[[#This Row],[Enseignant référent (Nom Prénom)]],"")</f>
        <v/>
      </c>
      <c r="U218" s="186">
        <f>1/COUNTIF(T_sept_dec[cléTotal],T_sept_dec[[#This Row],[cléTotal]])</f>
        <v>4.1841004184100415E-3</v>
      </c>
    </row>
    <row r="219" spans="11:21">
      <c r="K219" s="21" t="str">
        <f>IF(COUNTIF(Maternelle,E219)=1,listes!$T$1,IF(COUNTIF(Elémentaire,E219)=1,listes!$U$1,IF(COUNTIF(Collège,E219)=1,listes!$V$1,IF(COUNTIF(Lycée,E219)=1,listes!$W$1,""))))</f>
        <v/>
      </c>
      <c r="L219" s="21" t="str">
        <f>IF(COUNTIF(Perralière,D219)=1,listes!$P$1,IF(COUNTIF(Buers,D219)=1,listes!$J$1,IF(COUNTIF(Charpennes,D219)=1,listes!$K$1,IF(COUNTIF(Cusset,D219)=1,listes!$L$1,IF(COUNTIF(Cyprien,D219)=1,listes!$M$1,IF(COUNTIF(Ferrandière,D219)=1,listes!$N$1,IF(COUNTIF(Gratteciel,D219)=1,listes!$O$1,IF(COUNTIF(Saintjean,D219)=1,listes!$Q$1,IF(COUNTIF(horsvilleurbanne,D219)=1,listes!$R$1,"")))))))))</f>
        <v/>
      </c>
      <c r="M219" s="21" t="str">
        <f t="shared" si="3"/>
        <v/>
      </c>
      <c r="N219" s="186" t="str">
        <f>T_sept_dec[[#This Row],[Etablissement accueillant]]&amp;"-"&amp;T_sept_dec[[#This Row],[Enseignant référent (Nom Prénom)]]</f>
        <v>-</v>
      </c>
      <c r="O219" s="21">
        <f>1/COUNTIF(T_sept_dec[CléEtablissement],T_sept_dec[[#This Row],[CléEtablissement]])</f>
        <v>4.1841004184100415E-3</v>
      </c>
      <c r="P21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19" s="186">
        <f>1/COUNTIF(T_sept_dec[CléRéseau-Rize horsmed],T_sept_dec[[#This Row],[CléRéseau-Rize horsmed]])</f>
        <v>4.1841004184100415E-3</v>
      </c>
      <c r="R219" s="186" t="str">
        <f>IF(COUNTIF(RIZE,T_sept_dec[[#This Row],[Secteur organisateur]]),"Rize_"&amp;T_sept_dec[[#This Row],[Enseignant référent (Nom Prénom)]],"")</f>
        <v/>
      </c>
      <c r="S219" s="186">
        <f>1/COUNTIF(T_sept_dec[CléRize],T_sept_dec[[#This Row],[CléRize]])</f>
        <v>4.048582995951417E-3</v>
      </c>
      <c r="T219" s="186" t="str">
        <f>IF(COUNTIF(Total,T_sept_dec[[#This Row],[Secteur organisateur]]),"Total_"&amp;T_sept_dec[[#This Row],[Enseignant référent (Nom Prénom)]],"")</f>
        <v/>
      </c>
      <c r="U219" s="186">
        <f>1/COUNTIF(T_sept_dec[cléTotal],T_sept_dec[[#This Row],[cléTotal]])</f>
        <v>4.1841004184100415E-3</v>
      </c>
    </row>
    <row r="220" spans="11:21">
      <c r="K220" s="21" t="str">
        <f>IF(COUNTIF(Maternelle,E220)=1,listes!$T$1,IF(COUNTIF(Elémentaire,E220)=1,listes!$U$1,IF(COUNTIF(Collège,E220)=1,listes!$V$1,IF(COUNTIF(Lycée,E220)=1,listes!$W$1,""))))</f>
        <v/>
      </c>
      <c r="L220" s="21" t="str">
        <f>IF(COUNTIF(Perralière,D220)=1,listes!$P$1,IF(COUNTIF(Buers,D220)=1,listes!$J$1,IF(COUNTIF(Charpennes,D220)=1,listes!$K$1,IF(COUNTIF(Cusset,D220)=1,listes!$L$1,IF(COUNTIF(Cyprien,D220)=1,listes!$M$1,IF(COUNTIF(Ferrandière,D220)=1,listes!$N$1,IF(COUNTIF(Gratteciel,D220)=1,listes!$O$1,IF(COUNTIF(Saintjean,D220)=1,listes!$Q$1,IF(COUNTIF(horsvilleurbanne,D220)=1,listes!$R$1,"")))))))))</f>
        <v/>
      </c>
      <c r="M220" s="21" t="str">
        <f t="shared" si="3"/>
        <v/>
      </c>
      <c r="N220" s="186" t="str">
        <f>T_sept_dec[[#This Row],[Etablissement accueillant]]&amp;"-"&amp;T_sept_dec[[#This Row],[Enseignant référent (Nom Prénom)]]</f>
        <v>-</v>
      </c>
      <c r="O220" s="21">
        <f>1/COUNTIF(T_sept_dec[CléEtablissement],T_sept_dec[[#This Row],[CléEtablissement]])</f>
        <v>4.1841004184100415E-3</v>
      </c>
      <c r="P22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0" s="186">
        <f>1/COUNTIF(T_sept_dec[CléRéseau-Rize horsmed],T_sept_dec[[#This Row],[CléRéseau-Rize horsmed]])</f>
        <v>4.1841004184100415E-3</v>
      </c>
      <c r="R220" s="186" t="str">
        <f>IF(COUNTIF(RIZE,T_sept_dec[[#This Row],[Secteur organisateur]]),"Rize_"&amp;T_sept_dec[[#This Row],[Enseignant référent (Nom Prénom)]],"")</f>
        <v/>
      </c>
      <c r="S220" s="186">
        <f>1/COUNTIF(T_sept_dec[CléRize],T_sept_dec[[#This Row],[CléRize]])</f>
        <v>4.048582995951417E-3</v>
      </c>
      <c r="T220" s="186" t="str">
        <f>IF(COUNTIF(Total,T_sept_dec[[#This Row],[Secteur organisateur]]),"Total_"&amp;T_sept_dec[[#This Row],[Enseignant référent (Nom Prénom)]],"")</f>
        <v/>
      </c>
      <c r="U220" s="186">
        <f>1/COUNTIF(T_sept_dec[cléTotal],T_sept_dec[[#This Row],[cléTotal]])</f>
        <v>4.1841004184100415E-3</v>
      </c>
    </row>
    <row r="221" spans="11:21">
      <c r="K221" s="21" t="str">
        <f>IF(COUNTIF(Maternelle,E221)=1,listes!$T$1,IF(COUNTIF(Elémentaire,E221)=1,listes!$U$1,IF(COUNTIF(Collège,E221)=1,listes!$V$1,IF(COUNTIF(Lycée,E221)=1,listes!$W$1,""))))</f>
        <v/>
      </c>
      <c r="L221" s="21" t="str">
        <f>IF(COUNTIF(Perralière,D221)=1,listes!$P$1,IF(COUNTIF(Buers,D221)=1,listes!$J$1,IF(COUNTIF(Charpennes,D221)=1,listes!$K$1,IF(COUNTIF(Cusset,D221)=1,listes!$L$1,IF(COUNTIF(Cyprien,D221)=1,listes!$M$1,IF(COUNTIF(Ferrandière,D221)=1,listes!$N$1,IF(COUNTIF(Gratteciel,D221)=1,listes!$O$1,IF(COUNTIF(Saintjean,D221)=1,listes!$Q$1,IF(COUNTIF(horsvilleurbanne,D221)=1,listes!$R$1,"")))))))))</f>
        <v/>
      </c>
      <c r="M221" s="21" t="str">
        <f t="shared" si="3"/>
        <v/>
      </c>
      <c r="N221" s="186" t="str">
        <f>T_sept_dec[[#This Row],[Etablissement accueillant]]&amp;"-"&amp;T_sept_dec[[#This Row],[Enseignant référent (Nom Prénom)]]</f>
        <v>-</v>
      </c>
      <c r="O221" s="21">
        <f>1/COUNTIF(T_sept_dec[CléEtablissement],T_sept_dec[[#This Row],[CléEtablissement]])</f>
        <v>4.1841004184100415E-3</v>
      </c>
      <c r="P22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1" s="186">
        <f>1/COUNTIF(T_sept_dec[CléRéseau-Rize horsmed],T_sept_dec[[#This Row],[CléRéseau-Rize horsmed]])</f>
        <v>4.1841004184100415E-3</v>
      </c>
      <c r="R221" s="186" t="str">
        <f>IF(COUNTIF(RIZE,T_sept_dec[[#This Row],[Secteur organisateur]]),"Rize_"&amp;T_sept_dec[[#This Row],[Enseignant référent (Nom Prénom)]],"")</f>
        <v/>
      </c>
      <c r="S221" s="186">
        <f>1/COUNTIF(T_sept_dec[CléRize],T_sept_dec[[#This Row],[CléRize]])</f>
        <v>4.048582995951417E-3</v>
      </c>
      <c r="T221" s="186" t="str">
        <f>IF(COUNTIF(Total,T_sept_dec[[#This Row],[Secteur organisateur]]),"Total_"&amp;T_sept_dec[[#This Row],[Enseignant référent (Nom Prénom)]],"")</f>
        <v/>
      </c>
      <c r="U221" s="186">
        <f>1/COUNTIF(T_sept_dec[cléTotal],T_sept_dec[[#This Row],[cléTotal]])</f>
        <v>4.1841004184100415E-3</v>
      </c>
    </row>
    <row r="222" spans="11:21">
      <c r="K222" s="21" t="str">
        <f>IF(COUNTIF(Maternelle,E222)=1,listes!$T$1,IF(COUNTIF(Elémentaire,E222)=1,listes!$U$1,IF(COUNTIF(Collège,E222)=1,listes!$V$1,IF(COUNTIF(Lycée,E222)=1,listes!$W$1,""))))</f>
        <v/>
      </c>
      <c r="L222" s="21" t="str">
        <f>IF(COUNTIF(Perralière,D222)=1,listes!$P$1,IF(COUNTIF(Buers,D222)=1,listes!$J$1,IF(COUNTIF(Charpennes,D222)=1,listes!$K$1,IF(COUNTIF(Cusset,D222)=1,listes!$L$1,IF(COUNTIF(Cyprien,D222)=1,listes!$M$1,IF(COUNTIF(Ferrandière,D222)=1,listes!$N$1,IF(COUNTIF(Gratteciel,D222)=1,listes!$O$1,IF(COUNTIF(Saintjean,D222)=1,listes!$Q$1,IF(COUNTIF(horsvilleurbanne,D222)=1,listes!$R$1,"")))))))))</f>
        <v/>
      </c>
      <c r="M222" s="21" t="str">
        <f t="shared" si="3"/>
        <v/>
      </c>
      <c r="N222" s="186" t="str">
        <f>T_sept_dec[[#This Row],[Etablissement accueillant]]&amp;"-"&amp;T_sept_dec[[#This Row],[Enseignant référent (Nom Prénom)]]</f>
        <v>-</v>
      </c>
      <c r="O222" s="21">
        <f>1/COUNTIF(T_sept_dec[CléEtablissement],T_sept_dec[[#This Row],[CléEtablissement]])</f>
        <v>4.1841004184100415E-3</v>
      </c>
      <c r="P22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2" s="186">
        <f>1/COUNTIF(T_sept_dec[CléRéseau-Rize horsmed],T_sept_dec[[#This Row],[CléRéseau-Rize horsmed]])</f>
        <v>4.1841004184100415E-3</v>
      </c>
      <c r="R222" s="186" t="str">
        <f>IF(COUNTIF(RIZE,T_sept_dec[[#This Row],[Secteur organisateur]]),"Rize_"&amp;T_sept_dec[[#This Row],[Enseignant référent (Nom Prénom)]],"")</f>
        <v/>
      </c>
      <c r="S222" s="186">
        <f>1/COUNTIF(T_sept_dec[CléRize],T_sept_dec[[#This Row],[CléRize]])</f>
        <v>4.048582995951417E-3</v>
      </c>
      <c r="T222" s="186" t="str">
        <f>IF(COUNTIF(Total,T_sept_dec[[#This Row],[Secteur organisateur]]),"Total_"&amp;T_sept_dec[[#This Row],[Enseignant référent (Nom Prénom)]],"")</f>
        <v/>
      </c>
      <c r="U222" s="186">
        <f>1/COUNTIF(T_sept_dec[cléTotal],T_sept_dec[[#This Row],[cléTotal]])</f>
        <v>4.1841004184100415E-3</v>
      </c>
    </row>
    <row r="223" spans="11:21">
      <c r="K223" s="21" t="str">
        <f>IF(COUNTIF(Maternelle,E223)=1,listes!$T$1,IF(COUNTIF(Elémentaire,E223)=1,listes!$U$1,IF(COUNTIF(Collège,E223)=1,listes!$V$1,IF(COUNTIF(Lycée,E223)=1,listes!$W$1,""))))</f>
        <v/>
      </c>
      <c r="L223" s="21" t="str">
        <f>IF(COUNTIF(Perralière,D223)=1,listes!$P$1,IF(COUNTIF(Buers,D223)=1,listes!$J$1,IF(COUNTIF(Charpennes,D223)=1,listes!$K$1,IF(COUNTIF(Cusset,D223)=1,listes!$L$1,IF(COUNTIF(Cyprien,D223)=1,listes!$M$1,IF(COUNTIF(Ferrandière,D223)=1,listes!$N$1,IF(COUNTIF(Gratteciel,D223)=1,listes!$O$1,IF(COUNTIF(Saintjean,D223)=1,listes!$Q$1,IF(COUNTIF(horsvilleurbanne,D223)=1,listes!$R$1,"")))))))))</f>
        <v/>
      </c>
      <c r="M223" s="21" t="str">
        <f t="shared" si="3"/>
        <v/>
      </c>
      <c r="N223" s="186" t="str">
        <f>T_sept_dec[[#This Row],[Etablissement accueillant]]&amp;"-"&amp;T_sept_dec[[#This Row],[Enseignant référent (Nom Prénom)]]</f>
        <v>-</v>
      </c>
      <c r="O223" s="21">
        <f>1/COUNTIF(T_sept_dec[CléEtablissement],T_sept_dec[[#This Row],[CléEtablissement]])</f>
        <v>4.1841004184100415E-3</v>
      </c>
      <c r="P22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3" s="186">
        <f>1/COUNTIF(T_sept_dec[CléRéseau-Rize horsmed],T_sept_dec[[#This Row],[CléRéseau-Rize horsmed]])</f>
        <v>4.1841004184100415E-3</v>
      </c>
      <c r="R223" s="186" t="str">
        <f>IF(COUNTIF(RIZE,T_sept_dec[[#This Row],[Secteur organisateur]]),"Rize_"&amp;T_sept_dec[[#This Row],[Enseignant référent (Nom Prénom)]],"")</f>
        <v/>
      </c>
      <c r="S223" s="186">
        <f>1/COUNTIF(T_sept_dec[CléRize],T_sept_dec[[#This Row],[CléRize]])</f>
        <v>4.048582995951417E-3</v>
      </c>
      <c r="T223" s="186" t="str">
        <f>IF(COUNTIF(Total,T_sept_dec[[#This Row],[Secteur organisateur]]),"Total_"&amp;T_sept_dec[[#This Row],[Enseignant référent (Nom Prénom)]],"")</f>
        <v/>
      </c>
      <c r="U223" s="186">
        <f>1/COUNTIF(T_sept_dec[cléTotal],T_sept_dec[[#This Row],[cléTotal]])</f>
        <v>4.1841004184100415E-3</v>
      </c>
    </row>
    <row r="224" spans="11:21">
      <c r="K224" s="21" t="str">
        <f>IF(COUNTIF(Maternelle,E224)=1,listes!$T$1,IF(COUNTIF(Elémentaire,E224)=1,listes!$U$1,IF(COUNTIF(Collège,E224)=1,listes!$V$1,IF(COUNTIF(Lycée,E224)=1,listes!$W$1,""))))</f>
        <v/>
      </c>
      <c r="L224" s="21" t="str">
        <f>IF(COUNTIF(Perralière,D224)=1,listes!$P$1,IF(COUNTIF(Buers,D224)=1,listes!$J$1,IF(COUNTIF(Charpennes,D224)=1,listes!$K$1,IF(COUNTIF(Cusset,D224)=1,listes!$L$1,IF(COUNTIF(Cyprien,D224)=1,listes!$M$1,IF(COUNTIF(Ferrandière,D224)=1,listes!$N$1,IF(COUNTIF(Gratteciel,D224)=1,listes!$O$1,IF(COUNTIF(Saintjean,D224)=1,listes!$Q$1,IF(COUNTIF(horsvilleurbanne,D224)=1,listes!$R$1,"")))))))))</f>
        <v/>
      </c>
      <c r="M224" s="21" t="str">
        <f t="shared" si="3"/>
        <v/>
      </c>
      <c r="N224" s="186" t="str">
        <f>T_sept_dec[[#This Row],[Etablissement accueillant]]&amp;"-"&amp;T_sept_dec[[#This Row],[Enseignant référent (Nom Prénom)]]</f>
        <v>-</v>
      </c>
      <c r="O224" s="21">
        <f>1/COUNTIF(T_sept_dec[CléEtablissement],T_sept_dec[[#This Row],[CléEtablissement]])</f>
        <v>4.1841004184100415E-3</v>
      </c>
      <c r="P22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4" s="186">
        <f>1/COUNTIF(T_sept_dec[CléRéseau-Rize horsmed],T_sept_dec[[#This Row],[CléRéseau-Rize horsmed]])</f>
        <v>4.1841004184100415E-3</v>
      </c>
      <c r="R224" s="186" t="str">
        <f>IF(COUNTIF(RIZE,T_sept_dec[[#This Row],[Secteur organisateur]]),"Rize_"&amp;T_sept_dec[[#This Row],[Enseignant référent (Nom Prénom)]],"")</f>
        <v/>
      </c>
      <c r="S224" s="186">
        <f>1/COUNTIF(T_sept_dec[CléRize],T_sept_dec[[#This Row],[CléRize]])</f>
        <v>4.048582995951417E-3</v>
      </c>
      <c r="T224" s="186" t="str">
        <f>IF(COUNTIF(Total,T_sept_dec[[#This Row],[Secteur organisateur]]),"Total_"&amp;T_sept_dec[[#This Row],[Enseignant référent (Nom Prénom)]],"")</f>
        <v/>
      </c>
      <c r="U224" s="186">
        <f>1/COUNTIF(T_sept_dec[cléTotal],T_sept_dec[[#This Row],[cléTotal]])</f>
        <v>4.1841004184100415E-3</v>
      </c>
    </row>
    <row r="225" spans="11:21">
      <c r="K225" s="21" t="str">
        <f>IF(COUNTIF(Maternelle,E225)=1,listes!$T$1,IF(COUNTIF(Elémentaire,E225)=1,listes!$U$1,IF(COUNTIF(Collège,E225)=1,listes!$V$1,IF(COUNTIF(Lycée,E225)=1,listes!$W$1,""))))</f>
        <v/>
      </c>
      <c r="L225" s="21" t="str">
        <f>IF(COUNTIF(Perralière,D225)=1,listes!$P$1,IF(COUNTIF(Buers,D225)=1,listes!$J$1,IF(COUNTIF(Charpennes,D225)=1,listes!$K$1,IF(COUNTIF(Cusset,D225)=1,listes!$L$1,IF(COUNTIF(Cyprien,D225)=1,listes!$M$1,IF(COUNTIF(Ferrandière,D225)=1,listes!$N$1,IF(COUNTIF(Gratteciel,D225)=1,listes!$O$1,IF(COUNTIF(Saintjean,D225)=1,listes!$Q$1,IF(COUNTIF(horsvilleurbanne,D225)=1,listes!$R$1,"")))))))))</f>
        <v/>
      </c>
      <c r="M225" s="21" t="str">
        <f t="shared" si="3"/>
        <v/>
      </c>
      <c r="N225" s="186" t="str">
        <f>T_sept_dec[[#This Row],[Etablissement accueillant]]&amp;"-"&amp;T_sept_dec[[#This Row],[Enseignant référent (Nom Prénom)]]</f>
        <v>-</v>
      </c>
      <c r="O225" s="21">
        <f>1/COUNTIF(T_sept_dec[CléEtablissement],T_sept_dec[[#This Row],[CléEtablissement]])</f>
        <v>4.1841004184100415E-3</v>
      </c>
      <c r="P22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5" s="186">
        <f>1/COUNTIF(T_sept_dec[CléRéseau-Rize horsmed],T_sept_dec[[#This Row],[CléRéseau-Rize horsmed]])</f>
        <v>4.1841004184100415E-3</v>
      </c>
      <c r="R225" s="186" t="str">
        <f>IF(COUNTIF(RIZE,T_sept_dec[[#This Row],[Secteur organisateur]]),"Rize_"&amp;T_sept_dec[[#This Row],[Enseignant référent (Nom Prénom)]],"")</f>
        <v/>
      </c>
      <c r="S225" s="186">
        <f>1/COUNTIF(T_sept_dec[CléRize],T_sept_dec[[#This Row],[CléRize]])</f>
        <v>4.048582995951417E-3</v>
      </c>
      <c r="T225" s="186" t="str">
        <f>IF(COUNTIF(Total,T_sept_dec[[#This Row],[Secteur organisateur]]),"Total_"&amp;T_sept_dec[[#This Row],[Enseignant référent (Nom Prénom)]],"")</f>
        <v/>
      </c>
      <c r="U225" s="186">
        <f>1/COUNTIF(T_sept_dec[cléTotal],T_sept_dec[[#This Row],[cléTotal]])</f>
        <v>4.1841004184100415E-3</v>
      </c>
    </row>
    <row r="226" spans="11:21">
      <c r="K226" s="21" t="str">
        <f>IF(COUNTIF(Maternelle,E226)=1,listes!$T$1,IF(COUNTIF(Elémentaire,E226)=1,listes!$U$1,IF(COUNTIF(Collège,E226)=1,listes!$V$1,IF(COUNTIF(Lycée,E226)=1,listes!$W$1,""))))</f>
        <v/>
      </c>
      <c r="L226" s="21" t="str">
        <f>IF(COUNTIF(Perralière,D226)=1,listes!$P$1,IF(COUNTIF(Buers,D226)=1,listes!$J$1,IF(COUNTIF(Charpennes,D226)=1,listes!$K$1,IF(COUNTIF(Cusset,D226)=1,listes!$L$1,IF(COUNTIF(Cyprien,D226)=1,listes!$M$1,IF(COUNTIF(Ferrandière,D226)=1,listes!$N$1,IF(COUNTIF(Gratteciel,D226)=1,listes!$O$1,IF(COUNTIF(Saintjean,D226)=1,listes!$Q$1,IF(COUNTIF(horsvilleurbanne,D226)=1,listes!$R$1,"")))))))))</f>
        <v/>
      </c>
      <c r="M226" s="21" t="str">
        <f t="shared" si="3"/>
        <v/>
      </c>
      <c r="N226" s="186" t="str">
        <f>T_sept_dec[[#This Row],[Etablissement accueillant]]&amp;"-"&amp;T_sept_dec[[#This Row],[Enseignant référent (Nom Prénom)]]</f>
        <v>-</v>
      </c>
      <c r="O226" s="21">
        <f>1/COUNTIF(T_sept_dec[CléEtablissement],T_sept_dec[[#This Row],[CléEtablissement]])</f>
        <v>4.1841004184100415E-3</v>
      </c>
      <c r="P22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6" s="186">
        <f>1/COUNTIF(T_sept_dec[CléRéseau-Rize horsmed],T_sept_dec[[#This Row],[CléRéseau-Rize horsmed]])</f>
        <v>4.1841004184100415E-3</v>
      </c>
      <c r="R226" s="186" t="str">
        <f>IF(COUNTIF(RIZE,T_sept_dec[[#This Row],[Secteur organisateur]]),"Rize_"&amp;T_sept_dec[[#This Row],[Enseignant référent (Nom Prénom)]],"")</f>
        <v/>
      </c>
      <c r="S226" s="186">
        <f>1/COUNTIF(T_sept_dec[CléRize],T_sept_dec[[#This Row],[CléRize]])</f>
        <v>4.048582995951417E-3</v>
      </c>
      <c r="T226" s="186" t="str">
        <f>IF(COUNTIF(Total,T_sept_dec[[#This Row],[Secteur organisateur]]),"Total_"&amp;T_sept_dec[[#This Row],[Enseignant référent (Nom Prénom)]],"")</f>
        <v/>
      </c>
      <c r="U226" s="186">
        <f>1/COUNTIF(T_sept_dec[cléTotal],T_sept_dec[[#This Row],[cléTotal]])</f>
        <v>4.1841004184100415E-3</v>
      </c>
    </row>
    <row r="227" spans="11:21">
      <c r="K227" s="21" t="str">
        <f>IF(COUNTIF(Maternelle,E227)=1,listes!$T$1,IF(COUNTIF(Elémentaire,E227)=1,listes!$U$1,IF(COUNTIF(Collège,E227)=1,listes!$V$1,IF(COUNTIF(Lycée,E227)=1,listes!$W$1,""))))</f>
        <v/>
      </c>
      <c r="L227" s="21" t="str">
        <f>IF(COUNTIF(Perralière,D227)=1,listes!$P$1,IF(COUNTIF(Buers,D227)=1,listes!$J$1,IF(COUNTIF(Charpennes,D227)=1,listes!$K$1,IF(COUNTIF(Cusset,D227)=1,listes!$L$1,IF(COUNTIF(Cyprien,D227)=1,listes!$M$1,IF(COUNTIF(Ferrandière,D227)=1,listes!$N$1,IF(COUNTIF(Gratteciel,D227)=1,listes!$O$1,IF(COUNTIF(Saintjean,D227)=1,listes!$Q$1,IF(COUNTIF(horsvilleurbanne,D227)=1,listes!$R$1,"")))))))))</f>
        <v/>
      </c>
      <c r="M227" s="21" t="str">
        <f t="shared" si="3"/>
        <v/>
      </c>
      <c r="N227" s="186" t="str">
        <f>T_sept_dec[[#This Row],[Etablissement accueillant]]&amp;"-"&amp;T_sept_dec[[#This Row],[Enseignant référent (Nom Prénom)]]</f>
        <v>-</v>
      </c>
      <c r="O227" s="21">
        <f>1/COUNTIF(T_sept_dec[CléEtablissement],T_sept_dec[[#This Row],[CléEtablissement]])</f>
        <v>4.1841004184100415E-3</v>
      </c>
      <c r="P22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7" s="186">
        <f>1/COUNTIF(T_sept_dec[CléRéseau-Rize horsmed],T_sept_dec[[#This Row],[CléRéseau-Rize horsmed]])</f>
        <v>4.1841004184100415E-3</v>
      </c>
      <c r="R227" s="186" t="str">
        <f>IF(COUNTIF(RIZE,T_sept_dec[[#This Row],[Secteur organisateur]]),"Rize_"&amp;T_sept_dec[[#This Row],[Enseignant référent (Nom Prénom)]],"")</f>
        <v/>
      </c>
      <c r="S227" s="186">
        <f>1/COUNTIF(T_sept_dec[CléRize],T_sept_dec[[#This Row],[CléRize]])</f>
        <v>4.048582995951417E-3</v>
      </c>
      <c r="T227" s="186" t="str">
        <f>IF(COUNTIF(Total,T_sept_dec[[#This Row],[Secteur organisateur]]),"Total_"&amp;T_sept_dec[[#This Row],[Enseignant référent (Nom Prénom)]],"")</f>
        <v/>
      </c>
      <c r="U227" s="186">
        <f>1/COUNTIF(T_sept_dec[cléTotal],T_sept_dec[[#This Row],[cléTotal]])</f>
        <v>4.1841004184100415E-3</v>
      </c>
    </row>
    <row r="228" spans="11:21">
      <c r="K228" s="21" t="str">
        <f>IF(COUNTIF(Maternelle,E228)=1,listes!$T$1,IF(COUNTIF(Elémentaire,E228)=1,listes!$U$1,IF(COUNTIF(Collège,E228)=1,listes!$V$1,IF(COUNTIF(Lycée,E228)=1,listes!$W$1,""))))</f>
        <v/>
      </c>
      <c r="L228" s="21" t="str">
        <f>IF(COUNTIF(Perralière,D228)=1,listes!$P$1,IF(COUNTIF(Buers,D228)=1,listes!$J$1,IF(COUNTIF(Charpennes,D228)=1,listes!$K$1,IF(COUNTIF(Cusset,D228)=1,listes!$L$1,IF(COUNTIF(Cyprien,D228)=1,listes!$M$1,IF(COUNTIF(Ferrandière,D228)=1,listes!$N$1,IF(COUNTIF(Gratteciel,D228)=1,listes!$O$1,IF(COUNTIF(Saintjean,D228)=1,listes!$Q$1,IF(COUNTIF(horsvilleurbanne,D228)=1,listes!$R$1,"")))))))))</f>
        <v/>
      </c>
      <c r="M228" s="21" t="str">
        <f t="shared" si="3"/>
        <v/>
      </c>
      <c r="N228" s="186" t="str">
        <f>T_sept_dec[[#This Row],[Etablissement accueillant]]&amp;"-"&amp;T_sept_dec[[#This Row],[Enseignant référent (Nom Prénom)]]</f>
        <v>-</v>
      </c>
      <c r="O228" s="21">
        <f>1/COUNTIF(T_sept_dec[CléEtablissement],T_sept_dec[[#This Row],[CléEtablissement]])</f>
        <v>4.1841004184100415E-3</v>
      </c>
      <c r="P22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8" s="186">
        <f>1/COUNTIF(T_sept_dec[CléRéseau-Rize horsmed],T_sept_dec[[#This Row],[CléRéseau-Rize horsmed]])</f>
        <v>4.1841004184100415E-3</v>
      </c>
      <c r="R228" s="186" t="str">
        <f>IF(COUNTIF(RIZE,T_sept_dec[[#This Row],[Secteur organisateur]]),"Rize_"&amp;T_sept_dec[[#This Row],[Enseignant référent (Nom Prénom)]],"")</f>
        <v/>
      </c>
      <c r="S228" s="186">
        <f>1/COUNTIF(T_sept_dec[CléRize],T_sept_dec[[#This Row],[CléRize]])</f>
        <v>4.048582995951417E-3</v>
      </c>
      <c r="T228" s="186" t="str">
        <f>IF(COUNTIF(Total,T_sept_dec[[#This Row],[Secteur organisateur]]),"Total_"&amp;T_sept_dec[[#This Row],[Enseignant référent (Nom Prénom)]],"")</f>
        <v/>
      </c>
      <c r="U228" s="186">
        <f>1/COUNTIF(T_sept_dec[cléTotal],T_sept_dec[[#This Row],[cléTotal]])</f>
        <v>4.1841004184100415E-3</v>
      </c>
    </row>
    <row r="229" spans="11:21">
      <c r="K229" s="21" t="str">
        <f>IF(COUNTIF(Maternelle,E229)=1,listes!$T$1,IF(COUNTIF(Elémentaire,E229)=1,listes!$U$1,IF(COUNTIF(Collège,E229)=1,listes!$V$1,IF(COUNTIF(Lycée,E229)=1,listes!$W$1,""))))</f>
        <v/>
      </c>
      <c r="L229" s="21" t="str">
        <f>IF(COUNTIF(Perralière,D229)=1,listes!$P$1,IF(COUNTIF(Buers,D229)=1,listes!$J$1,IF(COUNTIF(Charpennes,D229)=1,listes!$K$1,IF(COUNTIF(Cusset,D229)=1,listes!$L$1,IF(COUNTIF(Cyprien,D229)=1,listes!$M$1,IF(COUNTIF(Ferrandière,D229)=1,listes!$N$1,IF(COUNTIF(Gratteciel,D229)=1,listes!$O$1,IF(COUNTIF(Saintjean,D229)=1,listes!$Q$1,IF(COUNTIF(horsvilleurbanne,D229)=1,listes!$R$1,"")))))))))</f>
        <v/>
      </c>
      <c r="M229" s="21" t="str">
        <f t="shared" si="3"/>
        <v/>
      </c>
      <c r="N229" s="186" t="str">
        <f>T_sept_dec[[#This Row],[Etablissement accueillant]]&amp;"-"&amp;T_sept_dec[[#This Row],[Enseignant référent (Nom Prénom)]]</f>
        <v>-</v>
      </c>
      <c r="O229" s="21">
        <f>1/COUNTIF(T_sept_dec[CléEtablissement],T_sept_dec[[#This Row],[CléEtablissement]])</f>
        <v>4.1841004184100415E-3</v>
      </c>
      <c r="P22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29" s="186">
        <f>1/COUNTIF(T_sept_dec[CléRéseau-Rize horsmed],T_sept_dec[[#This Row],[CléRéseau-Rize horsmed]])</f>
        <v>4.1841004184100415E-3</v>
      </c>
      <c r="R229" s="186" t="str">
        <f>IF(COUNTIF(RIZE,T_sept_dec[[#This Row],[Secteur organisateur]]),"Rize_"&amp;T_sept_dec[[#This Row],[Enseignant référent (Nom Prénom)]],"")</f>
        <v/>
      </c>
      <c r="S229" s="186">
        <f>1/COUNTIF(T_sept_dec[CléRize],T_sept_dec[[#This Row],[CléRize]])</f>
        <v>4.048582995951417E-3</v>
      </c>
      <c r="T229" s="186" t="str">
        <f>IF(COUNTIF(Total,T_sept_dec[[#This Row],[Secteur organisateur]]),"Total_"&amp;T_sept_dec[[#This Row],[Enseignant référent (Nom Prénom)]],"")</f>
        <v/>
      </c>
      <c r="U229" s="186">
        <f>1/COUNTIF(T_sept_dec[cléTotal],T_sept_dec[[#This Row],[cléTotal]])</f>
        <v>4.1841004184100415E-3</v>
      </c>
    </row>
    <row r="230" spans="11:21">
      <c r="K230" s="21" t="str">
        <f>IF(COUNTIF(Maternelle,E230)=1,listes!$T$1,IF(COUNTIF(Elémentaire,E230)=1,listes!$U$1,IF(COUNTIF(Collège,E230)=1,listes!$V$1,IF(COUNTIF(Lycée,E230)=1,listes!$W$1,""))))</f>
        <v/>
      </c>
      <c r="L230" s="21" t="str">
        <f>IF(COUNTIF(Perralière,D230)=1,listes!$P$1,IF(COUNTIF(Buers,D230)=1,listes!$J$1,IF(COUNTIF(Charpennes,D230)=1,listes!$K$1,IF(COUNTIF(Cusset,D230)=1,listes!$L$1,IF(COUNTIF(Cyprien,D230)=1,listes!$M$1,IF(COUNTIF(Ferrandière,D230)=1,listes!$N$1,IF(COUNTIF(Gratteciel,D230)=1,listes!$O$1,IF(COUNTIF(Saintjean,D230)=1,listes!$Q$1,IF(COUNTIF(horsvilleurbanne,D230)=1,listes!$R$1,"")))))))))</f>
        <v/>
      </c>
      <c r="M230" s="21" t="str">
        <f t="shared" si="3"/>
        <v/>
      </c>
      <c r="N230" s="186" t="str">
        <f>T_sept_dec[[#This Row],[Etablissement accueillant]]&amp;"-"&amp;T_sept_dec[[#This Row],[Enseignant référent (Nom Prénom)]]</f>
        <v>-</v>
      </c>
      <c r="O230" s="21">
        <f>1/COUNTIF(T_sept_dec[CléEtablissement],T_sept_dec[[#This Row],[CléEtablissement]])</f>
        <v>4.1841004184100415E-3</v>
      </c>
      <c r="P23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0" s="186">
        <f>1/COUNTIF(T_sept_dec[CléRéseau-Rize horsmed],T_sept_dec[[#This Row],[CléRéseau-Rize horsmed]])</f>
        <v>4.1841004184100415E-3</v>
      </c>
      <c r="R230" s="186" t="str">
        <f>IF(COUNTIF(RIZE,T_sept_dec[[#This Row],[Secteur organisateur]]),"Rize_"&amp;T_sept_dec[[#This Row],[Enseignant référent (Nom Prénom)]],"")</f>
        <v/>
      </c>
      <c r="S230" s="186">
        <f>1/COUNTIF(T_sept_dec[CléRize],T_sept_dec[[#This Row],[CléRize]])</f>
        <v>4.048582995951417E-3</v>
      </c>
      <c r="T230" s="186" t="str">
        <f>IF(COUNTIF(Total,T_sept_dec[[#This Row],[Secteur organisateur]]),"Total_"&amp;T_sept_dec[[#This Row],[Enseignant référent (Nom Prénom)]],"")</f>
        <v/>
      </c>
      <c r="U230" s="186">
        <f>1/COUNTIF(T_sept_dec[cléTotal],T_sept_dec[[#This Row],[cléTotal]])</f>
        <v>4.1841004184100415E-3</v>
      </c>
    </row>
    <row r="231" spans="11:21">
      <c r="K231" s="21" t="str">
        <f>IF(COUNTIF(Maternelle,E231)=1,listes!$T$1,IF(COUNTIF(Elémentaire,E231)=1,listes!$U$1,IF(COUNTIF(Collège,E231)=1,listes!$V$1,IF(COUNTIF(Lycée,E231)=1,listes!$W$1,""))))</f>
        <v/>
      </c>
      <c r="L231" s="21" t="str">
        <f>IF(COUNTIF(Perralière,D231)=1,listes!$P$1,IF(COUNTIF(Buers,D231)=1,listes!$J$1,IF(COUNTIF(Charpennes,D231)=1,listes!$K$1,IF(COUNTIF(Cusset,D231)=1,listes!$L$1,IF(COUNTIF(Cyprien,D231)=1,listes!$M$1,IF(COUNTIF(Ferrandière,D231)=1,listes!$N$1,IF(COUNTIF(Gratteciel,D231)=1,listes!$O$1,IF(COUNTIF(Saintjean,D231)=1,listes!$Q$1,IF(COUNTIF(horsvilleurbanne,D231)=1,listes!$R$1,"")))))))))</f>
        <v/>
      </c>
      <c r="M231" s="21" t="str">
        <f t="shared" si="3"/>
        <v/>
      </c>
      <c r="N231" s="186" t="str">
        <f>T_sept_dec[[#This Row],[Etablissement accueillant]]&amp;"-"&amp;T_sept_dec[[#This Row],[Enseignant référent (Nom Prénom)]]</f>
        <v>-</v>
      </c>
      <c r="O231" s="21">
        <f>1/COUNTIF(T_sept_dec[CléEtablissement],T_sept_dec[[#This Row],[CléEtablissement]])</f>
        <v>4.1841004184100415E-3</v>
      </c>
      <c r="P23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1" s="186">
        <f>1/COUNTIF(T_sept_dec[CléRéseau-Rize horsmed],T_sept_dec[[#This Row],[CléRéseau-Rize horsmed]])</f>
        <v>4.1841004184100415E-3</v>
      </c>
      <c r="R231" s="186" t="str">
        <f>IF(COUNTIF(RIZE,T_sept_dec[[#This Row],[Secteur organisateur]]),"Rize_"&amp;T_sept_dec[[#This Row],[Enseignant référent (Nom Prénom)]],"")</f>
        <v/>
      </c>
      <c r="S231" s="186">
        <f>1/COUNTIF(T_sept_dec[CléRize],T_sept_dec[[#This Row],[CléRize]])</f>
        <v>4.048582995951417E-3</v>
      </c>
      <c r="T231" s="186" t="str">
        <f>IF(COUNTIF(Total,T_sept_dec[[#This Row],[Secteur organisateur]]),"Total_"&amp;T_sept_dec[[#This Row],[Enseignant référent (Nom Prénom)]],"")</f>
        <v/>
      </c>
      <c r="U231" s="186">
        <f>1/COUNTIF(T_sept_dec[cléTotal],T_sept_dec[[#This Row],[cléTotal]])</f>
        <v>4.1841004184100415E-3</v>
      </c>
    </row>
    <row r="232" spans="11:21">
      <c r="K232" s="21" t="str">
        <f>IF(COUNTIF(Maternelle,E232)=1,listes!$T$1,IF(COUNTIF(Elémentaire,E232)=1,listes!$U$1,IF(COUNTIF(Collège,E232)=1,listes!$V$1,IF(COUNTIF(Lycée,E232)=1,listes!$W$1,""))))</f>
        <v/>
      </c>
      <c r="L232" s="21" t="str">
        <f>IF(COUNTIF(Perralière,D232)=1,listes!$P$1,IF(COUNTIF(Buers,D232)=1,listes!$J$1,IF(COUNTIF(Charpennes,D232)=1,listes!$K$1,IF(COUNTIF(Cusset,D232)=1,listes!$L$1,IF(COUNTIF(Cyprien,D232)=1,listes!$M$1,IF(COUNTIF(Ferrandière,D232)=1,listes!$N$1,IF(COUNTIF(Gratteciel,D232)=1,listes!$O$1,IF(COUNTIF(Saintjean,D232)=1,listes!$Q$1,IF(COUNTIF(horsvilleurbanne,D232)=1,listes!$R$1,"")))))))))</f>
        <v/>
      </c>
      <c r="M232" s="21" t="str">
        <f t="shared" si="3"/>
        <v/>
      </c>
      <c r="N232" s="186" t="str">
        <f>T_sept_dec[[#This Row],[Etablissement accueillant]]&amp;"-"&amp;T_sept_dec[[#This Row],[Enseignant référent (Nom Prénom)]]</f>
        <v>-</v>
      </c>
      <c r="O232" s="21">
        <f>1/COUNTIF(T_sept_dec[CléEtablissement],T_sept_dec[[#This Row],[CléEtablissement]])</f>
        <v>4.1841004184100415E-3</v>
      </c>
      <c r="P23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2" s="186">
        <f>1/COUNTIF(T_sept_dec[CléRéseau-Rize horsmed],T_sept_dec[[#This Row],[CléRéseau-Rize horsmed]])</f>
        <v>4.1841004184100415E-3</v>
      </c>
      <c r="R232" s="186" t="str">
        <f>IF(COUNTIF(RIZE,T_sept_dec[[#This Row],[Secteur organisateur]]),"Rize_"&amp;T_sept_dec[[#This Row],[Enseignant référent (Nom Prénom)]],"")</f>
        <v/>
      </c>
      <c r="S232" s="186">
        <f>1/COUNTIF(T_sept_dec[CléRize],T_sept_dec[[#This Row],[CléRize]])</f>
        <v>4.048582995951417E-3</v>
      </c>
      <c r="T232" s="186" t="str">
        <f>IF(COUNTIF(Total,T_sept_dec[[#This Row],[Secteur organisateur]]),"Total_"&amp;T_sept_dec[[#This Row],[Enseignant référent (Nom Prénom)]],"")</f>
        <v/>
      </c>
      <c r="U232" s="186">
        <f>1/COUNTIF(T_sept_dec[cléTotal],T_sept_dec[[#This Row],[cléTotal]])</f>
        <v>4.1841004184100415E-3</v>
      </c>
    </row>
    <row r="233" spans="11:21">
      <c r="K233" s="21" t="str">
        <f>IF(COUNTIF(Maternelle,E233)=1,listes!$T$1,IF(COUNTIF(Elémentaire,E233)=1,listes!$U$1,IF(COUNTIF(Collège,E233)=1,listes!$V$1,IF(COUNTIF(Lycée,E233)=1,listes!$W$1,""))))</f>
        <v/>
      </c>
      <c r="L233" s="21" t="str">
        <f>IF(COUNTIF(Perralière,D233)=1,listes!$P$1,IF(COUNTIF(Buers,D233)=1,listes!$J$1,IF(COUNTIF(Charpennes,D233)=1,listes!$K$1,IF(COUNTIF(Cusset,D233)=1,listes!$L$1,IF(COUNTIF(Cyprien,D233)=1,listes!$M$1,IF(COUNTIF(Ferrandière,D233)=1,listes!$N$1,IF(COUNTIF(Gratteciel,D233)=1,listes!$O$1,IF(COUNTIF(Saintjean,D233)=1,listes!$Q$1,IF(COUNTIF(horsvilleurbanne,D233)=1,listes!$R$1,"")))))))))</f>
        <v/>
      </c>
      <c r="M233" s="21" t="str">
        <f t="shared" si="3"/>
        <v/>
      </c>
      <c r="N233" s="186" t="str">
        <f>T_sept_dec[[#This Row],[Etablissement accueillant]]&amp;"-"&amp;T_sept_dec[[#This Row],[Enseignant référent (Nom Prénom)]]</f>
        <v>-</v>
      </c>
      <c r="O233" s="21">
        <f>1/COUNTIF(T_sept_dec[CléEtablissement],T_sept_dec[[#This Row],[CléEtablissement]])</f>
        <v>4.1841004184100415E-3</v>
      </c>
      <c r="P23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3" s="186">
        <f>1/COUNTIF(T_sept_dec[CléRéseau-Rize horsmed],T_sept_dec[[#This Row],[CléRéseau-Rize horsmed]])</f>
        <v>4.1841004184100415E-3</v>
      </c>
      <c r="R233" s="186" t="str">
        <f>IF(COUNTIF(RIZE,T_sept_dec[[#This Row],[Secteur organisateur]]),"Rize_"&amp;T_sept_dec[[#This Row],[Enseignant référent (Nom Prénom)]],"")</f>
        <v/>
      </c>
      <c r="S233" s="186">
        <f>1/COUNTIF(T_sept_dec[CléRize],T_sept_dec[[#This Row],[CléRize]])</f>
        <v>4.048582995951417E-3</v>
      </c>
      <c r="T233" s="186" t="str">
        <f>IF(COUNTIF(Total,T_sept_dec[[#This Row],[Secteur organisateur]]),"Total_"&amp;T_sept_dec[[#This Row],[Enseignant référent (Nom Prénom)]],"")</f>
        <v/>
      </c>
      <c r="U233" s="186">
        <f>1/COUNTIF(T_sept_dec[cléTotal],T_sept_dec[[#This Row],[cléTotal]])</f>
        <v>4.1841004184100415E-3</v>
      </c>
    </row>
    <row r="234" spans="11:21">
      <c r="K234" s="21" t="str">
        <f>IF(COUNTIF(Maternelle,E234)=1,listes!$T$1,IF(COUNTIF(Elémentaire,E234)=1,listes!$U$1,IF(COUNTIF(Collège,E234)=1,listes!$V$1,IF(COUNTIF(Lycée,E234)=1,listes!$W$1,""))))</f>
        <v/>
      </c>
      <c r="L234" s="21" t="str">
        <f>IF(COUNTIF(Perralière,D234)=1,listes!$P$1,IF(COUNTIF(Buers,D234)=1,listes!$J$1,IF(COUNTIF(Charpennes,D234)=1,listes!$K$1,IF(COUNTIF(Cusset,D234)=1,listes!$L$1,IF(COUNTIF(Cyprien,D234)=1,listes!$M$1,IF(COUNTIF(Ferrandière,D234)=1,listes!$N$1,IF(COUNTIF(Gratteciel,D234)=1,listes!$O$1,IF(COUNTIF(Saintjean,D234)=1,listes!$Q$1,IF(COUNTIF(horsvilleurbanne,D234)=1,listes!$R$1,"")))))))))</f>
        <v/>
      </c>
      <c r="M234" s="21" t="str">
        <f t="shared" si="3"/>
        <v/>
      </c>
      <c r="N234" s="186" t="str">
        <f>T_sept_dec[[#This Row],[Etablissement accueillant]]&amp;"-"&amp;T_sept_dec[[#This Row],[Enseignant référent (Nom Prénom)]]</f>
        <v>-</v>
      </c>
      <c r="O234" s="21">
        <f>1/COUNTIF(T_sept_dec[CléEtablissement],T_sept_dec[[#This Row],[CléEtablissement]])</f>
        <v>4.1841004184100415E-3</v>
      </c>
      <c r="P23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4" s="186">
        <f>1/COUNTIF(T_sept_dec[CléRéseau-Rize horsmed],T_sept_dec[[#This Row],[CléRéseau-Rize horsmed]])</f>
        <v>4.1841004184100415E-3</v>
      </c>
      <c r="R234" s="186" t="str">
        <f>IF(COUNTIF(RIZE,T_sept_dec[[#This Row],[Secteur organisateur]]),"Rize_"&amp;T_sept_dec[[#This Row],[Enseignant référent (Nom Prénom)]],"")</f>
        <v/>
      </c>
      <c r="S234" s="186">
        <f>1/COUNTIF(T_sept_dec[CléRize],T_sept_dec[[#This Row],[CléRize]])</f>
        <v>4.048582995951417E-3</v>
      </c>
      <c r="T234" s="186" t="str">
        <f>IF(COUNTIF(Total,T_sept_dec[[#This Row],[Secteur organisateur]]),"Total_"&amp;T_sept_dec[[#This Row],[Enseignant référent (Nom Prénom)]],"")</f>
        <v/>
      </c>
      <c r="U234" s="186">
        <f>1/COUNTIF(T_sept_dec[cléTotal],T_sept_dec[[#This Row],[cléTotal]])</f>
        <v>4.1841004184100415E-3</v>
      </c>
    </row>
    <row r="235" spans="11:21">
      <c r="K235" s="21" t="str">
        <f>IF(COUNTIF(Maternelle,E235)=1,listes!$T$1,IF(COUNTIF(Elémentaire,E235)=1,listes!$U$1,IF(COUNTIF(Collège,E235)=1,listes!$V$1,IF(COUNTIF(Lycée,E235)=1,listes!$W$1,""))))</f>
        <v/>
      </c>
      <c r="L235" s="21" t="str">
        <f>IF(COUNTIF(Perralière,D235)=1,listes!$P$1,IF(COUNTIF(Buers,D235)=1,listes!$J$1,IF(COUNTIF(Charpennes,D235)=1,listes!$K$1,IF(COUNTIF(Cusset,D235)=1,listes!$L$1,IF(COUNTIF(Cyprien,D235)=1,listes!$M$1,IF(COUNTIF(Ferrandière,D235)=1,listes!$N$1,IF(COUNTIF(Gratteciel,D235)=1,listes!$O$1,IF(COUNTIF(Saintjean,D235)=1,listes!$Q$1,IF(COUNTIF(horsvilleurbanne,D235)=1,listes!$R$1,"")))))))))</f>
        <v/>
      </c>
      <c r="M235" s="21" t="str">
        <f t="shared" si="3"/>
        <v/>
      </c>
      <c r="N235" s="186" t="str">
        <f>T_sept_dec[[#This Row],[Etablissement accueillant]]&amp;"-"&amp;T_sept_dec[[#This Row],[Enseignant référent (Nom Prénom)]]</f>
        <v>-</v>
      </c>
      <c r="O235" s="21">
        <f>1/COUNTIF(T_sept_dec[CléEtablissement],T_sept_dec[[#This Row],[CléEtablissement]])</f>
        <v>4.1841004184100415E-3</v>
      </c>
      <c r="P23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5" s="186">
        <f>1/COUNTIF(T_sept_dec[CléRéseau-Rize horsmed],T_sept_dec[[#This Row],[CléRéseau-Rize horsmed]])</f>
        <v>4.1841004184100415E-3</v>
      </c>
      <c r="R235" s="186" t="str">
        <f>IF(COUNTIF(RIZE,T_sept_dec[[#This Row],[Secteur organisateur]]),"Rize_"&amp;T_sept_dec[[#This Row],[Enseignant référent (Nom Prénom)]],"")</f>
        <v/>
      </c>
      <c r="S235" s="186">
        <f>1/COUNTIF(T_sept_dec[CléRize],T_sept_dec[[#This Row],[CléRize]])</f>
        <v>4.048582995951417E-3</v>
      </c>
      <c r="T235" s="186" t="str">
        <f>IF(COUNTIF(Total,T_sept_dec[[#This Row],[Secteur organisateur]]),"Total_"&amp;T_sept_dec[[#This Row],[Enseignant référent (Nom Prénom)]],"")</f>
        <v/>
      </c>
      <c r="U235" s="186">
        <f>1/COUNTIF(T_sept_dec[cléTotal],T_sept_dec[[#This Row],[cléTotal]])</f>
        <v>4.1841004184100415E-3</v>
      </c>
    </row>
    <row r="236" spans="11:21">
      <c r="K236" s="21" t="str">
        <f>IF(COUNTIF(Maternelle,E236)=1,listes!$T$1,IF(COUNTIF(Elémentaire,E236)=1,listes!$U$1,IF(COUNTIF(Collège,E236)=1,listes!$V$1,IF(COUNTIF(Lycée,E236)=1,listes!$W$1,""))))</f>
        <v/>
      </c>
      <c r="L236" s="21" t="str">
        <f>IF(COUNTIF(Perralière,D236)=1,listes!$P$1,IF(COUNTIF(Buers,D236)=1,listes!$J$1,IF(COUNTIF(Charpennes,D236)=1,listes!$K$1,IF(COUNTIF(Cusset,D236)=1,listes!$L$1,IF(COUNTIF(Cyprien,D236)=1,listes!$M$1,IF(COUNTIF(Ferrandière,D236)=1,listes!$N$1,IF(COUNTIF(Gratteciel,D236)=1,listes!$O$1,IF(COUNTIF(Saintjean,D236)=1,listes!$Q$1,IF(COUNTIF(horsvilleurbanne,D236)=1,listes!$R$1,"")))))))))</f>
        <v/>
      </c>
      <c r="M236" s="21" t="str">
        <f t="shared" si="3"/>
        <v/>
      </c>
      <c r="N236" s="186" t="str">
        <f>T_sept_dec[[#This Row],[Etablissement accueillant]]&amp;"-"&amp;T_sept_dec[[#This Row],[Enseignant référent (Nom Prénom)]]</f>
        <v>-</v>
      </c>
      <c r="O236" s="21">
        <f>1/COUNTIF(T_sept_dec[CléEtablissement],T_sept_dec[[#This Row],[CléEtablissement]])</f>
        <v>4.1841004184100415E-3</v>
      </c>
      <c r="P23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6" s="186">
        <f>1/COUNTIF(T_sept_dec[CléRéseau-Rize horsmed],T_sept_dec[[#This Row],[CléRéseau-Rize horsmed]])</f>
        <v>4.1841004184100415E-3</v>
      </c>
      <c r="R236" s="186" t="str">
        <f>IF(COUNTIF(RIZE,T_sept_dec[[#This Row],[Secteur organisateur]]),"Rize_"&amp;T_sept_dec[[#This Row],[Enseignant référent (Nom Prénom)]],"")</f>
        <v/>
      </c>
      <c r="S236" s="186">
        <f>1/COUNTIF(T_sept_dec[CléRize],T_sept_dec[[#This Row],[CléRize]])</f>
        <v>4.048582995951417E-3</v>
      </c>
      <c r="T236" s="186" t="str">
        <f>IF(COUNTIF(Total,T_sept_dec[[#This Row],[Secteur organisateur]]),"Total_"&amp;T_sept_dec[[#This Row],[Enseignant référent (Nom Prénom)]],"")</f>
        <v/>
      </c>
      <c r="U236" s="186">
        <f>1/COUNTIF(T_sept_dec[cléTotal],T_sept_dec[[#This Row],[cléTotal]])</f>
        <v>4.1841004184100415E-3</v>
      </c>
    </row>
    <row r="237" spans="11:21">
      <c r="K237" s="21" t="str">
        <f>IF(COUNTIF(Maternelle,E237)=1,listes!$T$1,IF(COUNTIF(Elémentaire,E237)=1,listes!$U$1,IF(COUNTIF(Collège,E237)=1,listes!$V$1,IF(COUNTIF(Lycée,E237)=1,listes!$W$1,""))))</f>
        <v/>
      </c>
      <c r="L237" s="21" t="str">
        <f>IF(COUNTIF(Perralière,D237)=1,listes!$P$1,IF(COUNTIF(Buers,D237)=1,listes!$J$1,IF(COUNTIF(Charpennes,D237)=1,listes!$K$1,IF(COUNTIF(Cusset,D237)=1,listes!$L$1,IF(COUNTIF(Cyprien,D237)=1,listes!$M$1,IF(COUNTIF(Ferrandière,D237)=1,listes!$N$1,IF(COUNTIF(Gratteciel,D237)=1,listes!$O$1,IF(COUNTIF(Saintjean,D237)=1,listes!$Q$1,IF(COUNTIF(horsvilleurbanne,D237)=1,listes!$R$1,"")))))))))</f>
        <v/>
      </c>
      <c r="M237" s="21" t="str">
        <f t="shared" si="3"/>
        <v/>
      </c>
      <c r="N237" s="186" t="str">
        <f>T_sept_dec[[#This Row],[Etablissement accueillant]]&amp;"-"&amp;T_sept_dec[[#This Row],[Enseignant référent (Nom Prénom)]]</f>
        <v>-</v>
      </c>
      <c r="O237" s="21">
        <f>1/COUNTIF(T_sept_dec[CléEtablissement],T_sept_dec[[#This Row],[CléEtablissement]])</f>
        <v>4.1841004184100415E-3</v>
      </c>
      <c r="P23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7" s="186">
        <f>1/COUNTIF(T_sept_dec[CléRéseau-Rize horsmed],T_sept_dec[[#This Row],[CléRéseau-Rize horsmed]])</f>
        <v>4.1841004184100415E-3</v>
      </c>
      <c r="R237" s="186" t="str">
        <f>IF(COUNTIF(RIZE,T_sept_dec[[#This Row],[Secteur organisateur]]),"Rize_"&amp;T_sept_dec[[#This Row],[Enseignant référent (Nom Prénom)]],"")</f>
        <v/>
      </c>
      <c r="S237" s="186">
        <f>1/COUNTIF(T_sept_dec[CléRize],T_sept_dec[[#This Row],[CléRize]])</f>
        <v>4.048582995951417E-3</v>
      </c>
      <c r="T237" s="186" t="str">
        <f>IF(COUNTIF(Total,T_sept_dec[[#This Row],[Secteur organisateur]]),"Total_"&amp;T_sept_dec[[#This Row],[Enseignant référent (Nom Prénom)]],"")</f>
        <v/>
      </c>
      <c r="U237" s="186">
        <f>1/COUNTIF(T_sept_dec[cléTotal],T_sept_dec[[#This Row],[cléTotal]])</f>
        <v>4.1841004184100415E-3</v>
      </c>
    </row>
    <row r="238" spans="11:21">
      <c r="K238" s="21" t="str">
        <f>IF(COUNTIF(Maternelle,E238)=1,listes!$T$1,IF(COUNTIF(Elémentaire,E238)=1,listes!$U$1,IF(COUNTIF(Collège,E238)=1,listes!$V$1,IF(COUNTIF(Lycée,E238)=1,listes!$W$1,""))))</f>
        <v/>
      </c>
      <c r="L238" s="21" t="str">
        <f>IF(COUNTIF(Perralière,D238)=1,listes!$P$1,IF(COUNTIF(Buers,D238)=1,listes!$J$1,IF(COUNTIF(Charpennes,D238)=1,listes!$K$1,IF(COUNTIF(Cusset,D238)=1,listes!$L$1,IF(COUNTIF(Cyprien,D238)=1,listes!$M$1,IF(COUNTIF(Ferrandière,D238)=1,listes!$N$1,IF(COUNTIF(Gratteciel,D238)=1,listes!$O$1,IF(COUNTIF(Saintjean,D238)=1,listes!$Q$1,IF(COUNTIF(horsvilleurbanne,D238)=1,listes!$R$1,"")))))))))</f>
        <v/>
      </c>
      <c r="M238" s="21" t="str">
        <f t="shared" si="3"/>
        <v/>
      </c>
      <c r="N238" s="186" t="str">
        <f>T_sept_dec[[#This Row],[Etablissement accueillant]]&amp;"-"&amp;T_sept_dec[[#This Row],[Enseignant référent (Nom Prénom)]]</f>
        <v>-</v>
      </c>
      <c r="O238" s="21">
        <f>1/COUNTIF(T_sept_dec[CléEtablissement],T_sept_dec[[#This Row],[CléEtablissement]])</f>
        <v>4.1841004184100415E-3</v>
      </c>
      <c r="P23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8" s="186">
        <f>1/COUNTIF(T_sept_dec[CléRéseau-Rize horsmed],T_sept_dec[[#This Row],[CléRéseau-Rize horsmed]])</f>
        <v>4.1841004184100415E-3</v>
      </c>
      <c r="R238" s="186" t="str">
        <f>IF(COUNTIF(RIZE,T_sept_dec[[#This Row],[Secteur organisateur]]),"Rize_"&amp;T_sept_dec[[#This Row],[Enseignant référent (Nom Prénom)]],"")</f>
        <v/>
      </c>
      <c r="S238" s="186">
        <f>1/COUNTIF(T_sept_dec[CléRize],T_sept_dec[[#This Row],[CléRize]])</f>
        <v>4.048582995951417E-3</v>
      </c>
      <c r="T238" s="186" t="str">
        <f>IF(COUNTIF(Total,T_sept_dec[[#This Row],[Secteur organisateur]]),"Total_"&amp;T_sept_dec[[#This Row],[Enseignant référent (Nom Prénom)]],"")</f>
        <v/>
      </c>
      <c r="U238" s="186">
        <f>1/COUNTIF(T_sept_dec[cléTotal],T_sept_dec[[#This Row],[cléTotal]])</f>
        <v>4.1841004184100415E-3</v>
      </c>
    </row>
    <row r="239" spans="11:21">
      <c r="K239" s="21" t="str">
        <f>IF(COUNTIF(Maternelle,E239)=1,listes!$T$1,IF(COUNTIF(Elémentaire,E239)=1,listes!$U$1,IF(COUNTIF(Collège,E239)=1,listes!$V$1,IF(COUNTIF(Lycée,E239)=1,listes!$W$1,""))))</f>
        <v/>
      </c>
      <c r="L239" s="21" t="str">
        <f>IF(COUNTIF(Perralière,D239)=1,listes!$P$1,IF(COUNTIF(Buers,D239)=1,listes!$J$1,IF(COUNTIF(Charpennes,D239)=1,listes!$K$1,IF(COUNTIF(Cusset,D239)=1,listes!$L$1,IF(COUNTIF(Cyprien,D239)=1,listes!$M$1,IF(COUNTIF(Ferrandière,D239)=1,listes!$N$1,IF(COUNTIF(Gratteciel,D239)=1,listes!$O$1,IF(COUNTIF(Saintjean,D239)=1,listes!$Q$1,IF(COUNTIF(horsvilleurbanne,D239)=1,listes!$R$1,"")))))))))</f>
        <v/>
      </c>
      <c r="M239" s="21" t="str">
        <f t="shared" si="3"/>
        <v/>
      </c>
      <c r="N239" s="186" t="str">
        <f>T_sept_dec[[#This Row],[Etablissement accueillant]]&amp;"-"&amp;T_sept_dec[[#This Row],[Enseignant référent (Nom Prénom)]]</f>
        <v>-</v>
      </c>
      <c r="O239" s="21">
        <f>1/COUNTIF(T_sept_dec[CléEtablissement],T_sept_dec[[#This Row],[CléEtablissement]])</f>
        <v>4.1841004184100415E-3</v>
      </c>
      <c r="P23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39" s="186">
        <f>1/COUNTIF(T_sept_dec[CléRéseau-Rize horsmed],T_sept_dec[[#This Row],[CléRéseau-Rize horsmed]])</f>
        <v>4.1841004184100415E-3</v>
      </c>
      <c r="R239" s="186" t="str">
        <f>IF(COUNTIF(RIZE,T_sept_dec[[#This Row],[Secteur organisateur]]),"Rize_"&amp;T_sept_dec[[#This Row],[Enseignant référent (Nom Prénom)]],"")</f>
        <v/>
      </c>
      <c r="S239" s="186">
        <f>1/COUNTIF(T_sept_dec[CléRize],T_sept_dec[[#This Row],[CléRize]])</f>
        <v>4.048582995951417E-3</v>
      </c>
      <c r="T239" s="186" t="str">
        <f>IF(COUNTIF(Total,T_sept_dec[[#This Row],[Secteur organisateur]]),"Total_"&amp;T_sept_dec[[#This Row],[Enseignant référent (Nom Prénom)]],"")</f>
        <v/>
      </c>
      <c r="U239" s="186">
        <f>1/COUNTIF(T_sept_dec[cléTotal],T_sept_dec[[#This Row],[cléTotal]])</f>
        <v>4.1841004184100415E-3</v>
      </c>
    </row>
    <row r="240" spans="11:21">
      <c r="K240" s="21" t="str">
        <f>IF(COUNTIF(Maternelle,E240)=1,listes!$T$1,IF(COUNTIF(Elémentaire,E240)=1,listes!$U$1,IF(COUNTIF(Collège,E240)=1,listes!$V$1,IF(COUNTIF(Lycée,E240)=1,listes!$W$1,""))))</f>
        <v/>
      </c>
      <c r="L240" s="21" t="str">
        <f>IF(COUNTIF(Perralière,D240)=1,listes!$P$1,IF(COUNTIF(Buers,D240)=1,listes!$J$1,IF(COUNTIF(Charpennes,D240)=1,listes!$K$1,IF(COUNTIF(Cusset,D240)=1,listes!$L$1,IF(COUNTIF(Cyprien,D240)=1,listes!$M$1,IF(COUNTIF(Ferrandière,D240)=1,listes!$N$1,IF(COUNTIF(Gratteciel,D240)=1,listes!$O$1,IF(COUNTIF(Saintjean,D240)=1,listes!$Q$1,IF(COUNTIF(horsvilleurbanne,D240)=1,listes!$R$1,"")))))))))</f>
        <v/>
      </c>
      <c r="M240" s="21" t="str">
        <f t="shared" si="3"/>
        <v/>
      </c>
      <c r="N240" s="186" t="str">
        <f>T_sept_dec[[#This Row],[Etablissement accueillant]]&amp;"-"&amp;T_sept_dec[[#This Row],[Enseignant référent (Nom Prénom)]]</f>
        <v>-</v>
      </c>
      <c r="O240" s="21">
        <f>1/COUNTIF(T_sept_dec[CléEtablissement],T_sept_dec[[#This Row],[CléEtablissement]])</f>
        <v>4.1841004184100415E-3</v>
      </c>
      <c r="P24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0" s="186">
        <f>1/COUNTIF(T_sept_dec[CléRéseau-Rize horsmed],T_sept_dec[[#This Row],[CléRéseau-Rize horsmed]])</f>
        <v>4.1841004184100415E-3</v>
      </c>
      <c r="R240" s="186" t="str">
        <f>IF(COUNTIF(RIZE,T_sept_dec[[#This Row],[Secteur organisateur]]),"Rize_"&amp;T_sept_dec[[#This Row],[Enseignant référent (Nom Prénom)]],"")</f>
        <v/>
      </c>
      <c r="S240" s="186">
        <f>1/COUNTIF(T_sept_dec[CléRize],T_sept_dec[[#This Row],[CléRize]])</f>
        <v>4.048582995951417E-3</v>
      </c>
      <c r="T240" s="186" t="str">
        <f>IF(COUNTIF(Total,T_sept_dec[[#This Row],[Secteur organisateur]]),"Total_"&amp;T_sept_dec[[#This Row],[Enseignant référent (Nom Prénom)]],"")</f>
        <v/>
      </c>
      <c r="U240" s="186">
        <f>1/COUNTIF(T_sept_dec[cléTotal],T_sept_dec[[#This Row],[cléTotal]])</f>
        <v>4.1841004184100415E-3</v>
      </c>
    </row>
    <row r="241" spans="11:21">
      <c r="K241" s="21" t="str">
        <f>IF(COUNTIF(Maternelle,E241)=1,listes!$T$1,IF(COUNTIF(Elémentaire,E241)=1,listes!$U$1,IF(COUNTIF(Collège,E241)=1,listes!$V$1,IF(COUNTIF(Lycée,E241)=1,listes!$W$1,""))))</f>
        <v/>
      </c>
      <c r="L241" s="21" t="str">
        <f>IF(COUNTIF(Perralière,D241)=1,listes!$P$1,IF(COUNTIF(Buers,D241)=1,listes!$J$1,IF(COUNTIF(Charpennes,D241)=1,listes!$K$1,IF(COUNTIF(Cusset,D241)=1,listes!$L$1,IF(COUNTIF(Cyprien,D241)=1,listes!$M$1,IF(COUNTIF(Ferrandière,D241)=1,listes!$N$1,IF(COUNTIF(Gratteciel,D241)=1,listes!$O$1,IF(COUNTIF(Saintjean,D241)=1,listes!$Q$1,IF(COUNTIF(horsvilleurbanne,D241)=1,listes!$R$1,"")))))))))</f>
        <v/>
      </c>
      <c r="M241" s="21" t="str">
        <f t="shared" si="3"/>
        <v/>
      </c>
      <c r="N241" s="186" t="str">
        <f>T_sept_dec[[#This Row],[Etablissement accueillant]]&amp;"-"&amp;T_sept_dec[[#This Row],[Enseignant référent (Nom Prénom)]]</f>
        <v>-</v>
      </c>
      <c r="O241" s="21">
        <f>1/COUNTIF(T_sept_dec[CléEtablissement],T_sept_dec[[#This Row],[CléEtablissement]])</f>
        <v>4.1841004184100415E-3</v>
      </c>
      <c r="P241"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1" s="186">
        <f>1/COUNTIF(T_sept_dec[CléRéseau-Rize horsmed],T_sept_dec[[#This Row],[CléRéseau-Rize horsmed]])</f>
        <v>4.1841004184100415E-3</v>
      </c>
      <c r="R241" s="186" t="str">
        <f>IF(COUNTIF(RIZE,T_sept_dec[[#This Row],[Secteur organisateur]]),"Rize_"&amp;T_sept_dec[[#This Row],[Enseignant référent (Nom Prénom)]],"")</f>
        <v/>
      </c>
      <c r="S241" s="186">
        <f>1/COUNTIF(T_sept_dec[CléRize],T_sept_dec[[#This Row],[CléRize]])</f>
        <v>4.048582995951417E-3</v>
      </c>
      <c r="T241" s="186" t="str">
        <f>IF(COUNTIF(Total,T_sept_dec[[#This Row],[Secteur organisateur]]),"Total_"&amp;T_sept_dec[[#This Row],[Enseignant référent (Nom Prénom)]],"")</f>
        <v/>
      </c>
      <c r="U241" s="186">
        <f>1/COUNTIF(T_sept_dec[cléTotal],T_sept_dec[[#This Row],[cléTotal]])</f>
        <v>4.1841004184100415E-3</v>
      </c>
    </row>
    <row r="242" spans="11:21">
      <c r="K242" s="21" t="str">
        <f>IF(COUNTIF(Maternelle,E242)=1,listes!$T$1,IF(COUNTIF(Elémentaire,E242)=1,listes!$U$1,IF(COUNTIF(Collège,E242)=1,listes!$V$1,IF(COUNTIF(Lycée,E242)=1,listes!$W$1,""))))</f>
        <v/>
      </c>
      <c r="L242" s="21" t="str">
        <f>IF(COUNTIF(Perralière,D242)=1,listes!$P$1,IF(COUNTIF(Buers,D242)=1,listes!$J$1,IF(COUNTIF(Charpennes,D242)=1,listes!$K$1,IF(COUNTIF(Cusset,D242)=1,listes!$L$1,IF(COUNTIF(Cyprien,D242)=1,listes!$M$1,IF(COUNTIF(Ferrandière,D242)=1,listes!$N$1,IF(COUNTIF(Gratteciel,D242)=1,listes!$O$1,IF(COUNTIF(Saintjean,D242)=1,listes!$Q$1,IF(COUNTIF(horsvilleurbanne,D242)=1,listes!$R$1,"")))))))))</f>
        <v/>
      </c>
      <c r="M242" s="21" t="str">
        <f t="shared" si="3"/>
        <v/>
      </c>
      <c r="N242" s="186" t="str">
        <f>T_sept_dec[[#This Row],[Etablissement accueillant]]&amp;"-"&amp;T_sept_dec[[#This Row],[Enseignant référent (Nom Prénom)]]</f>
        <v>-</v>
      </c>
      <c r="O242" s="21">
        <f>1/COUNTIF(T_sept_dec[CléEtablissement],T_sept_dec[[#This Row],[CléEtablissement]])</f>
        <v>4.1841004184100415E-3</v>
      </c>
      <c r="P242"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2" s="186">
        <f>1/COUNTIF(T_sept_dec[CléRéseau-Rize horsmed],T_sept_dec[[#This Row],[CléRéseau-Rize horsmed]])</f>
        <v>4.1841004184100415E-3</v>
      </c>
      <c r="R242" s="186" t="str">
        <f>IF(COUNTIF(RIZE,T_sept_dec[[#This Row],[Secteur organisateur]]),"Rize_"&amp;T_sept_dec[[#This Row],[Enseignant référent (Nom Prénom)]],"")</f>
        <v/>
      </c>
      <c r="S242" s="186">
        <f>1/COUNTIF(T_sept_dec[CléRize],T_sept_dec[[#This Row],[CléRize]])</f>
        <v>4.048582995951417E-3</v>
      </c>
      <c r="T242" s="186" t="str">
        <f>IF(COUNTIF(Total,T_sept_dec[[#This Row],[Secteur organisateur]]),"Total_"&amp;T_sept_dec[[#This Row],[Enseignant référent (Nom Prénom)]],"")</f>
        <v/>
      </c>
      <c r="U242" s="186">
        <f>1/COUNTIF(T_sept_dec[cléTotal],T_sept_dec[[#This Row],[cléTotal]])</f>
        <v>4.1841004184100415E-3</v>
      </c>
    </row>
    <row r="243" spans="11:21">
      <c r="K243" s="21" t="str">
        <f>IF(COUNTIF(Maternelle,E243)=1,listes!$T$1,IF(COUNTIF(Elémentaire,E243)=1,listes!$U$1,IF(COUNTIF(Collège,E243)=1,listes!$V$1,IF(COUNTIF(Lycée,E243)=1,listes!$W$1,""))))</f>
        <v/>
      </c>
      <c r="L243" s="21" t="str">
        <f>IF(COUNTIF(Perralière,D243)=1,listes!$P$1,IF(COUNTIF(Buers,D243)=1,listes!$J$1,IF(COUNTIF(Charpennes,D243)=1,listes!$K$1,IF(COUNTIF(Cusset,D243)=1,listes!$L$1,IF(COUNTIF(Cyprien,D243)=1,listes!$M$1,IF(COUNTIF(Ferrandière,D243)=1,listes!$N$1,IF(COUNTIF(Gratteciel,D243)=1,listes!$O$1,IF(COUNTIF(Saintjean,D243)=1,listes!$Q$1,IF(COUNTIF(horsvilleurbanne,D243)=1,listes!$R$1,"")))))))))</f>
        <v/>
      </c>
      <c r="M243" s="21" t="str">
        <f t="shared" si="3"/>
        <v/>
      </c>
      <c r="N243" s="186" t="str">
        <f>T_sept_dec[[#This Row],[Etablissement accueillant]]&amp;"-"&amp;T_sept_dec[[#This Row],[Enseignant référent (Nom Prénom)]]</f>
        <v>-</v>
      </c>
      <c r="O243" s="21">
        <f>1/COUNTIF(T_sept_dec[CléEtablissement],T_sept_dec[[#This Row],[CléEtablissement]])</f>
        <v>4.1841004184100415E-3</v>
      </c>
      <c r="P243"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3" s="186">
        <f>1/COUNTIF(T_sept_dec[CléRéseau-Rize horsmed],T_sept_dec[[#This Row],[CléRéseau-Rize horsmed]])</f>
        <v>4.1841004184100415E-3</v>
      </c>
      <c r="R243" s="186" t="str">
        <f>IF(COUNTIF(RIZE,T_sept_dec[[#This Row],[Secteur organisateur]]),"Rize_"&amp;T_sept_dec[[#This Row],[Enseignant référent (Nom Prénom)]],"")</f>
        <v/>
      </c>
      <c r="S243" s="186">
        <f>1/COUNTIF(T_sept_dec[CléRize],T_sept_dec[[#This Row],[CléRize]])</f>
        <v>4.048582995951417E-3</v>
      </c>
      <c r="T243" s="186" t="str">
        <f>IF(COUNTIF(Total,T_sept_dec[[#This Row],[Secteur organisateur]]),"Total_"&amp;T_sept_dec[[#This Row],[Enseignant référent (Nom Prénom)]],"")</f>
        <v/>
      </c>
      <c r="U243" s="186">
        <f>1/COUNTIF(T_sept_dec[cléTotal],T_sept_dec[[#This Row],[cléTotal]])</f>
        <v>4.1841004184100415E-3</v>
      </c>
    </row>
    <row r="244" spans="11:21">
      <c r="K244" s="21" t="str">
        <f>IF(COUNTIF(Maternelle,E244)=1,listes!$T$1,IF(COUNTIF(Elémentaire,E244)=1,listes!$U$1,IF(COUNTIF(Collège,E244)=1,listes!$V$1,IF(COUNTIF(Lycée,E244)=1,listes!$W$1,""))))</f>
        <v/>
      </c>
      <c r="L244" s="21" t="str">
        <f>IF(COUNTIF(Perralière,D244)=1,listes!$P$1,IF(COUNTIF(Buers,D244)=1,listes!$J$1,IF(COUNTIF(Charpennes,D244)=1,listes!$K$1,IF(COUNTIF(Cusset,D244)=1,listes!$L$1,IF(COUNTIF(Cyprien,D244)=1,listes!$M$1,IF(COUNTIF(Ferrandière,D244)=1,listes!$N$1,IF(COUNTIF(Gratteciel,D244)=1,listes!$O$1,IF(COUNTIF(Saintjean,D244)=1,listes!$Q$1,IF(COUNTIF(horsvilleurbanne,D244)=1,listes!$R$1,"")))))))))</f>
        <v/>
      </c>
      <c r="M244" s="21" t="str">
        <f t="shared" si="3"/>
        <v/>
      </c>
      <c r="N244" s="186" t="str">
        <f>T_sept_dec[[#This Row],[Etablissement accueillant]]&amp;"-"&amp;T_sept_dec[[#This Row],[Enseignant référent (Nom Prénom)]]</f>
        <v>-</v>
      </c>
      <c r="O244" s="21">
        <f>1/COUNTIF(T_sept_dec[CléEtablissement],T_sept_dec[[#This Row],[CléEtablissement]])</f>
        <v>4.1841004184100415E-3</v>
      </c>
      <c r="P244"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4" s="186">
        <f>1/COUNTIF(T_sept_dec[CléRéseau-Rize horsmed],T_sept_dec[[#This Row],[CléRéseau-Rize horsmed]])</f>
        <v>4.1841004184100415E-3</v>
      </c>
      <c r="R244" s="186" t="str">
        <f>IF(COUNTIF(RIZE,T_sept_dec[[#This Row],[Secteur organisateur]]),"Rize_"&amp;T_sept_dec[[#This Row],[Enseignant référent (Nom Prénom)]],"")</f>
        <v/>
      </c>
      <c r="S244" s="186">
        <f>1/COUNTIF(T_sept_dec[CléRize],T_sept_dec[[#This Row],[CléRize]])</f>
        <v>4.048582995951417E-3</v>
      </c>
      <c r="T244" s="186" t="str">
        <f>IF(COUNTIF(Total,T_sept_dec[[#This Row],[Secteur organisateur]]),"Total_"&amp;T_sept_dec[[#This Row],[Enseignant référent (Nom Prénom)]],"")</f>
        <v/>
      </c>
      <c r="U244" s="186">
        <f>1/COUNTIF(T_sept_dec[cléTotal],T_sept_dec[[#This Row],[cléTotal]])</f>
        <v>4.1841004184100415E-3</v>
      </c>
    </row>
    <row r="245" spans="11:21">
      <c r="K245" s="21" t="str">
        <f>IF(COUNTIF(Maternelle,E245)=1,listes!$T$1,IF(COUNTIF(Elémentaire,E245)=1,listes!$U$1,IF(COUNTIF(Collège,E245)=1,listes!$V$1,IF(COUNTIF(Lycée,E245)=1,listes!$W$1,""))))</f>
        <v/>
      </c>
      <c r="L245" s="21" t="str">
        <f>IF(COUNTIF(Perralière,D245)=1,listes!$P$1,IF(COUNTIF(Buers,D245)=1,listes!$J$1,IF(COUNTIF(Charpennes,D245)=1,listes!$K$1,IF(COUNTIF(Cusset,D245)=1,listes!$L$1,IF(COUNTIF(Cyprien,D245)=1,listes!$M$1,IF(COUNTIF(Ferrandière,D245)=1,listes!$N$1,IF(COUNTIF(Gratteciel,D245)=1,listes!$O$1,IF(COUNTIF(Saintjean,D245)=1,listes!$Q$1,IF(COUNTIF(horsvilleurbanne,D245)=1,listes!$R$1,"")))))))))</f>
        <v/>
      </c>
      <c r="M245" s="21" t="str">
        <f t="shared" si="3"/>
        <v/>
      </c>
      <c r="N245" s="186" t="str">
        <f>T_sept_dec[[#This Row],[Etablissement accueillant]]&amp;"-"&amp;T_sept_dec[[#This Row],[Enseignant référent (Nom Prénom)]]</f>
        <v>-</v>
      </c>
      <c r="O245" s="21">
        <f>1/COUNTIF(T_sept_dec[CléEtablissement],T_sept_dec[[#This Row],[CléEtablissement]])</f>
        <v>4.1841004184100415E-3</v>
      </c>
      <c r="P245"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5" s="186">
        <f>1/COUNTIF(T_sept_dec[CléRéseau-Rize horsmed],T_sept_dec[[#This Row],[CléRéseau-Rize horsmed]])</f>
        <v>4.1841004184100415E-3</v>
      </c>
      <c r="R245" s="186" t="str">
        <f>IF(COUNTIF(RIZE,T_sept_dec[[#This Row],[Secteur organisateur]]),"Rize_"&amp;T_sept_dec[[#This Row],[Enseignant référent (Nom Prénom)]],"")</f>
        <v/>
      </c>
      <c r="S245" s="186">
        <f>1/COUNTIF(T_sept_dec[CléRize],T_sept_dec[[#This Row],[CléRize]])</f>
        <v>4.048582995951417E-3</v>
      </c>
      <c r="T245" s="186" t="str">
        <f>IF(COUNTIF(Total,T_sept_dec[[#This Row],[Secteur organisateur]]),"Total_"&amp;T_sept_dec[[#This Row],[Enseignant référent (Nom Prénom)]],"")</f>
        <v/>
      </c>
      <c r="U245" s="186">
        <f>1/COUNTIF(T_sept_dec[cléTotal],T_sept_dec[[#This Row],[cléTotal]])</f>
        <v>4.1841004184100415E-3</v>
      </c>
    </row>
    <row r="246" spans="11:21">
      <c r="K246" s="21" t="str">
        <f>IF(COUNTIF(Maternelle,E246)=1,listes!$T$1,IF(COUNTIF(Elémentaire,E246)=1,listes!$U$1,IF(COUNTIF(Collège,E246)=1,listes!$V$1,IF(COUNTIF(Lycée,E246)=1,listes!$W$1,""))))</f>
        <v/>
      </c>
      <c r="L246" s="21" t="str">
        <f>IF(COUNTIF(Perralière,D246)=1,listes!$P$1,IF(COUNTIF(Buers,D246)=1,listes!$J$1,IF(COUNTIF(Charpennes,D246)=1,listes!$K$1,IF(COUNTIF(Cusset,D246)=1,listes!$L$1,IF(COUNTIF(Cyprien,D246)=1,listes!$M$1,IF(COUNTIF(Ferrandière,D246)=1,listes!$N$1,IF(COUNTIF(Gratteciel,D246)=1,listes!$O$1,IF(COUNTIF(Saintjean,D246)=1,listes!$Q$1,IF(COUNTIF(horsvilleurbanne,D246)=1,listes!$R$1,"")))))))))</f>
        <v/>
      </c>
      <c r="M246" s="21" t="str">
        <f t="shared" si="3"/>
        <v/>
      </c>
      <c r="N246" s="186" t="str">
        <f>T_sept_dec[[#This Row],[Etablissement accueillant]]&amp;"-"&amp;T_sept_dec[[#This Row],[Enseignant référent (Nom Prénom)]]</f>
        <v>-</v>
      </c>
      <c r="O246" s="21">
        <f>1/COUNTIF(T_sept_dec[CléEtablissement],T_sept_dec[[#This Row],[CléEtablissement]])</f>
        <v>4.1841004184100415E-3</v>
      </c>
      <c r="P246"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6" s="186">
        <f>1/COUNTIF(T_sept_dec[CléRéseau-Rize horsmed],T_sept_dec[[#This Row],[CléRéseau-Rize horsmed]])</f>
        <v>4.1841004184100415E-3</v>
      </c>
      <c r="R246" s="186" t="str">
        <f>IF(COUNTIF(RIZE,T_sept_dec[[#This Row],[Secteur organisateur]]),"Rize_"&amp;T_sept_dec[[#This Row],[Enseignant référent (Nom Prénom)]],"")</f>
        <v/>
      </c>
      <c r="S246" s="186">
        <f>1/COUNTIF(T_sept_dec[CléRize],T_sept_dec[[#This Row],[CléRize]])</f>
        <v>4.048582995951417E-3</v>
      </c>
      <c r="T246" s="186" t="str">
        <f>IF(COUNTIF(Total,T_sept_dec[[#This Row],[Secteur organisateur]]),"Total_"&amp;T_sept_dec[[#This Row],[Enseignant référent (Nom Prénom)]],"")</f>
        <v/>
      </c>
      <c r="U246" s="186">
        <f>1/COUNTIF(T_sept_dec[cléTotal],T_sept_dec[[#This Row],[cléTotal]])</f>
        <v>4.1841004184100415E-3</v>
      </c>
    </row>
    <row r="247" spans="11:21">
      <c r="K247" s="21" t="str">
        <f>IF(COUNTIF(Maternelle,E247)=1,listes!$T$1,IF(COUNTIF(Elémentaire,E247)=1,listes!$U$1,IF(COUNTIF(Collège,E247)=1,listes!$V$1,IF(COUNTIF(Lycée,E247)=1,listes!$W$1,""))))</f>
        <v/>
      </c>
      <c r="L247" s="21" t="str">
        <f>IF(COUNTIF(Perralière,D247)=1,listes!$P$1,IF(COUNTIF(Buers,D247)=1,listes!$J$1,IF(COUNTIF(Charpennes,D247)=1,listes!$K$1,IF(COUNTIF(Cusset,D247)=1,listes!$L$1,IF(COUNTIF(Cyprien,D247)=1,listes!$M$1,IF(COUNTIF(Ferrandière,D247)=1,listes!$N$1,IF(COUNTIF(Gratteciel,D247)=1,listes!$O$1,IF(COUNTIF(Saintjean,D247)=1,listes!$Q$1,IF(COUNTIF(horsvilleurbanne,D247)=1,listes!$R$1,"")))))))))</f>
        <v/>
      </c>
      <c r="M247" s="21" t="str">
        <f t="shared" si="3"/>
        <v/>
      </c>
      <c r="N247" s="186" t="str">
        <f>T_sept_dec[[#This Row],[Etablissement accueillant]]&amp;"-"&amp;T_sept_dec[[#This Row],[Enseignant référent (Nom Prénom)]]</f>
        <v>-</v>
      </c>
      <c r="O247" s="21">
        <f>1/COUNTIF(T_sept_dec[CléEtablissement],T_sept_dec[[#This Row],[CléEtablissement]])</f>
        <v>4.1841004184100415E-3</v>
      </c>
      <c r="P247"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7" s="186">
        <f>1/COUNTIF(T_sept_dec[CléRéseau-Rize horsmed],T_sept_dec[[#This Row],[CléRéseau-Rize horsmed]])</f>
        <v>4.1841004184100415E-3</v>
      </c>
      <c r="R247" s="186" t="str">
        <f>IF(COUNTIF(RIZE,T_sept_dec[[#This Row],[Secteur organisateur]]),"Rize_"&amp;T_sept_dec[[#This Row],[Enseignant référent (Nom Prénom)]],"")</f>
        <v/>
      </c>
      <c r="S247" s="186">
        <f>1/COUNTIF(T_sept_dec[CléRize],T_sept_dec[[#This Row],[CléRize]])</f>
        <v>4.048582995951417E-3</v>
      </c>
      <c r="T247" s="186" t="str">
        <f>IF(COUNTIF(Total,T_sept_dec[[#This Row],[Secteur organisateur]]),"Total_"&amp;T_sept_dec[[#This Row],[Enseignant référent (Nom Prénom)]],"")</f>
        <v/>
      </c>
      <c r="U247" s="186">
        <f>1/COUNTIF(T_sept_dec[cléTotal],T_sept_dec[[#This Row],[cléTotal]])</f>
        <v>4.1841004184100415E-3</v>
      </c>
    </row>
    <row r="248" spans="11:21">
      <c r="K248" s="21" t="str">
        <f>IF(COUNTIF(Maternelle,E248)=1,listes!$T$1,IF(COUNTIF(Elémentaire,E248)=1,listes!$U$1,IF(COUNTIF(Collège,E248)=1,listes!$V$1,IF(COUNTIF(Lycée,E248)=1,listes!$W$1,""))))</f>
        <v/>
      </c>
      <c r="L248" s="21" t="str">
        <f>IF(COUNTIF(Perralière,D248)=1,listes!$P$1,IF(COUNTIF(Buers,D248)=1,listes!$J$1,IF(COUNTIF(Charpennes,D248)=1,listes!$K$1,IF(COUNTIF(Cusset,D248)=1,listes!$L$1,IF(COUNTIF(Cyprien,D248)=1,listes!$M$1,IF(COUNTIF(Ferrandière,D248)=1,listes!$N$1,IF(COUNTIF(Gratteciel,D248)=1,listes!$O$1,IF(COUNTIF(Saintjean,D248)=1,listes!$Q$1,IF(COUNTIF(horsvilleurbanne,D248)=1,listes!$R$1,"")))))))))</f>
        <v/>
      </c>
      <c r="M248" s="21" t="str">
        <f t="shared" si="3"/>
        <v/>
      </c>
      <c r="N248" s="186" t="str">
        <f>T_sept_dec[[#This Row],[Etablissement accueillant]]&amp;"-"&amp;T_sept_dec[[#This Row],[Enseignant référent (Nom Prénom)]]</f>
        <v>-</v>
      </c>
      <c r="O248" s="21">
        <f>1/COUNTIF(T_sept_dec[CléEtablissement],T_sept_dec[[#This Row],[CléEtablissement]])</f>
        <v>4.1841004184100415E-3</v>
      </c>
      <c r="P248"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8" s="186">
        <f>1/COUNTIF(T_sept_dec[CléRéseau-Rize horsmed],T_sept_dec[[#This Row],[CléRéseau-Rize horsmed]])</f>
        <v>4.1841004184100415E-3</v>
      </c>
      <c r="R248" s="186" t="str">
        <f>IF(COUNTIF(RIZE,T_sept_dec[[#This Row],[Secteur organisateur]]),"Rize_"&amp;T_sept_dec[[#This Row],[Enseignant référent (Nom Prénom)]],"")</f>
        <v/>
      </c>
      <c r="S248" s="186">
        <f>1/COUNTIF(T_sept_dec[CléRize],T_sept_dec[[#This Row],[CléRize]])</f>
        <v>4.048582995951417E-3</v>
      </c>
      <c r="T248" s="186" t="str">
        <f>IF(COUNTIF(Total,T_sept_dec[[#This Row],[Secteur organisateur]]),"Total_"&amp;T_sept_dec[[#This Row],[Enseignant référent (Nom Prénom)]],"")</f>
        <v/>
      </c>
      <c r="U248" s="186">
        <f>1/COUNTIF(T_sept_dec[cléTotal],T_sept_dec[[#This Row],[cléTotal]])</f>
        <v>4.1841004184100415E-3</v>
      </c>
    </row>
    <row r="249" spans="11:21">
      <c r="K249" s="21" t="str">
        <f>IF(COUNTIF(Maternelle,E249)=1,listes!$T$1,IF(COUNTIF(Elémentaire,E249)=1,listes!$U$1,IF(COUNTIF(Collège,E249)=1,listes!$V$1,IF(COUNTIF(Lycée,E249)=1,listes!$W$1,""))))</f>
        <v/>
      </c>
      <c r="L249" s="21" t="str">
        <f>IF(COUNTIF(Perralière,D249)=1,listes!$P$1,IF(COUNTIF(Buers,D249)=1,listes!$J$1,IF(COUNTIF(Charpennes,D249)=1,listes!$K$1,IF(COUNTIF(Cusset,D249)=1,listes!$L$1,IF(COUNTIF(Cyprien,D249)=1,listes!$M$1,IF(COUNTIF(Ferrandière,D249)=1,listes!$N$1,IF(COUNTIF(Gratteciel,D249)=1,listes!$O$1,IF(COUNTIF(Saintjean,D249)=1,listes!$Q$1,IF(COUNTIF(horsvilleurbanne,D249)=1,listes!$R$1,"")))))))))</f>
        <v/>
      </c>
      <c r="M249" s="21" t="str">
        <f t="shared" si="3"/>
        <v/>
      </c>
      <c r="N249" s="186" t="str">
        <f>T_sept_dec[[#This Row],[Etablissement accueillant]]&amp;"-"&amp;T_sept_dec[[#This Row],[Enseignant référent (Nom Prénom)]]</f>
        <v>-</v>
      </c>
      <c r="O249" s="21">
        <f>1/COUNTIF(T_sept_dec[CléEtablissement],T_sept_dec[[#This Row],[CléEtablissement]])</f>
        <v>4.1841004184100415E-3</v>
      </c>
      <c r="P249"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49" s="186">
        <f>1/COUNTIF(T_sept_dec[CléRéseau-Rize horsmed],T_sept_dec[[#This Row],[CléRéseau-Rize horsmed]])</f>
        <v>4.1841004184100415E-3</v>
      </c>
      <c r="R249" s="186" t="str">
        <f>IF(COUNTIF(RIZE,T_sept_dec[[#This Row],[Secteur organisateur]]),"Rize_"&amp;T_sept_dec[[#This Row],[Enseignant référent (Nom Prénom)]],"")</f>
        <v/>
      </c>
      <c r="S249" s="186">
        <f>1/COUNTIF(T_sept_dec[CléRize],T_sept_dec[[#This Row],[CléRize]])</f>
        <v>4.048582995951417E-3</v>
      </c>
      <c r="T249" s="186" t="str">
        <f>IF(COUNTIF(Total,T_sept_dec[[#This Row],[Secteur organisateur]]),"Total_"&amp;T_sept_dec[[#This Row],[Enseignant référent (Nom Prénom)]],"")</f>
        <v/>
      </c>
      <c r="U249" s="186">
        <f>1/COUNTIF(T_sept_dec[cléTotal],T_sept_dec[[#This Row],[cléTotal]])</f>
        <v>4.1841004184100415E-3</v>
      </c>
    </row>
    <row r="250" spans="11:21">
      <c r="K250" s="21" t="str">
        <f>IF(COUNTIF(Maternelle,E250)=1,listes!$T$1,IF(COUNTIF(Elémentaire,E250)=1,listes!$U$1,IF(COUNTIF(Collège,E250)=1,listes!$V$1,IF(COUNTIF(Lycée,E250)=1,listes!$W$1,""))))</f>
        <v/>
      </c>
      <c r="L250" s="21" t="str">
        <f>IF(COUNTIF(Perralière,D250)=1,listes!$P$1,IF(COUNTIF(Buers,D250)=1,listes!$J$1,IF(COUNTIF(Charpennes,D250)=1,listes!$K$1,IF(COUNTIF(Cusset,D250)=1,listes!$L$1,IF(COUNTIF(Cyprien,D250)=1,listes!$M$1,IF(COUNTIF(Ferrandière,D250)=1,listes!$N$1,IF(COUNTIF(Gratteciel,D250)=1,listes!$O$1,IF(COUNTIF(Saintjean,D250)=1,listes!$Q$1,IF(COUNTIF(horsvilleurbanne,D250)=1,listes!$R$1,"")))))))))</f>
        <v/>
      </c>
      <c r="M250" s="21" t="str">
        <f t="shared" si="3"/>
        <v/>
      </c>
      <c r="N250" s="186" t="str">
        <f>T_sept_dec[[#This Row],[Etablissement accueillant]]&amp;"-"&amp;T_sept_dec[[#This Row],[Enseignant référent (Nom Prénom)]]</f>
        <v>-</v>
      </c>
      <c r="O250" s="21">
        <f>1/COUNTIF(T_sept_dec[CléEtablissement],T_sept_dec[[#This Row],[CléEtablissement]])</f>
        <v>4.1841004184100415E-3</v>
      </c>
      <c r="P250" s="21" t="str">
        <f>IF(COUNTIF(Réseau,T_sept_dec[[#This Row],[Secteur organisateur]]),"Réseau_"&amp;T_sept_dec[[#This Row],[Enseignant référent (Nom Prénom)]], IF(COUNTIF(Rizehorsmed,T_sept_dec[[#This Row],[Secteur organisateur]]),"Rizehorsmed_"&amp;T_sept_dec[[#This Row],[Enseignant référent (Nom Prénom)]], T_sept_dec[[#This Row],[Secteur organisateur]]&amp;"_"&amp;T_sept_dec[[#This Row],[Enseignant référent (Nom Prénom)]]))</f>
        <v>_</v>
      </c>
      <c r="Q250" s="186">
        <f>1/COUNTIF(T_sept_dec[CléRéseau-Rize horsmed],T_sept_dec[[#This Row],[CléRéseau-Rize horsmed]])</f>
        <v>4.1841004184100415E-3</v>
      </c>
      <c r="R250" s="186" t="str">
        <f>IF(COUNTIF(RIZE,T_sept_dec[[#This Row],[Secteur organisateur]]),"Rize_"&amp;T_sept_dec[[#This Row],[Enseignant référent (Nom Prénom)]],"")</f>
        <v/>
      </c>
      <c r="S250" s="186">
        <f>1/COUNTIF(T_sept_dec[CléRize],T_sept_dec[[#This Row],[CléRize]])</f>
        <v>4.048582995951417E-3</v>
      </c>
      <c r="T250" s="186" t="str">
        <f>IF(COUNTIF(Total,T_sept_dec[[#This Row],[Secteur organisateur]]),"Total_"&amp;T_sept_dec[[#This Row],[Enseignant référent (Nom Prénom)]],"")</f>
        <v/>
      </c>
      <c r="U250" s="186">
        <f>1/COUNTIF(T_sept_dec[cléTotal],T_sept_dec[[#This Row],[cléTotal]])</f>
        <v>4.1841004184100415E-3</v>
      </c>
    </row>
    <row r="251" spans="11:21">
      <c r="K251" s="21" t="str">
        <f>IF(COUNTIF(Maternelle,E251)=1,listes!$T$1,IF(COUNTIF(Elémentaire,E251)=1,listes!$U$1,IF(COUNTIF(Collège,E251)=1,listes!$V$1,IF(COUNTIF(Lycée,E251)=1,listes!$W$1,""))))</f>
        <v/>
      </c>
    </row>
    <row r="252" spans="11:21">
      <c r="K252" s="21" t="str">
        <f>IF(COUNTIF(Maternelle,E252)=1,listes!$T$1,IF(COUNTIF(Elémentaire,E252)=1,listes!$U$1,IF(COUNTIF(Collège,E252)=1,listes!$V$1,IF(COUNTIF(Lycée,E252)=1,listes!$W$1,""))))</f>
        <v/>
      </c>
    </row>
    <row r="253" spans="11:21">
      <c r="K253" s="21" t="str">
        <f>IF(COUNTIF(Maternelle,E253)=1,listes!$T$1,IF(COUNTIF(Elémentaire,E253)=1,listes!$U$1,IF(COUNTIF(Collège,E253)=1,listes!$V$1,IF(COUNTIF(Lycée,E253)=1,listes!$W$1,""))))</f>
        <v/>
      </c>
    </row>
    <row r="254" spans="11:21">
      <c r="K254" s="21" t="str">
        <f>IF(COUNTIF(Maternelle,E254)=1,listes!$T$1,IF(COUNTIF(Elémentaire,E254)=1,listes!$U$1,IF(COUNTIF(Collège,E254)=1,listes!$V$1,IF(COUNTIF(Lycée,E254)=1,listes!$W$1,""))))</f>
        <v/>
      </c>
    </row>
    <row r="255" spans="11:21">
      <c r="K255" s="21" t="str">
        <f>IF(COUNTIF(Maternelle,E255)=1,listes!$T$1,IF(COUNTIF(Elémentaire,E255)=1,listes!$U$1,IF(COUNTIF(Collège,E255)=1,listes!$V$1,IF(COUNTIF(Lycée,E255)=1,listes!$W$1,""))))</f>
        <v/>
      </c>
    </row>
    <row r="256" spans="11:21">
      <c r="K256" s="21" t="str">
        <f>IF(COUNTIF(Maternelle,E256)=1,listes!$T$1,IF(COUNTIF(Elémentaire,E256)=1,listes!$U$1,IF(COUNTIF(Collège,E256)=1,listes!$V$1,IF(COUNTIF(Lycée,E256)=1,listes!$W$1,""))))</f>
        <v/>
      </c>
    </row>
    <row r="257" spans="11:11">
      <c r="K257" s="21" t="str">
        <f>IF(COUNTIF(Maternelle,E257)=1,listes!$T$1,IF(COUNTIF(Elémentaire,E257)=1,listes!$U$1,IF(COUNTIF(Collège,E257)=1,listes!$V$1,IF(COUNTIF(Lycée,E257)=1,listes!$W$1,""))))</f>
        <v/>
      </c>
    </row>
    <row r="258" spans="11:11">
      <c r="K258" s="21" t="str">
        <f>IF(COUNTIF(Maternelle,E258)=1,listes!$T$1,IF(COUNTIF(Elémentaire,E258)=1,listes!$U$1,IF(COUNTIF(Collège,E258)=1,listes!$V$1,IF(COUNTIF(Lycée,E258)=1,listes!$W$1,""))))</f>
        <v/>
      </c>
    </row>
    <row r="259" spans="11:11">
      <c r="K259" s="21" t="str">
        <f>IF(COUNTIF(Maternelle,E259)=1,listes!$T$1,IF(COUNTIF(Elémentaire,E259)=1,listes!$U$1,IF(COUNTIF(Collège,E259)=1,listes!$V$1,IF(COUNTIF(Lycée,E259)=1,listes!$W$1,""))))</f>
        <v/>
      </c>
    </row>
    <row r="260" spans="11:11">
      <c r="K260" s="21" t="str">
        <f>IF(COUNTIF(Maternelle,E260)=1,listes!$T$1,IF(COUNTIF(Elémentaire,E260)=1,listes!$U$1,IF(COUNTIF(Collège,E260)=1,listes!$V$1,IF(COUNTIF(Lycée,E260)=1,listes!$W$1,""))))</f>
        <v/>
      </c>
    </row>
    <row r="261" spans="11:11">
      <c r="K261" s="21" t="str">
        <f>IF(COUNTIF(Maternelle,E261)=1,listes!$T$1,IF(COUNTIF(Elémentaire,E261)=1,listes!$U$1,IF(COUNTIF(Collège,E261)=1,listes!$V$1,IF(COUNTIF(Lycée,E261)=1,listes!$W$1,""))))</f>
        <v/>
      </c>
    </row>
    <row r="262" spans="11:11">
      <c r="K262" s="21" t="str">
        <f>IF(COUNTIF(Maternelle,E262)=1,listes!$T$1,IF(COUNTIF(Elémentaire,E262)=1,listes!$U$1,IF(COUNTIF(Collège,E262)=1,listes!$V$1,IF(COUNTIF(Lycée,E262)=1,listes!$W$1,""))))</f>
        <v/>
      </c>
    </row>
    <row r="263" spans="11:11">
      <c r="K263" s="21" t="str">
        <f>IF(COUNTIF(Maternelle,E263)=1,listes!$T$1,IF(COUNTIF(Elémentaire,E263)=1,listes!$U$1,IF(COUNTIF(Collège,E263)=1,listes!$V$1,IF(COUNTIF(Lycée,E263)=1,listes!$W$1,""))))</f>
        <v/>
      </c>
    </row>
    <row r="264" spans="11:11">
      <c r="K264" s="21" t="str">
        <f>IF(COUNTIF(Maternelle,E264)=1,listes!$T$1,IF(COUNTIF(Elémentaire,E264)=1,listes!$U$1,IF(COUNTIF(Collège,E264)=1,listes!$V$1,IF(COUNTIF(Lycée,E264)=1,listes!$W$1,""))))</f>
        <v/>
      </c>
    </row>
    <row r="265" spans="11:11">
      <c r="K265" s="21" t="str">
        <f>IF(COUNTIF(Maternelle,E265)=1,listes!$T$1,IF(COUNTIF(Elémentaire,E265)=1,listes!$U$1,IF(COUNTIF(Collège,E265)=1,listes!$V$1,IF(COUNTIF(Lycée,E265)=1,listes!$W$1,""))))</f>
        <v/>
      </c>
    </row>
    <row r="266" spans="11:11">
      <c r="K266" s="21" t="str">
        <f>IF(COUNTIF(Maternelle,E266)=1,listes!$T$1,IF(COUNTIF(Elémentaire,E266)=1,listes!$U$1,IF(COUNTIF(Collège,E266)=1,listes!$V$1,IF(COUNTIF(Lycée,E266)=1,listes!$W$1,""))))</f>
        <v/>
      </c>
    </row>
    <row r="267" spans="11:11">
      <c r="K267" s="21" t="str">
        <f>IF(COUNTIF(Maternelle,E267)=1,listes!$T$1,IF(COUNTIF(Elémentaire,E267)=1,listes!$U$1,IF(COUNTIF(Collège,E267)=1,listes!$V$1,IF(COUNTIF(Lycée,E267)=1,listes!$W$1,""))))</f>
        <v/>
      </c>
    </row>
    <row r="268" spans="11:11">
      <c r="K268" s="21" t="str">
        <f>IF(COUNTIF(Maternelle,E268)=1,listes!$T$1,IF(COUNTIF(Elémentaire,E268)=1,listes!$U$1,IF(COUNTIF(Collège,E268)=1,listes!$V$1,IF(COUNTIF(Lycée,E268)=1,listes!$W$1,""))))</f>
        <v/>
      </c>
    </row>
    <row r="269" spans="11:11">
      <c r="K269" s="21" t="str">
        <f>IF(COUNTIF(Maternelle,E269)=1,listes!$T$1,IF(COUNTIF(Elémentaire,E269)=1,listes!$U$1,IF(COUNTIF(Collège,E269)=1,listes!$V$1,IF(COUNTIF(Lycée,E269)=1,listes!$W$1,""))))</f>
        <v/>
      </c>
    </row>
    <row r="270" spans="11:11">
      <c r="K270" s="21" t="str">
        <f>IF(COUNTIF(Maternelle,E270)=1,listes!$T$1,IF(COUNTIF(Elémentaire,E270)=1,listes!$U$1,IF(COUNTIF(Collège,E270)=1,listes!$V$1,IF(COUNTIF(Lycée,E270)=1,listes!$W$1,""))))</f>
        <v/>
      </c>
    </row>
    <row r="271" spans="11:11">
      <c r="K271" s="21" t="str">
        <f>IF(COUNTIF(Maternelle,E271)=1,listes!$T$1,IF(COUNTIF(Elémentaire,E271)=1,listes!$U$1,IF(COUNTIF(Collège,E271)=1,listes!$V$1,IF(COUNTIF(Lycée,E271)=1,listes!$W$1,""))))</f>
        <v/>
      </c>
    </row>
    <row r="272" spans="11:11">
      <c r="K272" s="21" t="str">
        <f>IF(COUNTIF(Maternelle,E272)=1,listes!$T$1,IF(COUNTIF(Elémentaire,E272)=1,listes!$U$1,IF(COUNTIF(Collège,E272)=1,listes!$V$1,IF(COUNTIF(Lycée,E272)=1,listes!$W$1,""))))</f>
        <v/>
      </c>
    </row>
    <row r="273" spans="11:11">
      <c r="K273" s="21" t="str">
        <f>IF(COUNTIF(Maternelle,E273)=1,listes!$T$1,IF(COUNTIF(Elémentaire,E273)=1,listes!$U$1,IF(COUNTIF(Collège,E273)=1,listes!$V$1,IF(COUNTIF(Lycée,E273)=1,listes!$W$1,""))))</f>
        <v/>
      </c>
    </row>
    <row r="274" spans="11:11">
      <c r="K274" s="21" t="str">
        <f>IF(COUNTIF(Maternelle,E274)=1,listes!$T$1,IF(COUNTIF(Elémentaire,E274)=1,listes!$U$1,IF(COUNTIF(Collège,E274)=1,listes!$V$1,IF(COUNTIF(Lycée,E274)=1,listes!$W$1,""))))</f>
        <v/>
      </c>
    </row>
    <row r="275" spans="11:11">
      <c r="K275" s="21" t="str">
        <f>IF(COUNTIF(Maternelle,E275)=1,listes!$T$1,IF(COUNTIF(Elémentaire,E275)=1,listes!$U$1,IF(COUNTIF(Collège,E275)=1,listes!$V$1,IF(COUNTIF(Lycée,E275)=1,listes!$W$1,""))))</f>
        <v/>
      </c>
    </row>
    <row r="276" spans="11:11">
      <c r="K276" s="21" t="str">
        <f>IF(COUNTIF(Maternelle,E276)=1,listes!$T$1,IF(COUNTIF(Elémentaire,E276)=1,listes!$U$1,IF(COUNTIF(Collège,E276)=1,listes!$V$1,IF(COUNTIF(Lycée,E276)=1,listes!$W$1,""))))</f>
        <v/>
      </c>
    </row>
    <row r="277" spans="11:11">
      <c r="K277" s="21" t="str">
        <f>IF(COUNTIF(Maternelle,E277)=1,listes!$T$1,IF(COUNTIF(Elémentaire,E277)=1,listes!$U$1,IF(COUNTIF(Collège,E277)=1,listes!$V$1,IF(COUNTIF(Lycée,E277)=1,listes!$W$1,""))))</f>
        <v/>
      </c>
    </row>
    <row r="278" spans="11:11">
      <c r="K278" s="21" t="str">
        <f>IF(COUNTIF(Maternelle,E278)=1,listes!$T$1,IF(COUNTIF(Elémentaire,E278)=1,listes!$U$1,IF(COUNTIF(Collège,E278)=1,listes!$V$1,IF(COUNTIF(Lycée,E278)=1,listes!$W$1,""))))</f>
        <v/>
      </c>
    </row>
    <row r="279" spans="11:11">
      <c r="K279" s="21" t="str">
        <f>IF(COUNTIF(Maternelle,E279)=1,listes!$T$1,IF(COUNTIF(Elémentaire,E279)=1,listes!$U$1,IF(COUNTIF(Collège,E279)=1,listes!$V$1,IF(COUNTIF(Lycée,E279)=1,listes!$W$1,""))))</f>
        <v/>
      </c>
    </row>
    <row r="280" spans="11:11">
      <c r="K280" s="21" t="str">
        <f>IF(COUNTIF(Maternelle,E280)=1,listes!$T$1,IF(COUNTIF(Elémentaire,E280)=1,listes!$U$1,IF(COUNTIF(Collège,E280)=1,listes!$V$1,IF(COUNTIF(Lycée,E280)=1,listes!$W$1,""))))</f>
        <v/>
      </c>
    </row>
    <row r="281" spans="11:11">
      <c r="K281" s="21" t="str">
        <f>IF(COUNTIF(Maternelle,E281)=1,listes!$T$1,IF(COUNTIF(Elémentaire,E281)=1,listes!$U$1,IF(COUNTIF(Collège,E281)=1,listes!$V$1,IF(COUNTIF(Lycée,E281)=1,listes!$W$1,""))))</f>
        <v/>
      </c>
    </row>
    <row r="282" spans="11:11">
      <c r="K282" s="21" t="str">
        <f>IF(COUNTIF(Maternelle,E282)=1,listes!$T$1,IF(COUNTIF(Elémentaire,E282)=1,listes!$U$1,IF(COUNTIF(Collège,E282)=1,listes!$V$1,IF(COUNTIF(Lycée,E282)=1,listes!$W$1,""))))</f>
        <v/>
      </c>
    </row>
    <row r="283" spans="11:11">
      <c r="K283" s="21" t="str">
        <f>IF(COUNTIF(Maternelle,E283)=1,listes!$T$1,IF(COUNTIF(Elémentaire,E283)=1,listes!$U$1,IF(COUNTIF(Collège,E283)=1,listes!$V$1,IF(COUNTIF(Lycée,E283)=1,listes!$W$1,""))))</f>
        <v/>
      </c>
    </row>
    <row r="284" spans="11:11">
      <c r="K284" s="21" t="str">
        <f>IF(COUNTIF(Maternelle,E284)=1,listes!$T$1,IF(COUNTIF(Elémentaire,E284)=1,listes!$U$1,IF(COUNTIF(Collège,E284)=1,listes!$V$1,IF(COUNTIF(Lycée,E284)=1,listes!$W$1,""))))</f>
        <v/>
      </c>
    </row>
    <row r="285" spans="11:11">
      <c r="K285" s="21" t="str">
        <f>IF(COUNTIF(Maternelle,E285)=1,listes!$T$1,IF(COUNTIF(Elémentaire,E285)=1,listes!$U$1,IF(COUNTIF(Collège,E285)=1,listes!$V$1,IF(COUNTIF(Lycée,E285)=1,listes!$W$1,""))))</f>
        <v/>
      </c>
    </row>
    <row r="286" spans="11:11">
      <c r="K286" s="21" t="str">
        <f>IF(COUNTIF(Maternelle,E286)=1,listes!$T$1,IF(COUNTIF(Elémentaire,E286)=1,listes!$U$1,IF(COUNTIF(Collège,E286)=1,listes!$V$1,IF(COUNTIF(Lycée,E286)=1,listes!$W$1,""))))</f>
        <v/>
      </c>
    </row>
    <row r="287" spans="11:11">
      <c r="K287" s="21" t="str">
        <f>IF(COUNTIF(Maternelle,E287)=1,listes!$T$1,IF(COUNTIF(Elémentaire,E287)=1,listes!$U$1,IF(COUNTIF(Collège,E287)=1,listes!$V$1,IF(COUNTIF(Lycée,E287)=1,listes!$W$1,""))))</f>
        <v/>
      </c>
    </row>
    <row r="288" spans="11:11">
      <c r="K288" s="21" t="str">
        <f>IF(COUNTIF(Maternelle,E288)=1,listes!$T$1,IF(COUNTIF(Elémentaire,E288)=1,listes!$U$1,IF(COUNTIF(Collège,E288)=1,listes!$V$1,IF(COUNTIF(Lycée,E288)=1,listes!$W$1,""))))</f>
        <v/>
      </c>
    </row>
    <row r="289" spans="11:11">
      <c r="K289" s="21" t="str">
        <f>IF(COUNTIF(Maternelle,E289)=1,listes!$T$1,IF(COUNTIF(Elémentaire,E289)=1,listes!$U$1,IF(COUNTIF(Collège,E289)=1,listes!$V$1,IF(COUNTIF(Lycée,E289)=1,listes!$W$1,""))))</f>
        <v/>
      </c>
    </row>
    <row r="290" spans="11:11">
      <c r="K290" s="21" t="str">
        <f>IF(COUNTIF(Maternelle,E290)=1,listes!$T$1,IF(COUNTIF(Elémentaire,E290)=1,listes!$U$1,IF(COUNTIF(Collège,E290)=1,listes!$V$1,IF(COUNTIF(Lycée,E290)=1,listes!$W$1,""))))</f>
        <v/>
      </c>
    </row>
    <row r="291" spans="11:11">
      <c r="K291" s="21" t="str">
        <f>IF(COUNTIF(Maternelle,E291)=1,listes!$T$1,IF(COUNTIF(Elémentaire,E291)=1,listes!$U$1,IF(COUNTIF(Collège,E291)=1,listes!$V$1,IF(COUNTIF(Lycée,E291)=1,listes!$W$1,""))))</f>
        <v/>
      </c>
    </row>
    <row r="292" spans="11:11">
      <c r="K292" s="21" t="str">
        <f>IF(COUNTIF(Maternelle,E292)=1,listes!$T$1,IF(COUNTIF(Elémentaire,E292)=1,listes!$U$1,IF(COUNTIF(Collège,E292)=1,listes!$V$1,IF(COUNTIF(Lycée,E292)=1,listes!$W$1,""))))</f>
        <v/>
      </c>
    </row>
    <row r="293" spans="11:11">
      <c r="K293" s="21" t="str">
        <f>IF(COUNTIF(Maternelle,E293)=1,listes!$T$1,IF(COUNTIF(Elémentaire,E293)=1,listes!$U$1,IF(COUNTIF(Collège,E293)=1,listes!$V$1,IF(COUNTIF(Lycée,E293)=1,listes!$W$1,""))))</f>
        <v/>
      </c>
    </row>
    <row r="294" spans="11:11">
      <c r="K294" s="21" t="str">
        <f>IF(COUNTIF(Maternelle,E294)=1,listes!$T$1,IF(COUNTIF(Elémentaire,E294)=1,listes!$U$1,IF(COUNTIF(Collège,E294)=1,listes!$V$1,IF(COUNTIF(Lycée,E294)=1,listes!$W$1,""))))</f>
        <v/>
      </c>
    </row>
    <row r="295" spans="11:11">
      <c r="K295" s="21" t="str">
        <f>IF(COUNTIF(Maternelle,E295)=1,listes!$T$1,IF(COUNTIF(Elémentaire,E295)=1,listes!$U$1,IF(COUNTIF(Collège,E295)=1,listes!$V$1,IF(COUNTIF(Lycée,E295)=1,listes!$W$1,""))))</f>
        <v/>
      </c>
    </row>
    <row r="296" spans="11:11">
      <c r="K296" s="21" t="str">
        <f>IF(COUNTIF(Maternelle,E296)=1,listes!$T$1,IF(COUNTIF(Elémentaire,E296)=1,listes!$U$1,IF(COUNTIF(Collège,E296)=1,listes!$V$1,IF(COUNTIF(Lycée,E296)=1,listes!$W$1,""))))</f>
        <v/>
      </c>
    </row>
    <row r="297" spans="11:11">
      <c r="K297" s="21" t="str">
        <f>IF(COUNTIF(Maternelle,E297)=1,listes!$T$1,IF(COUNTIF(Elémentaire,E297)=1,listes!$U$1,IF(COUNTIF(Collège,E297)=1,listes!$V$1,IF(COUNTIF(Lycée,E297)=1,listes!$W$1,""))))</f>
        <v/>
      </c>
    </row>
    <row r="298" spans="11:11">
      <c r="K298" s="21" t="str">
        <f>IF(COUNTIF(Maternelle,E298)=1,listes!$T$1,IF(COUNTIF(Elémentaire,E298)=1,listes!$U$1,IF(COUNTIF(Collège,E298)=1,listes!$V$1,IF(COUNTIF(Lycée,E298)=1,listes!$W$1,""))))</f>
        <v/>
      </c>
    </row>
    <row r="299" spans="11:11">
      <c r="K299" s="21" t="str">
        <f>IF(COUNTIF(Maternelle,E299)=1,listes!$T$1,IF(COUNTIF(Elémentaire,E299)=1,listes!$U$1,IF(COUNTIF(Collège,E299)=1,listes!$V$1,IF(COUNTIF(Lycée,E299)=1,listes!$W$1,""))))</f>
        <v/>
      </c>
    </row>
    <row r="300" spans="11:11">
      <c r="K300" s="21" t="str">
        <f>IF(COUNTIF(Maternelle,E300)=1,listes!$T$1,IF(COUNTIF(Elémentaire,E300)=1,listes!$U$1,IF(COUNTIF(Collège,E300)=1,listes!$V$1,IF(COUNTIF(Lycée,E300)=1,listes!$W$1,""))))</f>
        <v/>
      </c>
    </row>
    <row r="301" spans="11:11">
      <c r="K301" s="21" t="str">
        <f>IF(COUNTIF(Maternelle,E301)=1,listes!$T$1,IF(COUNTIF(Elémentaire,E301)=1,listes!$U$1,IF(COUNTIF(Collège,E301)=1,listes!$V$1,IF(COUNTIF(Lycée,E301)=1,listes!$W$1,""))))</f>
        <v/>
      </c>
    </row>
    <row r="302" spans="11:11">
      <c r="K302" s="21" t="str">
        <f>IF(COUNTIF(Maternelle,E302)=1,listes!$T$1,IF(COUNTIF(Elémentaire,E302)=1,listes!$U$1,IF(COUNTIF(Collège,E302)=1,listes!$V$1,IF(COUNTIF(Lycée,E302)=1,listes!$W$1,""))))</f>
        <v/>
      </c>
    </row>
    <row r="303" spans="11:11">
      <c r="K303" s="21" t="str">
        <f>IF(COUNTIF(Maternelle,E303)=1,listes!$T$1,IF(COUNTIF(Elémentaire,E303)=1,listes!$U$1,IF(COUNTIF(Collège,E303)=1,listes!$V$1,IF(COUNTIF(Lycée,E303)=1,listes!$W$1,""))))</f>
        <v/>
      </c>
    </row>
    <row r="328" ht="22.5" customHeight="1"/>
  </sheetData>
  <sheetProtection formatCells="0" formatColumns="0" formatRows="0" insertHyperlinks="0" deleteRows="0" sort="0" autoFilter="0" pivotTables="0"/>
  <sortState ref="A2:N316">
    <sortCondition ref="A1"/>
  </sortState>
  <dataValidations count="2">
    <dataValidation type="list" allowBlank="1" showInputMessage="1" showErrorMessage="1" sqref="H25:H136 H138:H1048576">
      <formula1>$F$2:$F$3</formula1>
    </dataValidation>
    <dataValidation type="list" allowBlank="1" showInputMessage="1" showErrorMessage="1" sqref="D138:D1048576 D25:D136">
      <formula1>$E$2:$E$52</formula1>
    </dataValidation>
  </dataValidations>
  <pageMargins left="0.7" right="0.7" top="0.75" bottom="0.75" header="0.3" footer="0.3"/>
  <pageSetup paperSize="9" scale="10" orientation="landscape" r:id="rId1"/>
  <ignoredErrors>
    <ignoredError sqref="B1:C1 B12:C32 C10 C2 C3 C4 C5 C6 C7 C8 C9 C11" listDataValidation="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9">
        <x14:dataValidation type="list" showInputMessage="1" showErrorMessage="1">
          <x14:formula1>
            <xm:f>listes!$B$2:$B$12</xm:f>
          </x14:formula1>
          <xm:sqref>B25:B46 B1:B22 C1:C46 B47:C136 B138:C1048576 M52:M53 K52:K53</xm:sqref>
        </x14:dataValidation>
        <x14:dataValidation type="list" allowBlank="1" showInputMessage="1" showErrorMessage="1">
          <x14:formula1>
            <xm:f>listes!$G$2:$G$3</xm:f>
          </x14:formula1>
          <xm:sqref>H1:H22</xm:sqref>
        </x14:dataValidation>
        <x14:dataValidation type="list" allowBlank="1" showInputMessage="1" showErrorMessage="1">
          <x14:formula1>
            <xm:f>listes!$E$2:$E$34</xm:f>
          </x14:formula1>
          <xm:sqref>I1:I1048576</xm:sqref>
        </x14:dataValidation>
        <x14:dataValidation type="list" showInputMessage="1" showErrorMessage="1">
          <x14:formula1>
            <xm:f>listes!#REF!</xm:f>
          </x14:formula1>
          <xm:sqref>B23:B24</xm:sqref>
        </x14:dataValidation>
        <x14:dataValidation type="list" allowBlank="1" showInputMessage="1" showErrorMessage="1">
          <x14:formula1>
            <xm:f>listes!#REF!</xm:f>
          </x14:formula1>
          <xm:sqref>D23:E24 H23:H24</xm:sqref>
        </x14:dataValidation>
        <x14:dataValidation type="list" showInputMessage="1" showErrorMessage="1">
          <x14:formula1>
            <xm:f>[1]listes!#REF!</xm:f>
          </x14:formula1>
          <xm:sqref>B137:C137</xm:sqref>
        </x14:dataValidation>
        <x14:dataValidation type="list" allowBlank="1" showInputMessage="1" showErrorMessage="1">
          <x14:formula1>
            <xm:f>[1]listes!#REF!</xm:f>
          </x14:formula1>
          <xm:sqref>D137 H137</xm:sqref>
        </x14:dataValidation>
        <x14:dataValidation type="list" allowBlank="1" showInputMessage="1" showErrorMessage="1">
          <x14:formula1>
            <xm:f>listes!$A$2:$A$36</xm:f>
          </x14:formula1>
          <xm:sqref>E2:E22 E25:E1048576</xm:sqref>
        </x14:dataValidation>
        <x14:dataValidation type="list" allowBlank="1" showInputMessage="1" showErrorMessage="1">
          <x14:formula1>
            <xm:f>listes!$F$2:$F$52</xm:f>
          </x14:formula1>
          <xm:sqref>D2:D22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enableFormatConditionsCalculation="0">
    <pageSetUpPr fitToPage="1"/>
  </sheetPr>
  <dimension ref="A1:V98"/>
  <sheetViews>
    <sheetView zoomScale="80" zoomScaleNormal="80" zoomScalePageLayoutView="80" workbookViewId="0">
      <selection activeCell="E38" sqref="E38"/>
    </sheetView>
  </sheetViews>
  <sheetFormatPr baseColWidth="10" defaultRowHeight="15"/>
  <cols>
    <col min="1" max="1" width="18.85546875" customWidth="1"/>
    <col min="2" max="2" width="14.85546875" customWidth="1"/>
    <col min="3" max="3" width="11.140625" customWidth="1"/>
    <col min="4" max="4" width="14.7109375" customWidth="1"/>
    <col min="5" max="5" width="19.140625" customWidth="1"/>
    <col min="6" max="6" width="9.140625" customWidth="1"/>
    <col min="7" max="7" width="9.42578125" customWidth="1"/>
    <col min="8" max="8" width="11" customWidth="1"/>
    <col min="9" max="9" width="7.85546875" bestFit="1" customWidth="1"/>
    <col min="10" max="10" width="9.140625" bestFit="1" customWidth="1"/>
    <col min="11" max="11" width="16.85546875" customWidth="1"/>
    <col min="12" max="12" width="20.85546875" customWidth="1"/>
    <col min="13" max="13" width="8.7109375" customWidth="1"/>
    <col min="14" max="14" width="8.42578125" customWidth="1"/>
    <col min="15" max="15" width="9.140625" customWidth="1"/>
    <col min="16" max="16" width="8.85546875" customWidth="1"/>
    <col min="17" max="17" width="9.42578125" customWidth="1"/>
    <col min="18" max="18" width="10.7109375" customWidth="1"/>
    <col min="19" max="19" width="10.85546875" customWidth="1"/>
    <col min="20" max="20" width="12.28515625" customWidth="1"/>
    <col min="21" max="21" width="10.85546875" customWidth="1"/>
    <col min="22" max="22" width="27" customWidth="1"/>
    <col min="23" max="23" width="33.42578125" customWidth="1"/>
    <col min="24" max="24" width="17.140625" customWidth="1"/>
  </cols>
  <sheetData>
    <row r="1" spans="1:15" ht="24" thickBot="1">
      <c r="A1" s="277" t="s">
        <v>222</v>
      </c>
      <c r="B1" s="278"/>
      <c r="C1" s="278"/>
      <c r="D1" s="278"/>
      <c r="E1" s="278"/>
      <c r="F1" s="278"/>
      <c r="G1" s="278"/>
      <c r="H1" s="279"/>
      <c r="K1" t="s">
        <v>237</v>
      </c>
      <c r="N1" t="s">
        <v>242</v>
      </c>
    </row>
    <row r="2" spans="1:15" ht="15.75" thickBot="1">
      <c r="A2" s="17"/>
      <c r="B2" s="10" t="s">
        <v>153</v>
      </c>
      <c r="C2" s="172" t="s">
        <v>137</v>
      </c>
      <c r="D2" s="172" t="s">
        <v>138</v>
      </c>
      <c r="E2" s="173" t="s">
        <v>151</v>
      </c>
      <c r="F2" s="173" t="s">
        <v>76</v>
      </c>
      <c r="G2" s="173" t="s">
        <v>77</v>
      </c>
      <c r="H2" s="174" t="s">
        <v>152</v>
      </c>
      <c r="K2" s="130" t="s">
        <v>238</v>
      </c>
      <c r="L2" s="130" t="s">
        <v>240</v>
      </c>
    </row>
    <row r="3" spans="1:15" ht="40.5" customHeight="1">
      <c r="A3" s="256" t="s">
        <v>164</v>
      </c>
      <c r="B3" s="7" t="s">
        <v>150</v>
      </c>
      <c r="C3" s="220"/>
      <c r="D3" s="23" t="e">
        <f>D19+D25+D28+#REF!</f>
        <v>#REF!</v>
      </c>
      <c r="E3" s="25" t="e">
        <f t="shared" ref="E3:E11" si="0">C3+D3</f>
        <v>#REF!</v>
      </c>
      <c r="F3" s="23" t="e">
        <f>F19+F25+F28+#REF!</f>
        <v>#REF!</v>
      </c>
      <c r="G3" s="23" t="e">
        <f>G19+G25+G28+#REF!</f>
        <v>#REF!</v>
      </c>
      <c r="H3" s="196">
        <f>SUMPRODUCT((LEFT(T_sept_dec[CléRéseau-Rize horsmed],2)="Ré")*T_sept_dec[cptréseau-rizehormed])</f>
        <v>3</v>
      </c>
      <c r="K3" s="245" t="s">
        <v>114</v>
      </c>
      <c r="L3" s="288" t="s">
        <v>105</v>
      </c>
      <c r="N3" s="247"/>
      <c r="O3" t="s">
        <v>239</v>
      </c>
    </row>
    <row r="4" spans="1:15" ht="43.5" customHeight="1">
      <c r="A4" s="257"/>
      <c r="B4" s="8" t="s">
        <v>149</v>
      </c>
      <c r="C4" s="221"/>
      <c r="D4" s="27" t="e">
        <f>D20+D26+D29+#REF!</f>
        <v>#REF!</v>
      </c>
      <c r="E4" s="28" t="e">
        <f t="shared" si="0"/>
        <v>#REF!</v>
      </c>
      <c r="F4" s="27" t="e">
        <f>F20+F26+F29+#REF!</f>
        <v>#REF!</v>
      </c>
      <c r="G4" s="27" t="e">
        <f>G20+G26+G29+#REF!</f>
        <v>#REF!</v>
      </c>
      <c r="H4" s="197">
        <f>SUMPRODUCT((LEFT(T_sept_dec[CléRéseau-Rize horsmed],2)="Ré")*T_sept_dec[cptréseau-rizehormed]*T_sept_dec[Nombre enfants])</f>
        <v>88.5</v>
      </c>
      <c r="K4" s="246" t="s">
        <v>111</v>
      </c>
      <c r="L4" s="288"/>
    </row>
    <row r="5" spans="1:15" ht="27" thickBot="1">
      <c r="A5" s="258"/>
      <c r="B5" s="68" t="s">
        <v>148</v>
      </c>
      <c r="C5" s="6">
        <f>C21+C27+C30+C44</f>
        <v>0</v>
      </c>
      <c r="D5" s="6">
        <f>D21+D27+D30+D44</f>
        <v>0</v>
      </c>
      <c r="E5" s="30">
        <f t="shared" si="0"/>
        <v>0</v>
      </c>
      <c r="F5" s="6">
        <f>F21+F27+F30+F44</f>
        <v>0</v>
      </c>
      <c r="G5" s="6">
        <f>G21+G27+G30+G44</f>
        <v>0</v>
      </c>
      <c r="H5" s="198">
        <f>COUNTIF(Données!B:B,"ARTO")+COUNTIF(Données!B:B,"EMM")+COUNTIF(Données!B:B,"MLIS A")+COUNTIF(Données!B:B,"MLIS DV")+COUNTIF(Données!B:B,"MLIS J")+COUNTIF(Données!B:B,"MTK")+COUNTIF(Données!B:B,"PAC-BUS")+COUNTIF(Données!B:B,"RIZE MED")</f>
        <v>5</v>
      </c>
      <c r="K5" s="245" t="s">
        <v>112</v>
      </c>
      <c r="L5" s="288"/>
    </row>
    <row r="6" spans="1:15" ht="36.75" customHeight="1">
      <c r="A6" s="256" t="s">
        <v>163</v>
      </c>
      <c r="B6" s="7" t="s">
        <v>150</v>
      </c>
      <c r="C6" s="32" t="e">
        <f>COUNTIFS(Données!B:B,"RIZE ARCHI",Données!K:K,"Maternelle",Données!#REF!,"=1")+COUNTIFS(Données!B:B,"RIZE VALO",Données!K:K,"Maternelle",Données!#REF!,"=1")</f>
        <v>#REF!</v>
      </c>
      <c r="D6" s="32" t="e">
        <f>COUNTIFS(Données!B:B,"RIZE ARCHI",Données!K:K,"Elémentaire",Données!#REF!,"=1")+COUNTIFS(Données!B:B,"RIZE VALO",Données!K:K,"Elémentaire",Données!#REF!,"=1")</f>
        <v>#REF!</v>
      </c>
      <c r="E6" s="25" t="e">
        <f t="shared" si="0"/>
        <v>#REF!</v>
      </c>
      <c r="F6" s="32" t="e">
        <f>COUNTIFS(Données!B:B,"RIZE ARCHI",Données!K:K,"Collège",Données!#REF!,"=1")+COUNTIFS(Données!B:B,"RIZE VALO",Données!K:K,"Collège",Données!#REF!,"=1")</f>
        <v>#REF!</v>
      </c>
      <c r="G6" s="32" t="e">
        <f>COUNTIFS(Données!B:B,"RIZE ARCHI",Données!K:K,"Lycée",Données!#REF!,"=1")+COUNTIFS(Données!B:B,"RIZE VALO",Données!K:K,"Lycée",Données!#REF!,"=1")</f>
        <v>#REF!</v>
      </c>
      <c r="H6" s="199">
        <f>SUMPRODUCT((LEFT(T_sept_dec[CléRéseau-Rize horsmed],2)="Ri")*T_sept_dec[cptréseau-rizehormed])</f>
        <v>2</v>
      </c>
      <c r="K6" s="245" t="s">
        <v>113</v>
      </c>
      <c r="L6" s="288"/>
    </row>
    <row r="7" spans="1:15" ht="26.25">
      <c r="A7" s="257"/>
      <c r="B7" s="8" t="s">
        <v>149</v>
      </c>
      <c r="C7" s="16" t="e">
        <f>SUMIFS(Données!G:G,Données!B:B,"RIZE ARCHI",Données!K:K,"Maternelle",Données!#REF!,"=1")+SUMIFS(Données!G:G,Données!B:B,"RIZE VALO",Données!K:K,"Maternelle",Données!#REF!,"=1")</f>
        <v>#REF!</v>
      </c>
      <c r="D7" s="16" t="e">
        <f>SUMIFS(Données!G:G,Données!B:B,"RIZE ARCHI",Données!K:K,"Elémentaire",Données!#REF!,"=1")+SUMIFS(Données!G:G,Données!B:B,"RIZE VALO",Données!K:K,"Elémentaire",Données!#REF!,"=1")</f>
        <v>#REF!</v>
      </c>
      <c r="E7" s="28" t="e">
        <f t="shared" si="0"/>
        <v>#REF!</v>
      </c>
      <c r="F7" s="16" t="e">
        <f>SUMIFS(Données!G:G,Données!B:B,"RIZE ARCHI",Données!K:K,"Collège",Données!#REF!,"=1")+SUMIFS(Données!G:G,Données!B:B,"RIZE VALO",Données!K:K,"Collège",Données!#REF!,"=1")</f>
        <v>#REF!</v>
      </c>
      <c r="G7" s="35" t="e">
        <f>SUMIFS(Données!G:G,Données!B:B,"RIZE ARCHI",Données!K:K,"Lycée",Données!#REF!,"=1")+SUMIFS(Données!G:G,Données!B:B,"RIZE VALO",Données!K:K,"Lycée",Données!#REF!,"=1")</f>
        <v>#REF!</v>
      </c>
      <c r="H7" s="200">
        <f>SUMPRODUCT((LEFT(T_sept_dec[CléRéseau-Rize horsmed],2)="Ri")*T_sept_dec[cptréseau-rizehormed]*T_sept_dec[Nombre enfants])</f>
        <v>60</v>
      </c>
      <c r="K7" s="245" t="s">
        <v>119</v>
      </c>
      <c r="L7" s="288"/>
    </row>
    <row r="8" spans="1:15" ht="27" thickBot="1">
      <c r="A8" s="258"/>
      <c r="B8" s="68" t="s">
        <v>148</v>
      </c>
      <c r="C8" s="6">
        <f>COUNTIFS(Données!B:B,"RIZE ARCHI",Données!K:K,"Maternelle")+COUNTIFS(Données!B:B,"RIZE VALO",Données!K:K,"Maternelle")</f>
        <v>0</v>
      </c>
      <c r="D8" s="6">
        <f>COUNTIFS(Données!B:B,"RIZE ARCHI",Données!K:K,"Elémentaire")+COUNTIFS(Données!B:B,"RIZE VALO",Données!K:K,"Elémentaire")</f>
        <v>0</v>
      </c>
      <c r="E8" s="30">
        <f t="shared" si="0"/>
        <v>0</v>
      </c>
      <c r="F8" s="6">
        <f>COUNTIFS(Données!B:B,"RIZE ARCHI",Données!K:K,"Collège")+COUNTIFS(Données!B:B,"RIZE VALO",Données!K:K,"Collège")</f>
        <v>0</v>
      </c>
      <c r="G8" s="6">
        <f>COUNTIFS(Données!B:B,"RIZE ARCHI",Données!K:K,"Lycée")+COUNTIFS(Données!B:B,"RIZE VALO",Données!K:K,"Lycée")</f>
        <v>0</v>
      </c>
      <c r="H8" s="198">
        <f>COUNTIF(Données!B:B,"RIZE ARCHI")+COUNTIF(Données!B:B,"RIZE VALO")</f>
        <v>2</v>
      </c>
      <c r="K8" s="244" t="s">
        <v>161</v>
      </c>
      <c r="L8" s="289" t="s">
        <v>30</v>
      </c>
    </row>
    <row r="9" spans="1:15" ht="26.25">
      <c r="A9" s="257" t="s">
        <v>124</v>
      </c>
      <c r="B9" s="7" t="s">
        <v>150</v>
      </c>
      <c r="C9" s="33"/>
      <c r="D9" s="181" t="e">
        <f>COUNTIFS(#REF!,"FDL",#REF!,"Elémentaire",#REF!,"=1")</f>
        <v>#REF!</v>
      </c>
      <c r="E9" s="178" t="e">
        <f t="shared" si="0"/>
        <v>#REF!</v>
      </c>
      <c r="F9" s="181" t="e">
        <f>COUNTIFS(#REF!,"FDL",#REF!,"Collège",#REF!,"=1")</f>
        <v>#REF!</v>
      </c>
      <c r="G9" s="181" t="e">
        <f>COUNTIFS(#REF!,"FDL",#REF!,"Lycée",#REF!,"=1")</f>
        <v>#REF!</v>
      </c>
      <c r="H9" s="201">
        <f>SUMIF(T_sept_dec[Secteur organisateur],"FDL",T_sept_dec[cptEtablissement])</f>
        <v>1</v>
      </c>
      <c r="K9" s="245" t="s">
        <v>160</v>
      </c>
      <c r="L9" s="289"/>
    </row>
    <row r="10" spans="1:15" ht="26.25">
      <c r="A10" s="257"/>
      <c r="B10" s="8" t="s">
        <v>149</v>
      </c>
      <c r="C10" s="34" t="e">
        <f>SUMIFS(#REF!,#REF!,"FDL",#REF!,"Maternelle",#REF!,"=1")</f>
        <v>#REF!</v>
      </c>
      <c r="D10" s="182" t="e">
        <f>SUMIFS(#REF!,#REF!,"FDL",#REF!,"Elémentaire",#REF!,"=1")</f>
        <v>#REF!</v>
      </c>
      <c r="E10" s="179" t="e">
        <f t="shared" si="0"/>
        <v>#REF!</v>
      </c>
      <c r="F10" s="182" t="e">
        <f>SUMIFS(#REF!,#REF!,"FDL",#REF!,"Collège",#REF!,"=1")</f>
        <v>#REF!</v>
      </c>
      <c r="G10" s="182" t="e">
        <f>SUMIFS(#REF!,#REF!,"FDL",#REF!,"Lycée",#REF!,"=1")</f>
        <v>#REF!</v>
      </c>
      <c r="H10" s="202">
        <f>SUMPRODUCT((T_sept_dec[Secteur organisateur]="FDL")*T_sept_dec[Nombre enfants]*T_sept_dec[cptEtablissement])</f>
        <v>29.333333333333332</v>
      </c>
      <c r="K10" s="244" t="s">
        <v>169</v>
      </c>
      <c r="L10" s="289"/>
    </row>
    <row r="11" spans="1:15" ht="27" thickBot="1">
      <c r="A11" s="258"/>
      <c r="B11" s="68" t="s">
        <v>148</v>
      </c>
      <c r="C11" s="14" t="e">
        <f>COUNTIFS(#REF!,"FDL",#REF!,"Maternelle")</f>
        <v>#REF!</v>
      </c>
      <c r="D11" s="183" t="e">
        <f>COUNTIFS(#REF!,"FDL",#REF!,"Elémentaire")</f>
        <v>#REF!</v>
      </c>
      <c r="E11" s="180" t="e">
        <f t="shared" si="0"/>
        <v>#REF!</v>
      </c>
      <c r="F11" s="183" t="e">
        <f>COUNTIFS(#REF!,"FDL",#REF!,"Collège")</f>
        <v>#REF!</v>
      </c>
      <c r="G11" s="184" t="e">
        <f>COUNTIFS(#REF!,"FDL",#REF!,"Lycée")</f>
        <v>#REF!</v>
      </c>
      <c r="H11" s="203">
        <f>COUNTIF(Données!B:B,"FDL")</f>
        <v>3</v>
      </c>
      <c r="K11" s="245" t="s">
        <v>109</v>
      </c>
      <c r="L11" s="247" t="s">
        <v>29</v>
      </c>
    </row>
    <row r="12" spans="1:15" ht="26.25">
      <c r="A12" s="280" t="s">
        <v>177</v>
      </c>
      <c r="B12" s="44" t="s">
        <v>150</v>
      </c>
      <c r="C12" s="45" t="e">
        <f>C3+C6+C9</f>
        <v>#REF!</v>
      </c>
      <c r="D12" s="45" t="e">
        <f t="shared" ref="D12:G12" si="1">D3+D6+D9</f>
        <v>#REF!</v>
      </c>
      <c r="E12" s="45" t="e">
        <f t="shared" si="1"/>
        <v>#REF!</v>
      </c>
      <c r="F12" s="45" t="e">
        <f t="shared" si="1"/>
        <v>#REF!</v>
      </c>
      <c r="G12" s="45" t="e">
        <f t="shared" si="1"/>
        <v>#REF!</v>
      </c>
      <c r="H12" s="204">
        <f>SUMPRODUCT((LEFT(T_sept_dec[cléTotal],2)="To")*T_sept_dec[cptTotal])</f>
        <v>2.9999999999999996</v>
      </c>
      <c r="K12" s="245" t="s">
        <v>110</v>
      </c>
      <c r="L12" s="247" t="s">
        <v>110</v>
      </c>
    </row>
    <row r="13" spans="1:15" ht="26.25">
      <c r="A13" s="280"/>
      <c r="B13" s="46" t="s">
        <v>149</v>
      </c>
      <c r="C13" s="16" t="e">
        <f>C4+C7+C10</f>
        <v>#REF!</v>
      </c>
      <c r="D13" s="16" t="e">
        <f t="shared" ref="D13:G13" si="2">D4+D7+D10</f>
        <v>#REF!</v>
      </c>
      <c r="E13" s="16" t="e">
        <f t="shared" si="2"/>
        <v>#REF!</v>
      </c>
      <c r="F13" s="16" t="e">
        <f t="shared" si="2"/>
        <v>#REF!</v>
      </c>
      <c r="G13" s="16" t="e">
        <f t="shared" si="2"/>
        <v>#REF!</v>
      </c>
      <c r="H13" s="200">
        <f>SUMPRODUCT((LEFT(T_sept_dec[cléTotal],2)="To")*T_sept_dec[cptTotal]*T_sept_dec[Nombre enfants])</f>
        <v>88.833333333333343</v>
      </c>
      <c r="K13" s="244" t="s">
        <v>124</v>
      </c>
      <c r="L13" s="130" t="s">
        <v>124</v>
      </c>
    </row>
    <row r="14" spans="1:15" ht="27" thickBot="1">
      <c r="A14" s="281"/>
      <c r="B14" s="69" t="s">
        <v>148</v>
      </c>
      <c r="C14" s="43" t="e">
        <f>C5+C8+C11</f>
        <v>#REF!</v>
      </c>
      <c r="D14" s="43" t="e">
        <f t="shared" ref="D14:G14" si="3">D5+D8+D11</f>
        <v>#REF!</v>
      </c>
      <c r="E14" s="43" t="e">
        <f t="shared" si="3"/>
        <v>#REF!</v>
      </c>
      <c r="F14" s="43" t="e">
        <f t="shared" si="3"/>
        <v>#REF!</v>
      </c>
      <c r="G14" s="43" t="e">
        <f t="shared" si="3"/>
        <v>#REF!</v>
      </c>
      <c r="H14" s="198">
        <f>H5+H8+H11</f>
        <v>10</v>
      </c>
    </row>
    <row r="16" spans="1:15" ht="15.95" thickBot="1"/>
    <row r="17" spans="1:11" ht="24" thickBot="1">
      <c r="A17" s="277" t="s">
        <v>154</v>
      </c>
      <c r="B17" s="278"/>
      <c r="C17" s="278"/>
      <c r="D17" s="278"/>
      <c r="E17" s="278"/>
      <c r="F17" s="278"/>
      <c r="G17" s="278"/>
      <c r="H17" s="279"/>
    </row>
    <row r="18" spans="1:11" ht="15.75" thickBot="1">
      <c r="A18" s="17"/>
      <c r="B18" s="10" t="s">
        <v>153</v>
      </c>
      <c r="C18" s="172" t="s">
        <v>137</v>
      </c>
      <c r="D18" s="172" t="s">
        <v>138</v>
      </c>
      <c r="E18" s="173" t="s">
        <v>151</v>
      </c>
      <c r="F18" s="173" t="s">
        <v>76</v>
      </c>
      <c r="G18" s="173" t="s">
        <v>77</v>
      </c>
      <c r="H18" s="174" t="s">
        <v>152</v>
      </c>
    </row>
    <row r="19" spans="1:11" ht="26.25">
      <c r="A19" s="256" t="s">
        <v>105</v>
      </c>
      <c r="B19" s="7" t="s">
        <v>150</v>
      </c>
      <c r="C19" s="23" t="e">
        <f>COUNTIFS(Données!N:N,"Mlis",Données!K:K,"Maternelle",Données!#REF!,"=1")</f>
        <v>#REF!</v>
      </c>
      <c r="D19" s="23" t="e">
        <f>COUNTIFS(Données!N:N,"Mlis",Données!K:K,"Elémentaire",Données!#REF!,"=1")</f>
        <v>#REF!</v>
      </c>
      <c r="E19" s="25" t="e">
        <f t="shared" ref="E19:E33" si="4">C19+D19</f>
        <v>#REF!</v>
      </c>
      <c r="F19" s="23" t="e">
        <f>COUNTIFS(Données!N:N,"Mlis",Données!K:K,"Collège",Données!#REF!,"=1")</f>
        <v>#REF!</v>
      </c>
      <c r="G19" s="23" t="e">
        <f>COUNTIFS(Données!N:N,"Mlis",Données!K:K,"Lycée",Données!#REF!,"=1")</f>
        <v>#REF!</v>
      </c>
      <c r="H19" s="196">
        <f>SUMPRODUCT((LEFT(T_sept_dec[CléEtablissement],2)="ML")*T_sept_dec[cptEtablissement])</f>
        <v>2</v>
      </c>
    </row>
    <row r="20" spans="1:11" ht="26.25">
      <c r="A20" s="257"/>
      <c r="B20" s="15" t="s">
        <v>149</v>
      </c>
      <c r="C20" s="27" t="e">
        <f>SUMIFS(Données!G:G,Données!N:N,"Mlis",Données!K:K,"Maternelle",Données!#REF!,"=1")</f>
        <v>#REF!</v>
      </c>
      <c r="D20" s="27" t="e">
        <f>SUMIFS(Données!G:G,Données!N:N,"Mlis",Données!K:K,"Elémentaire",Données!#REF!,"=1")</f>
        <v>#REF!</v>
      </c>
      <c r="E20" s="28" t="e">
        <f t="shared" si="4"/>
        <v>#REF!</v>
      </c>
      <c r="F20" s="27" t="e">
        <f>SUMIFS(Données!G:G,Données!N:N,"Mlis",Données!K:K,"Collège",Données!#REF!,"=1")</f>
        <v>#REF!</v>
      </c>
      <c r="G20" s="27" t="e">
        <f>SUMIFS(Données!G:G,Données!N:N,"Mlis",Données!K:K,"Lycée",Données!#REF!,"=1")</f>
        <v>#REF!</v>
      </c>
      <c r="H20" s="197">
        <f>SUMPRODUCT((LEFT(T_sept_dec[CléEtablissement],2)="ML")*T_sept_dec[cptEtablissement]*T_sept_dec[Nombre enfants])</f>
        <v>59</v>
      </c>
      <c r="K20" s="156"/>
    </row>
    <row r="21" spans="1:11" ht="27" thickBot="1">
      <c r="A21" s="258"/>
      <c r="B21" s="68" t="s">
        <v>148</v>
      </c>
      <c r="C21" s="6">
        <f>COUNTIFS(Données!N:N,"Mlis",Données!K:K,"Maternelle")</f>
        <v>0</v>
      </c>
      <c r="D21" s="6">
        <f>COUNTIFS(Données!N:N,"Mlis",Données!K:K,"Elémentaire")</f>
        <v>0</v>
      </c>
      <c r="E21" s="30">
        <f t="shared" si="4"/>
        <v>0</v>
      </c>
      <c r="F21" s="6">
        <f>COUNTIFS(Données!N:N,"Mlis",Données!K:K,"Collège")</f>
        <v>0</v>
      </c>
      <c r="G21" s="6">
        <f>COUNTIFS(Données!N:N,"Mlis",Données!K:K,"Lycée")</f>
        <v>0</v>
      </c>
      <c r="H21" s="198">
        <f>COUNTIF(Données!B:B,"ARTO")+COUNTIF(Données!B:B,"EMM")+COUNTIF(Données!B:B,"MLIS A")+COUNTIF(Données!B:B,"MLIS DV")+COUNTIF(Données!B:B,"MLIS J")</f>
        <v>3</v>
      </c>
    </row>
    <row r="22" spans="1:11" ht="26.25">
      <c r="A22" s="262" t="s">
        <v>123</v>
      </c>
      <c r="B22" s="7" t="s">
        <v>150</v>
      </c>
      <c r="C22" s="32" t="e">
        <f>COUNTIFS(Données!N:N,"Rize",Données!K:K,"Maternelle",Données!#REF!,"=1")</f>
        <v>#REF!</v>
      </c>
      <c r="D22" s="32" t="e">
        <f>COUNTIFS(Données!N:N,"Rize",Données!K:K,"Elémentaire",Données!#REF!,"=1")</f>
        <v>#REF!</v>
      </c>
      <c r="E22" s="25" t="e">
        <f t="shared" si="4"/>
        <v>#REF!</v>
      </c>
      <c r="F22" s="32" t="e">
        <f>COUNTIFS(Données!N:N,"Rize",Données!K:K,"Collège",Données!#REF!,"=1")</f>
        <v>#REF!</v>
      </c>
      <c r="G22" s="32" t="e">
        <f>COUNTIFS(Données!N:N,"Rize",Données!K:K,"Lycée",Données!#REF!,"=1")</f>
        <v>#REF!</v>
      </c>
      <c r="H22" s="199">
        <f>SUMPRODUCT((LEFT(T_sept_dec[CléEtablissement],2)="RI")*T_sept_dec[cptEtablissement])</f>
        <v>2</v>
      </c>
    </row>
    <row r="23" spans="1:11" ht="26.25">
      <c r="A23" s="263"/>
      <c r="B23" s="15" t="s">
        <v>149</v>
      </c>
      <c r="C23" s="16" t="e">
        <f>SUMIFS(Données!G:G,Données!N:N,"Rize",Données!K:K,"Maternelle",Données!#REF!,"=1")</f>
        <v>#REF!</v>
      </c>
      <c r="D23" s="16" t="e">
        <f>SUMIFS(Données!G:G,Données!N:N,"Rize",Données!K:K,"Elémentaire",Données!#REF!,"=1")</f>
        <v>#REF!</v>
      </c>
      <c r="E23" s="28" t="e">
        <f t="shared" si="4"/>
        <v>#REF!</v>
      </c>
      <c r="F23" s="16" t="e">
        <f>SUMIFS(Données!G:G,Données!N:N,"Rize",Données!K:K,"Collège",Données!#REF!,"=1")</f>
        <v>#REF!</v>
      </c>
      <c r="G23" s="35" t="e">
        <f>SUMIFS(Données!G:G,Données!N:N,"Rize",Données!K:K,"Lycée",Données!#REF!,"=1")</f>
        <v>#REF!</v>
      </c>
      <c r="H23" s="200">
        <f>SUMPRODUCT((LEFT(T_sept_dec[CléEtablissement],2)="RI")*T_sept_dec[cptEtablissement]*T_sept_dec[Nombre enfants])</f>
        <v>60</v>
      </c>
    </row>
    <row r="24" spans="1:11" ht="27" thickBot="1">
      <c r="A24" s="264"/>
      <c r="B24" s="68" t="s">
        <v>148</v>
      </c>
      <c r="C24" s="6">
        <f>COUNTIFS(Données!N:N,"Rize",Données!K:K,"Maternelle")</f>
        <v>0</v>
      </c>
      <c r="D24" s="6">
        <f>COUNTIFS(Données!N:N,"Rize",Données!K:K,"Elémentaire")</f>
        <v>0</v>
      </c>
      <c r="E24" s="30">
        <f t="shared" si="4"/>
        <v>0</v>
      </c>
      <c r="F24" s="6">
        <f>COUNTIFS(Données!N:N,"Rize",Données!K:K,"Collège")</f>
        <v>0</v>
      </c>
      <c r="G24" s="6">
        <f>COUNTIFS(Données!N:N,"Rize",Données!K:K,"Lycée")</f>
        <v>0</v>
      </c>
      <c r="H24" s="198">
        <f>COUNTIF(Données!B:B,"RIZE ARCHI")+COUNTIF(Données!B:B,"RIZE MED")+COUNTIF(Données!B:B,"RIZE VALO")</f>
        <v>2</v>
      </c>
    </row>
    <row r="25" spans="1:11" ht="26.25">
      <c r="A25" s="257" t="s">
        <v>155</v>
      </c>
      <c r="B25" s="7" t="s">
        <v>150</v>
      </c>
      <c r="C25" s="218"/>
      <c r="D25" s="9" t="e">
        <f>COUNTIFS(Données!N:N,"Tonkin",Données!K:K,"Elémentaire",Données!#REF!,"=1")</f>
        <v>#REF!</v>
      </c>
      <c r="E25" s="25" t="e">
        <f t="shared" si="4"/>
        <v>#REF!</v>
      </c>
      <c r="F25" s="9" t="e">
        <f>COUNTIFS(Données!N:N,"Tonkin",Données!K:K,"Collège",Données!#REF!,"=1")</f>
        <v>#REF!</v>
      </c>
      <c r="G25" s="9" t="e">
        <f>COUNTIFS(Données!N:N,"Tonkin",Données!K:K,"Lycée",Données!#REF!,"=1")</f>
        <v>#REF!</v>
      </c>
      <c r="H25" s="204">
        <f>SUMIF(T_sept_dec[Secteur organisateur],"MTK",T_sept_dec[cptEtablissement])</f>
        <v>1</v>
      </c>
    </row>
    <row r="26" spans="1:11" ht="26.25">
      <c r="A26" s="257"/>
      <c r="B26" s="15" t="s">
        <v>149</v>
      </c>
      <c r="C26" s="219"/>
      <c r="D26" s="16" t="e">
        <f>SUMIFS(Données!G:G,Données!N:N,"Tonkin",Données!K:K,"Elémentaire",Données!#REF!,"=1")</f>
        <v>#REF!</v>
      </c>
      <c r="E26" s="28" t="e">
        <f t="shared" si="4"/>
        <v>#REF!</v>
      </c>
      <c r="F26" s="16" t="e">
        <f>SUMIFS(Données!G:G,Données!N:N,"Tonkin",Données!K:K,"Collège",Données!#REF!,"=1")</f>
        <v>#REF!</v>
      </c>
      <c r="G26" s="16" t="e">
        <f>SUMIFS(Données!G:G,Données!N:N,"Tonkin",Données!K:K,"Lycée",Données!#REF!,"=1")</f>
        <v>#REF!</v>
      </c>
      <c r="H26" s="200">
        <f>SUMPRODUCT((T_sept_dec[Secteur organisateur]="MTK")*T_sept_dec[Nombre enfants]*T_sept_dec[cptEtablissement])</f>
        <v>29.5</v>
      </c>
    </row>
    <row r="27" spans="1:11" ht="27" thickBot="1">
      <c r="A27" s="258"/>
      <c r="B27" s="68" t="s">
        <v>148</v>
      </c>
      <c r="C27" s="6">
        <f>COUNTIFS(Données!N:N,"Tonkin",Données!K:K,"Maternelle")</f>
        <v>0</v>
      </c>
      <c r="D27" s="6">
        <f>COUNTIFS(Données!N:N,"Tonkin",Données!K:K,"Elémentaire")</f>
        <v>0</v>
      </c>
      <c r="E27" s="30">
        <f t="shared" si="4"/>
        <v>0</v>
      </c>
      <c r="F27" s="6">
        <f>COUNTIFS(Données!N:N,"Tonkin",Données!K:K,"Collège")</f>
        <v>0</v>
      </c>
      <c r="G27" s="38">
        <f>COUNTIFS(Données!N:N,"Tonkin",Données!K:K,"Lycée")</f>
        <v>0</v>
      </c>
      <c r="H27" s="198">
        <f>COUNTIF(Données!B:B,"MTK")</f>
        <v>2</v>
      </c>
    </row>
    <row r="28" spans="1:11" ht="26.25">
      <c r="A28" s="257" t="s">
        <v>110</v>
      </c>
      <c r="B28" s="7" t="s">
        <v>150</v>
      </c>
      <c r="C28" s="9">
        <f>SUMIFS(T_sept_dec[cptEtablissement],T_sept_dec[Secteur organisateur],"PAC-BUS",T_sept_dec[Groupe niveau],"Maternelle")</f>
        <v>0</v>
      </c>
      <c r="D28" s="9" t="e">
        <f>COUNTIFS(Données!N:N,"PAC-BUS",Données!K:K,"Elémentaire",Données!#REF!,"=1")</f>
        <v>#REF!</v>
      </c>
      <c r="E28" s="25" t="e">
        <f t="shared" si="4"/>
        <v>#REF!</v>
      </c>
      <c r="F28" s="9" t="e">
        <f>COUNTIFS(Données!N:N,"PAC-BUS",Données!K:K,"Collège",Données!#REF!,"=1")</f>
        <v>#REF!</v>
      </c>
      <c r="G28" s="9" t="e">
        <f>COUNTIFS(Données!N:N,"PAC-BUS",Données!K:K,"Lycée",Données!#REF!,"=1")</f>
        <v>#REF!</v>
      </c>
      <c r="H28" s="204">
        <f>SUMIF(T_sept_dec[Secteur organisateur],"PAC-BUS",T_sept_dec[cptEtablissement])</f>
        <v>0</v>
      </c>
    </row>
    <row r="29" spans="1:11" ht="26.25">
      <c r="A29" s="257"/>
      <c r="B29" s="15" t="s">
        <v>149</v>
      </c>
      <c r="C29" s="16" t="e">
        <f>SUMIFS(Données!G:G,Données!N:N,"PAC-BUS",Données!K:K,"Maternelle",Données!#REF!,"=1")</f>
        <v>#REF!</v>
      </c>
      <c r="D29" s="16" t="e">
        <f>SUMIFS(Données!G:G,Données!N:N,"PAC-BUS",Données!K:K,"Elémentaire",Données!#REF!,"=1")</f>
        <v>#REF!</v>
      </c>
      <c r="E29" s="28" t="e">
        <f t="shared" si="4"/>
        <v>#REF!</v>
      </c>
      <c r="F29" s="16" t="e">
        <f>SUMIFS(Données!G:G,Données!N:N,"PAC-BUS",Données!K:K,"Collège",Données!#REF!,"=1")</f>
        <v>#REF!</v>
      </c>
      <c r="G29" s="16" t="e">
        <f>SUMIFS(Données!G:G,Données!N:N,"PAC-BUS",Données!K:K,"Lycée",Données!#REF!,"=1")</f>
        <v>#REF!</v>
      </c>
      <c r="H29" s="200">
        <f>SUMPRODUCT((T_sept_dec[Secteur organisateur]="PAC-BUS")*T_sept_dec[Nombre enfants]*T_sept_dec[cptEtablissement])</f>
        <v>0</v>
      </c>
      <c r="I29" s="156"/>
    </row>
    <row r="30" spans="1:11" ht="27" thickBot="1">
      <c r="A30" s="258"/>
      <c r="B30" s="68" t="s">
        <v>148</v>
      </c>
      <c r="C30" s="6">
        <f>COUNTIFS(Données!N:N,"PAC-BUS",Données!K:K,"Maternelle")</f>
        <v>0</v>
      </c>
      <c r="D30" s="6">
        <f>COUNTIFS(Données!N:N,"PAC-BUS",Données!K:K,"Elémentaire")</f>
        <v>0</v>
      </c>
      <c r="E30" s="30">
        <f t="shared" si="4"/>
        <v>0</v>
      </c>
      <c r="F30" s="6">
        <f>COUNTIFS(Données!N:N,"PAC-BUS",Données!K:K,"Collège")</f>
        <v>0</v>
      </c>
      <c r="G30" s="38">
        <f>COUNTIFS(Données!N:N,"PAC-BUS",Données!K:K,"Lycée")</f>
        <v>0</v>
      </c>
      <c r="H30" s="198">
        <f>COUNTIF(Données!B:B,"PAC-BUS")</f>
        <v>0</v>
      </c>
    </row>
    <row r="31" spans="1:11" ht="26.25">
      <c r="A31" s="257" t="s">
        <v>124</v>
      </c>
      <c r="B31" s="7" t="s">
        <v>150</v>
      </c>
      <c r="C31" s="175">
        <f>SUMIFS(T_sept_dec[cptEtablissement],T_sept_dec[Secteur organisateur],"FDL",T_sept_dec[Groupe niveau],"Maternelle")</f>
        <v>0.66666666666666663</v>
      </c>
      <c r="D31" s="181" t="e">
        <f>COUNTIFS(#REF!,"FDL",#REF!,"Elémentaire",#REF!,"=1")</f>
        <v>#REF!</v>
      </c>
      <c r="E31" s="178" t="e">
        <f t="shared" si="4"/>
        <v>#REF!</v>
      </c>
      <c r="F31" s="181" t="e">
        <f>COUNTIFS(#REF!,"FDL",#REF!,"Collège",#REF!,"=1")</f>
        <v>#REF!</v>
      </c>
      <c r="G31" s="181" t="e">
        <f>COUNTIFS(#REF!,"FDL",#REF!,"Lycée",#REF!,"=1")</f>
        <v>#REF!</v>
      </c>
      <c r="H31" s="201">
        <f>SUMIF(T_sept_dec[Secteur organisateur],"FDL",T_sept_dec[cptEtablissement])</f>
        <v>1</v>
      </c>
    </row>
    <row r="32" spans="1:11" ht="26.25">
      <c r="A32" s="257"/>
      <c r="B32" s="15" t="s">
        <v>149</v>
      </c>
      <c r="C32" s="176" t="e">
        <f>SUMIFS(#REF!,#REF!,"FDL",#REF!,"Maternelle",#REF!,"=1")</f>
        <v>#REF!</v>
      </c>
      <c r="D32" s="182" t="e">
        <f>SUMIFS(#REF!,#REF!,"FDL",#REF!,"Elémentaire",#REF!,"=1")</f>
        <v>#REF!</v>
      </c>
      <c r="E32" s="179" t="e">
        <f t="shared" si="4"/>
        <v>#REF!</v>
      </c>
      <c r="F32" s="182" t="e">
        <f>SUMIFS(#REF!,#REF!,"FDL",#REF!,"Collège",#REF!,"=1")</f>
        <v>#REF!</v>
      </c>
      <c r="G32" s="182" t="e">
        <f>SUMIFS(#REF!,#REF!,"FDL",#REF!,"Lycée",#REF!,"=1")</f>
        <v>#REF!</v>
      </c>
      <c r="H32" s="202">
        <f>SUMPRODUCT((T_sept_dec[Secteur organisateur]="FDL")*T_sept_dec[Nombre enfants]*T_sept_dec[cptEtablissement])</f>
        <v>29.333333333333332</v>
      </c>
    </row>
    <row r="33" spans="1:8" ht="27" thickBot="1">
      <c r="A33" s="258"/>
      <c r="B33" s="68" t="s">
        <v>148</v>
      </c>
      <c r="C33" s="177" t="e">
        <f>COUNTIFS(#REF!,"FDL",#REF!,"Maternelle")</f>
        <v>#REF!</v>
      </c>
      <c r="D33" s="183" t="e">
        <f>COUNTIFS(#REF!,"FDL",#REF!,"Elémentaire")</f>
        <v>#REF!</v>
      </c>
      <c r="E33" s="180" t="e">
        <f t="shared" si="4"/>
        <v>#REF!</v>
      </c>
      <c r="F33" s="183" t="e">
        <f>COUNTIFS(#REF!,"FDL",#REF!,"Collège")</f>
        <v>#REF!</v>
      </c>
      <c r="G33" s="184" t="e">
        <f>COUNTIFS(#REF!,"FDL",#REF!,"Lycée")</f>
        <v>#REF!</v>
      </c>
      <c r="H33" s="203">
        <f>COUNTIF(Données!B:B,"FDL")</f>
        <v>3</v>
      </c>
    </row>
    <row r="35" spans="1:8" ht="15.75" thickBot="1">
      <c r="B35" s="255"/>
      <c r="C35" s="255"/>
      <c r="D35" s="255"/>
      <c r="E35" s="255"/>
    </row>
    <row r="36" spans="1:8" ht="24" thickBot="1">
      <c r="A36" s="259" t="s">
        <v>156</v>
      </c>
      <c r="B36" s="260"/>
      <c r="C36" s="260"/>
      <c r="D36" s="260"/>
      <c r="E36" s="260"/>
      <c r="F36" s="260"/>
      <c r="G36" s="260"/>
      <c r="H36" s="261"/>
    </row>
    <row r="37" spans="1:8" ht="15.75" thickBot="1">
      <c r="A37" s="17"/>
      <c r="B37" s="195"/>
      <c r="C37" s="222" t="s">
        <v>137</v>
      </c>
      <c r="D37" s="223" t="s">
        <v>138</v>
      </c>
      <c r="E37" s="224" t="s">
        <v>223</v>
      </c>
      <c r="F37" s="225" t="s">
        <v>76</v>
      </c>
      <c r="G37" s="226" t="s">
        <v>77</v>
      </c>
      <c r="H37" s="227" t="s">
        <v>152</v>
      </c>
    </row>
    <row r="38" spans="1:8" ht="27" customHeight="1">
      <c r="A38" s="191" t="s">
        <v>114</v>
      </c>
      <c r="B38" s="293" t="s">
        <v>218</v>
      </c>
      <c r="C38" s="205">
        <f>COUNTIFS(Données!B:B,"MLIS A",Données!K:K,"Maternelle")+COUNTIFS(Données!C:C,"MLIS A",Données!K:K,"Maternelle")</f>
        <v>0</v>
      </c>
      <c r="D38" s="228">
        <f>COUNTIFS(Données!B:B,"MLIS A",Données!K:K,"Elémentaire")+COUNTIFS(Données!C:C,"MLIS A",Données!K:K,"Elémentaire")</f>
        <v>0</v>
      </c>
      <c r="E38" s="229">
        <f>C38+D38</f>
        <v>0</v>
      </c>
      <c r="F38" s="230">
        <f>COUNTIFS(Données!B:B,"MLIS A",Données!K:K,"Collège")+COUNTIFS(Données!C:C,"MLIS A",Données!K:K,"Collège")</f>
        <v>0</v>
      </c>
      <c r="G38" s="231">
        <f>COUNTIFS(Données!B:B,"MLIS A",Données!K:K,"Lycée")+COUNTIFS(Données!C:C,"MLIS A",Données!K:K,"Lycée")</f>
        <v>0</v>
      </c>
      <c r="H38" s="232">
        <f>E38+F38+G38</f>
        <v>0</v>
      </c>
    </row>
    <row r="39" spans="1:8">
      <c r="A39" s="192" t="s">
        <v>157</v>
      </c>
      <c r="B39" s="294"/>
      <c r="C39" s="233">
        <f>COUNTIFS(Données!B:B,"MLIS DV",Données!K:K,"Maternelle")+COUNTIFS(Données!C:C,"MLIS DV",Données!K:K,"Maternelle")</f>
        <v>0</v>
      </c>
      <c r="D39" s="234">
        <f>COUNTIFS(Données!B:B,"MLIS DV",Données!K:K,"Elémentaire")+COUNTIFS(Données!C:C,"MLIS DV",Données!K:K,"Elémentaire")</f>
        <v>0</v>
      </c>
      <c r="E39" s="235">
        <f t="shared" ref="E39:E48" si="5">C39+D39</f>
        <v>0</v>
      </c>
      <c r="F39" s="236">
        <f>COUNTIFS(Données!B:B,"MLIS DV",Données!K:K,"Collège")+COUNTIFS(Données!C:C,"MLIS DV",Données!K:K,"Collège")</f>
        <v>0</v>
      </c>
      <c r="G39" s="237">
        <f>COUNTIFS(Données!B:B,"MLIS DV",Données!K:K,"Lycée")+COUNTIFS(Données!C:C,"MLIS DV",Données!K:K,"Lycée")</f>
        <v>0</v>
      </c>
      <c r="H39" s="238">
        <f t="shared" ref="H39:H48" si="6">E39+F39+G39</f>
        <v>0</v>
      </c>
    </row>
    <row r="40" spans="1:8">
      <c r="A40" s="193" t="s">
        <v>158</v>
      </c>
      <c r="B40" s="294"/>
      <c r="C40" s="233">
        <f>COUNTIFS(Données!B:B,"EMM",Données!K:K,"Maternelle")+COUNTIFS(Données!C:C,"EMM",Données!K:K,"Maternelle")</f>
        <v>0</v>
      </c>
      <c r="D40" s="234">
        <f>COUNTIFS(Données!B:B,"EMM",Données!K:K,"Elémentaire")+COUNTIFS(Données!C:C,"EMM",Données!K:K,"Elémentaire")</f>
        <v>0</v>
      </c>
      <c r="E40" s="235">
        <f t="shared" si="5"/>
        <v>0</v>
      </c>
      <c r="F40" s="236">
        <f>COUNTIFS(Données!B:B,"EMM",Données!K:K,"Collège")+COUNTIFS(Données!C:C,"EMM",Données!K:K,"Collège")</f>
        <v>0</v>
      </c>
      <c r="G40" s="237">
        <f>COUNTIFS(Données!B:B,"EMM",Données!K:K,"Lycée")+COUNTIFS(Données!C:C,"EMM",Données!K:K,"Lycée")</f>
        <v>0</v>
      </c>
      <c r="H40" s="238">
        <f t="shared" si="6"/>
        <v>0</v>
      </c>
    </row>
    <row r="41" spans="1:8" ht="27.75" customHeight="1">
      <c r="A41" s="193" t="s">
        <v>113</v>
      </c>
      <c r="B41" s="294"/>
      <c r="C41" s="233">
        <f>COUNTIFS(Données!B:B,"MLIS J",Données!K:K,"Maternelle")+COUNTIFS(Données!C:C,"MLIS J",Données!K:K,"Maternelle")</f>
        <v>0</v>
      </c>
      <c r="D41" s="234">
        <f>COUNTIFS(Données!B:B,"MLIS J",Données!K:K,"Elémentaire")+COUNTIFS(Données!C:C,"MLIS J",Données!K:K,"Elémentaire")</f>
        <v>0</v>
      </c>
      <c r="E41" s="235">
        <f t="shared" si="5"/>
        <v>0</v>
      </c>
      <c r="F41" s="236">
        <f>COUNTIFS(Données!B:B,"MLIS J",Données!K:K,"Collège")+COUNTIFS(Données!C:C,"MLIS J",Données!K:K,"Collège")</f>
        <v>0</v>
      </c>
      <c r="G41" s="237">
        <f>COUNTIFS(Données!B:B,"MLIS J",Données!K:K,"Lycée")+COUNTIFS(Données!C:C,"MLIS J",Données!K:K,"Lycée")</f>
        <v>0</v>
      </c>
      <c r="H41" s="238">
        <f t="shared" si="6"/>
        <v>0</v>
      </c>
    </row>
    <row r="42" spans="1:8">
      <c r="A42" s="193" t="s">
        <v>173</v>
      </c>
      <c r="B42" s="294"/>
      <c r="C42" s="233">
        <f>COUNTIFS(Données!B:B,"ARTO",Données!K:K,"Maternelle")+COUNTIFS(Données!C:C,"ARTO",Données!K:K,"Maternelle")</f>
        <v>0</v>
      </c>
      <c r="D42" s="234">
        <f>COUNTIFS(Données!B:B,"ARTO",Données!K:K,"Elémentaire")+COUNTIFS(Données!C:C,"ARTO",Données!K:K,"Elémentaire")</f>
        <v>0</v>
      </c>
      <c r="E42" s="235">
        <f t="shared" si="5"/>
        <v>0</v>
      </c>
      <c r="F42" s="236">
        <f>COUNTIFS(Données!B:B,"ARTO",Données!K:K,"Collège")+COUNTIFS(Données!C:C,"ARTO",Données!K:K,"Collège")</f>
        <v>0</v>
      </c>
      <c r="G42" s="237">
        <f>COUNTIFS(Données!B:B,"ARTO",Données!K:K,"Lycée")+COUNTIFS(Données!C:C,"ARTO",Données!K:K,"Lycée")</f>
        <v>0</v>
      </c>
      <c r="H42" s="238">
        <f t="shared" si="6"/>
        <v>0</v>
      </c>
    </row>
    <row r="43" spans="1:8">
      <c r="A43" s="193" t="s">
        <v>174</v>
      </c>
      <c r="B43" s="294"/>
      <c r="C43" s="233">
        <f>COUNTIFS(Données!B:B,"RIZE ARCHI",Données!K:K,"Maternelle")+COUNTIFS(Données!C:C,"RIZE ARCHI",Données!K:K,"Maternelle")</f>
        <v>0</v>
      </c>
      <c r="D43" s="234">
        <f>COUNTIFS(Données!B:B,"RIZE ARCHI",Données!K:K,"Elémentaire")+COUNTIFS(Données!C:C,"RIZE ARCHI",Données!K:K,"Elémentaire")</f>
        <v>0</v>
      </c>
      <c r="E43" s="235">
        <f t="shared" si="5"/>
        <v>0</v>
      </c>
      <c r="F43" s="236">
        <f>COUNTIFS(Données!B:B,"RIZE ARCHI",Données!K:K,"Collège")+COUNTIFS(Données!C:C,"RIZE ARCHI",Données!K:K,"Collège")</f>
        <v>0</v>
      </c>
      <c r="G43" s="237">
        <f>COUNTIFS(Données!B:B,"RIZE ARCHI",Données!K:K,"Lycée")+COUNTIFS(Données!C:C,"RIZE ARCHI",Données!K:K,"Lycée")</f>
        <v>0</v>
      </c>
      <c r="H43" s="238">
        <f t="shared" si="6"/>
        <v>0</v>
      </c>
    </row>
    <row r="44" spans="1:8">
      <c r="A44" s="193" t="s">
        <v>175</v>
      </c>
      <c r="B44" s="294"/>
      <c r="C44" s="233">
        <f>COUNTIFS(Données!B:B,"RIZE MED",Données!K:K,"Maternelle")</f>
        <v>0</v>
      </c>
      <c r="D44" s="234">
        <f>COUNTIFS(Données!B:B,"RIZE MED",Données!K:K,"Elémentaire")</f>
        <v>0</v>
      </c>
      <c r="E44" s="235">
        <f t="shared" si="5"/>
        <v>0</v>
      </c>
      <c r="F44" s="236">
        <f>COUNTIFS(Données!B:B,"RIZE MED",Données!K:K,"Collège")</f>
        <v>0</v>
      </c>
      <c r="G44" s="237">
        <f>COUNTIFS(Données!B:B,"RIZE MED",Données!K:K,"Lycée")</f>
        <v>0</v>
      </c>
      <c r="H44" s="238">
        <f t="shared" si="6"/>
        <v>0</v>
      </c>
    </row>
    <row r="45" spans="1:8" ht="25.5">
      <c r="A45" s="193" t="s">
        <v>176</v>
      </c>
      <c r="B45" s="294"/>
      <c r="C45" s="233">
        <f>COUNTIFS(Données!B:B,"RIZE VALO",Données!K:K,"Maternelle")+COUNTIFS(Données!C:C,"RIZE VALO",Données!K:K,"Maternelle")</f>
        <v>0</v>
      </c>
      <c r="D45" s="234">
        <f>COUNTIFS(Données!B:B,"RIZE VALO",Données!K:K,"Elémentaire")+COUNTIFS(Données!C:C,"RIZE VALO",Données!K:K,"Elémentaire")</f>
        <v>0</v>
      </c>
      <c r="E45" s="235">
        <f t="shared" si="5"/>
        <v>0</v>
      </c>
      <c r="F45" s="236">
        <f>COUNTIFS(Données!B:B,"RIZE VALO",Données!K:K,"Collège")+COUNTIFS(Données!C:C,"RIZE VALO",Données!K:K,"Collège")</f>
        <v>0</v>
      </c>
      <c r="G45" s="237">
        <f>COUNTIFS(Données!B:B,"RIZE VALO",Données!K:K,"Lycée")+COUNTIFS(Données!C:C,"RIZE VALO",Données!K:K,"Lycée")</f>
        <v>0</v>
      </c>
      <c r="H45" s="238">
        <f t="shared" si="6"/>
        <v>0</v>
      </c>
    </row>
    <row r="46" spans="1:8">
      <c r="A46" s="193" t="s">
        <v>155</v>
      </c>
      <c r="B46" s="294"/>
      <c r="C46" s="233">
        <f>COUNTIFS(Données!M:M,"Tonkin",Données!K:K,"Maternelle")</f>
        <v>2</v>
      </c>
      <c r="D46" s="234">
        <f>COUNTIFS(Données!M:M,"Tonkin",Données!K:K,"Elémentaire")</f>
        <v>0</v>
      </c>
      <c r="E46" s="235">
        <f t="shared" si="5"/>
        <v>2</v>
      </c>
      <c r="F46" s="236">
        <f>COUNTIFS(Données!M:M,"Tonkin",Données!K:K,"Collège")</f>
        <v>0</v>
      </c>
      <c r="G46" s="237">
        <f>COUNTIFS(Données!M:M,"Tonkin",Données!K:K,"Lycée")</f>
        <v>0</v>
      </c>
      <c r="H46" s="238">
        <f t="shared" si="6"/>
        <v>2</v>
      </c>
    </row>
    <row r="47" spans="1:8">
      <c r="A47" s="193" t="s">
        <v>159</v>
      </c>
      <c r="B47" s="294"/>
      <c r="C47" s="233">
        <f>COUNTIFS(Données!M:M,"PAC-BUS",Données!K:K,"Maternelle")</f>
        <v>0</v>
      </c>
      <c r="D47" s="234">
        <f>COUNTIFS(Données!M:M,"PAC-BUS",Données!K:K,"Elémentaire")</f>
        <v>0</v>
      </c>
      <c r="E47" s="235">
        <f t="shared" si="5"/>
        <v>0</v>
      </c>
      <c r="F47" s="236">
        <f>COUNTIFS(Données!M:M,"Tonkin",Données!K:K,"Collège")</f>
        <v>0</v>
      </c>
      <c r="G47" s="237">
        <f>COUNTIFS(Données!M:M,"PAC-BUS",Données!K:K,"Lycée")</f>
        <v>0</v>
      </c>
      <c r="H47" s="238">
        <f t="shared" si="6"/>
        <v>0</v>
      </c>
    </row>
    <row r="48" spans="1:8" ht="15.75" thickBot="1">
      <c r="A48" s="194" t="s">
        <v>124</v>
      </c>
      <c r="B48" s="295"/>
      <c r="C48" s="239">
        <f>COUNTIFS(Données!M:M,"FDL",Données!K:K,"Maternelle")</f>
        <v>2</v>
      </c>
      <c r="D48" s="240">
        <f>COUNTIFS(Données!M:M,"FDL",Données!K:K,"Elémentaire")</f>
        <v>1</v>
      </c>
      <c r="E48" s="241">
        <f t="shared" si="5"/>
        <v>3</v>
      </c>
      <c r="F48" s="242">
        <f>COUNTIFS(Données!M:M,"FDL",Données!K:K,"Collège")</f>
        <v>0</v>
      </c>
      <c r="G48" s="243">
        <f>COUNTIFS(Données!M:M,"FDL",Données!K:K,"Lycée")</f>
        <v>0</v>
      </c>
      <c r="H48" s="203">
        <f t="shared" si="6"/>
        <v>3</v>
      </c>
    </row>
    <row r="49" spans="1:22">
      <c r="A49" s="47"/>
      <c r="B49" s="48"/>
      <c r="C49" s="49"/>
      <c r="D49" s="49"/>
      <c r="E49" s="49"/>
      <c r="F49" s="49"/>
      <c r="G49" s="49"/>
      <c r="H49" s="49"/>
    </row>
    <row r="50" spans="1:22" ht="15.75" thickBot="1">
      <c r="B50" s="255"/>
      <c r="C50" s="255"/>
      <c r="D50" s="255"/>
      <c r="E50" s="255"/>
      <c r="I50" s="50"/>
      <c r="J50" s="50"/>
      <c r="K50" s="49"/>
      <c r="L50" s="49"/>
      <c r="M50" s="49"/>
      <c r="N50" s="49"/>
      <c r="O50" s="49"/>
      <c r="P50" s="49"/>
      <c r="Q50" s="49"/>
      <c r="R50" s="53"/>
      <c r="S50" s="53"/>
      <c r="T50" s="53"/>
    </row>
    <row r="51" spans="1:22" ht="24" thickBot="1">
      <c r="A51" s="167" t="s">
        <v>178</v>
      </c>
      <c r="B51" s="168"/>
      <c r="C51" s="169"/>
      <c r="D51" s="169"/>
      <c r="E51" s="169"/>
      <c r="F51" s="169"/>
      <c r="G51" s="169"/>
      <c r="H51" s="169"/>
      <c r="I51" s="169"/>
      <c r="J51" s="169"/>
      <c r="K51" s="169"/>
      <c r="L51" s="169"/>
      <c r="M51" s="169"/>
      <c r="N51" s="169"/>
      <c r="O51" s="169"/>
      <c r="P51" s="169"/>
      <c r="Q51" s="169"/>
      <c r="R51" s="169"/>
      <c r="S51" s="169"/>
      <c r="T51" s="169"/>
      <c r="U51" s="169"/>
      <c r="V51" s="170"/>
    </row>
    <row r="52" spans="1:22">
      <c r="A52" s="17"/>
      <c r="B52" s="5"/>
      <c r="C52" s="282" t="s">
        <v>137</v>
      </c>
      <c r="D52" s="283"/>
      <c r="E52" s="287"/>
      <c r="F52" s="282" t="s">
        <v>138</v>
      </c>
      <c r="G52" s="283"/>
      <c r="H52" s="287"/>
      <c r="I52" s="282" t="s">
        <v>76</v>
      </c>
      <c r="J52" s="283"/>
      <c r="K52" s="287"/>
      <c r="L52" s="282" t="s">
        <v>77</v>
      </c>
      <c r="M52" s="283"/>
      <c r="N52" s="287"/>
      <c r="O52" s="282" t="s">
        <v>180</v>
      </c>
      <c r="P52" s="283"/>
      <c r="Q52" s="283"/>
      <c r="R52" s="283"/>
      <c r="S52" s="283"/>
      <c r="T52" s="284" t="s">
        <v>152</v>
      </c>
      <c r="U52" s="285"/>
      <c r="V52" s="286"/>
    </row>
    <row r="53" spans="1:22" ht="26.25" thickBot="1">
      <c r="A53" s="18"/>
      <c r="B53" s="10" t="s">
        <v>153</v>
      </c>
      <c r="C53" s="58" t="s">
        <v>184</v>
      </c>
      <c r="D53" s="59" t="s">
        <v>183</v>
      </c>
      <c r="E53" s="60" t="s">
        <v>182</v>
      </c>
      <c r="F53" s="58" t="s">
        <v>184</v>
      </c>
      <c r="G53" s="59" t="s">
        <v>183</v>
      </c>
      <c r="H53" s="60" t="s">
        <v>182</v>
      </c>
      <c r="I53" s="58" t="s">
        <v>184</v>
      </c>
      <c r="J53" s="59" t="s">
        <v>183</v>
      </c>
      <c r="K53" s="60" t="s">
        <v>182</v>
      </c>
      <c r="L53" s="58" t="s">
        <v>184</v>
      </c>
      <c r="M53" s="59" t="s">
        <v>183</v>
      </c>
      <c r="N53" s="60" t="s">
        <v>182</v>
      </c>
      <c r="O53" s="61" t="s">
        <v>124</v>
      </c>
      <c r="P53" s="59" t="s">
        <v>105</v>
      </c>
      <c r="Q53" s="62" t="s">
        <v>123</v>
      </c>
      <c r="R53" s="63" t="s">
        <v>110</v>
      </c>
      <c r="S53" s="64" t="s">
        <v>179</v>
      </c>
      <c r="T53" s="65" t="s">
        <v>181</v>
      </c>
      <c r="U53" s="66" t="s">
        <v>183</v>
      </c>
      <c r="V53" s="67" t="s">
        <v>182</v>
      </c>
    </row>
    <row r="54" spans="1:22" ht="26.25">
      <c r="A54" s="256" t="s">
        <v>82</v>
      </c>
      <c r="B54" s="7" t="s">
        <v>150</v>
      </c>
      <c r="C54" s="248" t="e">
        <f>COUNTIFS(Données!K:K,"Maternelle",Données!M:M,"Buers-Croix-Luizet",Données!#REF!,"=1")+COUNTIFS(#REF!,"Maternelle",#REF!,"Buers-Croix-Luizet",#REF!,"=1")</f>
        <v>#REF!</v>
      </c>
      <c r="D54" s="26">
        <v>27</v>
      </c>
      <c r="E54" s="70" t="e">
        <f>C54/D54</f>
        <v>#REF!</v>
      </c>
      <c r="F54" s="23" t="e">
        <f>COUNTIFS(Données!K:K,"Elémentaire",Données!M:M,"Buers-Croix-Luizet",Données!#REF!,"=1")+COUNTIFS(#REF!,"Elémentaire",#REF!,"Buers-Croix-Luizet",#REF!,"=1")</f>
        <v>#REF!</v>
      </c>
      <c r="G54" s="24">
        <v>44</v>
      </c>
      <c r="H54" s="70" t="e">
        <f>F54/G54</f>
        <v>#REF!</v>
      </c>
      <c r="I54" s="23" t="e">
        <f>COUNTIFS(Données!K:K,"Collège",Données!M:M,"Buers-Croix-Luizet",Données!#REF!,"=1")+COUNTIFS(#REF!,"Collège",#REF!,"Buers-Croix-Luizet",#REF!,"=1")</f>
        <v>#REF!</v>
      </c>
      <c r="J54" s="24"/>
      <c r="K54" s="70" t="e">
        <f>I54/J54</f>
        <v>#REF!</v>
      </c>
      <c r="L54" s="23" t="e">
        <f>COUNTIFS(Données!K:K,"Lycée",Données!M:M,"Buers-Croix-Luizet",Données!#REF!,"=1")+COUNTIFS(#REF!,"Lycée",#REF!,"Buers-Croix-Luizet",#REF!,"=1")</f>
        <v>#REF!</v>
      </c>
      <c r="M54" s="24"/>
      <c r="N54" s="70" t="e">
        <f>L54/M54</f>
        <v>#REF!</v>
      </c>
      <c r="O54" s="23" t="e">
        <f>COUNTIFS(Données!N:N,"FDL",Données!M:M,"Buers-Croix-Luizet",Données!#REF!,"=1")+COUNTIFS(#REF!,"FDL",#REF!,"Buers-Croix-Luizet",#REF!,"=1")</f>
        <v>#REF!</v>
      </c>
      <c r="P54" s="24" t="e">
        <f>COUNTIFS(Données!N:N,"MLIS",Données!M:M,"Buers-Croix-Luizet",Données!#REF!,"=1")+COUNTIFS(#REF!,"MLIS",#REF!,"Buers-Croix-Luizet",#REF!,"=1")</f>
        <v>#REF!</v>
      </c>
      <c r="Q54" s="93" t="e">
        <f>COUNTIFS(Données!N:N,"RIZE",Données!M:M,"Buers-Croix-Luizet",Données!#REF!,"=1")+COUNTIFS(#REF!,"RIZE",#REF!,"Buers-Croix-Luizet",#REF!,"=1")</f>
        <v>#REF!</v>
      </c>
      <c r="R54" s="94" t="e">
        <f>COUNTIFS(Données!N:N,"PAC-BUS",Données!M:M,"Buers-Croix-Luizet",Données!#REF!,"=1")+COUNTIFS(#REF!,"PAC-BUS",#REF!,"Buers-Croix-Luizet",#REF!,"=1")</f>
        <v>#REF!</v>
      </c>
      <c r="S54" s="95" t="e">
        <f>COUNTIFS(Données!N:N,"Tonkin",Données!M:M,"Buers-Croix-Luizet",Données!#REF!,"=1")+COUNTIFS(#REF!,"Tonkin",#REF!,"Buers-Croix-Luizet",#REF!,"=1")</f>
        <v>#REF!</v>
      </c>
      <c r="T54" s="54" t="e">
        <f>SUM(O54:S54)</f>
        <v>#REF!</v>
      </c>
      <c r="U54" s="83"/>
      <c r="V54" s="70" t="e">
        <f>T54/U54</f>
        <v>#REF!</v>
      </c>
    </row>
    <row r="55" spans="1:22" ht="26.25">
      <c r="A55" s="257"/>
      <c r="B55" s="8" t="s">
        <v>149</v>
      </c>
      <c r="C55" s="249" t="e">
        <f>SUMIFS(Données!G:G,Données!M:M,"Buers-Croix-Luizet",Données!K:K,"Maternelle",Données!#REF!,"=1")+SUMIFS(#REF!,#REF!,"Buers-Croix-Luizet",#REF!,"Maternelle",#REF!,"=1")</f>
        <v>#REF!</v>
      </c>
      <c r="D55" s="29">
        <v>714</v>
      </c>
      <c r="E55" s="81" t="e">
        <f t="shared" ref="E55:E79" si="7">C55/D55</f>
        <v>#REF!</v>
      </c>
      <c r="F55" s="28" t="e">
        <f>SUMIFS(Données!G:G,Données!M:M,"Buers-Croix-Luizet",Données!K:K,"Elémentaire",Données!#REF!,"=1")+SUMIFS(#REF!,#REF!,"Buers-Croix-Luizet",#REF!,"Elémentaire",#REF!,"=1")</f>
        <v>#REF!</v>
      </c>
      <c r="G55" s="29">
        <v>1008</v>
      </c>
      <c r="H55" s="81" t="e">
        <f t="shared" ref="H55:H79" si="8">F55/G55</f>
        <v>#REF!</v>
      </c>
      <c r="I55" s="28" t="e">
        <f>SUMIFS(Données!G:G,Données!M:M,"Buers-Croix-Luizet",Données!K:K,"Collège",Données!#REF!,"=1")+SUMIFS(#REF!,#REF!,"Buers-Croix-Luizet",#REF!,"Collège",#REF!,"=1")</f>
        <v>#REF!</v>
      </c>
      <c r="J55" s="29"/>
      <c r="K55" s="81" t="e">
        <f t="shared" ref="K55:K79" si="9">I55/J55</f>
        <v>#REF!</v>
      </c>
      <c r="L55" s="28" t="e">
        <f>SUMIFS(Données!G:G,Données!M:M,"Buers-Croix-Luizet",Données!K:K,"Lycée",Données!#REF!,"=1")+SUMIFS(#REF!,#REF!,"Buers-Croix-Luizet",#REF!,"Lycée",#REF!,"=1")</f>
        <v>#REF!</v>
      </c>
      <c r="M55" s="29"/>
      <c r="N55" s="81" t="e">
        <f t="shared" ref="N55:N79" si="10">L55/M55</f>
        <v>#REF!</v>
      </c>
      <c r="O55" s="28" t="e">
        <f>SUMIFS(Données!G:G,Données!M:M,"Buers-Croix-Luizet",Données!N:N,"FDL",Données!#REF!,"=1")+SUMIFS(#REF!,#REF!,"Buers-Croix-Luizet",#REF!,"FDL",#REF!,"=1")</f>
        <v>#REF!</v>
      </c>
      <c r="P55" s="29" t="e">
        <f>SUMIFS(Données!G:G,Données!M:M,"Buers-Croix-Luizet",Données!N:N,"MLIS",Données!#REF!,"=1")+SUMIFS(#REF!,#REF!,"Buers-Croix-Luizet",#REF!,"MLIS",#REF!,"=1")</f>
        <v>#REF!</v>
      </c>
      <c r="Q55" s="96" t="e">
        <f>SUMIFS(Données!G:G,Données!M:M,"Buers-Croix-Luizet",Données!N:N,"RIZE",Données!#REF!,"=1")+SUMIFS(#REF!,#REF!,"Buers-Croix-Luizet",#REF!,"RIZE",#REF!,"=1")</f>
        <v>#REF!</v>
      </c>
      <c r="R55" s="97" t="e">
        <f>SUMIFS(Données!G:G,Données!M:M,"Buers-Croix-Luizet",Données!N:N,"PAC-BUS",Données!#REF!,"=1")+SUMIFS(#REF!,#REF!,"Buers-Croix-Luizet",#REF!,"PAC-BUS",#REF!,"=1")</f>
        <v>#REF!</v>
      </c>
      <c r="S55" s="98" t="e">
        <f>SUMIFS(Données!G:G,Données!M:M,"Buers-Croix-Luizet",Données!N:N,"Tonkin",Données!#REF!,"=1")+SUMIFS(#REF!,#REF!,"Buers-Croix-Luizet",#REF!,"Tonkin",#REF!,"=1")</f>
        <v>#REF!</v>
      </c>
      <c r="T55" s="28" t="e">
        <f t="shared" ref="T55:T83" si="11">SUM(O55:S55)</f>
        <v>#REF!</v>
      </c>
      <c r="U55" s="51"/>
      <c r="V55" s="81" t="e">
        <f t="shared" ref="V55:V79" si="12">T55/U55</f>
        <v>#REF!</v>
      </c>
    </row>
    <row r="56" spans="1:22" ht="27" thickBot="1">
      <c r="A56" s="258"/>
      <c r="B56" s="68" t="s">
        <v>148</v>
      </c>
      <c r="C56" s="30" t="e">
        <f>COUNTIFS(Données!M:M,"Buers-Croix-Luizet",Données!K:K,"Maternelle")+COUNTIFS(#REF!,"Buers-Croix-Luizet",#REF!,"Maternelle")</f>
        <v>#REF!</v>
      </c>
      <c r="D56" s="31" t="s">
        <v>185</v>
      </c>
      <c r="E56" s="31" t="s">
        <v>185</v>
      </c>
      <c r="F56" s="38" t="e">
        <f>COUNTIFS(Données!M:M,"Buers-Croix-Luizet",Données!K:K,"Elémentaire")+COUNTIFS(#REF!,"Buers-Croix-Luizet",#REF!,"Elémentaire")</f>
        <v>#REF!</v>
      </c>
      <c r="G56" s="31" t="s">
        <v>185</v>
      </c>
      <c r="H56" s="31" t="s">
        <v>185</v>
      </c>
      <c r="I56" s="38" t="e">
        <f>COUNTIFS(Données!M:M,"Buers-Croix-Luizet",Données!K:K,"Collège")+COUNTIFS(#REF!,"Buers-Croix-Luizet",#REF!,"Collège")</f>
        <v>#REF!</v>
      </c>
      <c r="J56" s="31" t="s">
        <v>185</v>
      </c>
      <c r="K56" s="31" t="s">
        <v>185</v>
      </c>
      <c r="L56" s="38" t="e">
        <f>COUNTIFS(Données!M:M,"Buers-Croix-Luizet",Données!K:K,"Lycée")+COUNTIFS(#REF!,"Buers-Croix-Luizet",#REF!,"Lycée")</f>
        <v>#REF!</v>
      </c>
      <c r="M56" s="31" t="s">
        <v>185</v>
      </c>
      <c r="N56" s="31" t="s">
        <v>185</v>
      </c>
      <c r="O56" s="38" t="e">
        <f>COUNTIFS(Données!M:M,"Buers-Croix-Luizet",Données!N:N,"FDL")+COUNTIFS(#REF!,"Buers-Croix-Luizet",#REF!,"FDL")</f>
        <v>#REF!</v>
      </c>
      <c r="P56" s="39" t="e">
        <f>COUNTIFS(Données!M:M,"Buers-Croix-Luizet",Données!N:N,"MLIS")+COUNTIFS(#REF!,"Buers-Croix-Luizet",#REF!,"MLIS")</f>
        <v>#REF!</v>
      </c>
      <c r="Q56" s="99" t="e">
        <f>COUNTIFS(Données!M:M,"Buers-Croix-Luizet",Données!N:N,"RIZE")+COUNTIFS(#REF!,"Buers-Croix-Luizet",#REF!,"RIZE")</f>
        <v>#REF!</v>
      </c>
      <c r="R56" s="100" t="e">
        <f>COUNTIFS(Données!M:M,"Buers-Croix-Luizet",Données!N:N,"PAC-BUS")+COUNTIFS(#REF!,"Buers-Croix-Luizet",#REF!,"PAC-BUS")</f>
        <v>#REF!</v>
      </c>
      <c r="S56" s="101" t="e">
        <f>COUNTIFS(Données!M:M,"Buers-Croix-Luizet",Données!N:N,"Tonkin")+COUNTIFS(#REF!,"Buers-Croix-Luizet",#REF!,"Tonkin")</f>
        <v>#REF!</v>
      </c>
      <c r="T56" s="80" t="e">
        <f t="shared" si="11"/>
        <v>#REF!</v>
      </c>
      <c r="U56" s="84" t="s">
        <v>185</v>
      </c>
      <c r="V56" s="85" t="s">
        <v>185</v>
      </c>
    </row>
    <row r="57" spans="1:22" ht="26.25">
      <c r="A57" s="262" t="s">
        <v>83</v>
      </c>
      <c r="B57" s="7" t="s">
        <v>150</v>
      </c>
      <c r="C57" s="25" t="e">
        <f>COUNTIFS(Données!K:K,"Maternelle",Données!M:M,"Charpennes-Tonkin",Données!#REF!,"=1")+COUNTIFS(#REF!,"Maternelle",#REF!,"Charpennes-Tonkin",#REF!,"=1")</f>
        <v>#REF!</v>
      </c>
      <c r="D57" s="26">
        <v>38</v>
      </c>
      <c r="E57" s="73" t="e">
        <f t="shared" si="7"/>
        <v>#REF!</v>
      </c>
      <c r="F57" s="32" t="e">
        <f>COUNTIFS(Données!K:K,"Elémentaire",Données!M:M,"Charpennes-Tonkin",Données!#REF!,"=1")+COUNTIFS(#REF!,"Elémentaire",#REF!,"Charpennes-Tonkin",#REF!,"=1")</f>
        <v>#REF!</v>
      </c>
      <c r="G57" s="33">
        <v>61</v>
      </c>
      <c r="H57" s="73" t="e">
        <f t="shared" si="8"/>
        <v>#REF!</v>
      </c>
      <c r="I57" s="32" t="e">
        <f>COUNTIFS(Données!K:K,"Collège",Données!M:M,"Charpennes-Tonkin",Données!#REF!,"=1")+COUNTIFS(#REF!,"Collège",#REF!,"Charpennes-Tonkin",#REF!,"=1")</f>
        <v>#REF!</v>
      </c>
      <c r="J57" s="33"/>
      <c r="K57" s="73" t="e">
        <f t="shared" si="9"/>
        <v>#REF!</v>
      </c>
      <c r="L57" s="32" t="e">
        <f>COUNTIFS(Données!K:K,"Lycée",Données!M:M,"Charpennes-Tonkin",Données!#REF!,"=1")+COUNTIFS(#REF!,"Lycée",#REF!,"Charpennes-Tonkin",#REF!,"=1")</f>
        <v>#REF!</v>
      </c>
      <c r="M57" s="33"/>
      <c r="N57" s="73" t="e">
        <f t="shared" si="10"/>
        <v>#REF!</v>
      </c>
      <c r="O57" s="32" t="e">
        <f>COUNTIFS(Données!N:N,"FDL",Données!M:M,"Charpennes-Tonkin",Données!#REF!,"=1")+COUNTIFS(#REF!,"FDL",#REF!,"Charpennes-Tonkin",#REF!,"=1")</f>
        <v>#REF!</v>
      </c>
      <c r="P57" s="33" t="e">
        <f>COUNTIFS(Données!N:N,"MLIS",Données!M:M,"Charpennes-Tonkin",Données!#REF!,"=1")+COUNTIFS(#REF!,"MLIS",#REF!,"Charpennes-Tonkin",#REF!,"=1")</f>
        <v>#REF!</v>
      </c>
      <c r="Q57" s="102" t="e">
        <f>COUNTIFS(Données!N:N,"RIZE",Données!M:M,"Charpennes-Tonkin",Données!#REF!,"=1")+COUNTIFS(#REF!,"RIZE",#REF!,"Charpennes-Tonkin",#REF!,"=1")</f>
        <v>#REF!</v>
      </c>
      <c r="R57" s="103" t="e">
        <f>COUNTIFS(Données!N:N,"PAC-BUS",Données!M:M,"Charpennes-Tonkin",Données!#REF!,"=1")+COUNTIFS(#REF!,"PAC-BUS",#REF!,"Charpennes-Tonkin",#REF!,"=1")</f>
        <v>#REF!</v>
      </c>
      <c r="S57" s="104" t="e">
        <f>COUNTIFS(Données!N:N,"Tonkin",Données!M:M,"Charpennes-Tonkin",Données!#REF!,"=1")+COUNTIFS(#REF!,"Tonkin",#REF!,"Charpennes-Tonkin",#REF!,"=1")</f>
        <v>#REF!</v>
      </c>
      <c r="T57" s="56" t="e">
        <f t="shared" si="11"/>
        <v>#REF!</v>
      </c>
      <c r="U57" s="86"/>
      <c r="V57" s="73" t="e">
        <f t="shared" si="12"/>
        <v>#REF!</v>
      </c>
    </row>
    <row r="58" spans="1:22" ht="26.25">
      <c r="A58" s="263"/>
      <c r="B58" s="8" t="s">
        <v>149</v>
      </c>
      <c r="C58" s="28" t="e">
        <f>SUMIFS(Données!G:G,Données!M:M,"Charpennes-Tonkin",Données!K:K,"Maternelle",Données!#REF!,"=1")+SUMIFS(#REF!,#REF!,"Charpennes-Tonkin",#REF!,"Maternelle",#REF!,"=1")</f>
        <v>#REF!</v>
      </c>
      <c r="D58" s="29">
        <v>1081</v>
      </c>
      <c r="E58" s="74" t="e">
        <f t="shared" si="7"/>
        <v>#REF!</v>
      </c>
      <c r="F58" s="16" t="e">
        <f>SUMIFS(Données!G:G,Données!M:M,"Charpennes-Tonkin",Données!K:K,"Elémentaire",Données!#REF!,"=1")+SUMIFS(#REF!,#REF!,"Charpennes-Tonkin",#REF!,"Elémentaire",#REF!,"=1")</f>
        <v>#REF!</v>
      </c>
      <c r="G58" s="34">
        <v>1391</v>
      </c>
      <c r="H58" s="74" t="e">
        <f t="shared" si="8"/>
        <v>#REF!</v>
      </c>
      <c r="I58" s="35" t="e">
        <f>SUMIFS(Données!G:G,Données!M:M,"Charpennes-Tonkin",Données!K:K,"Collège",Données!#REF!,"=1")+SUMIFS(#REF!,#REF!,"Charpennes-Tonkin",#REF!,"Collège",#REF!,"=1")</f>
        <v>#REF!</v>
      </c>
      <c r="J58" s="36"/>
      <c r="K58" s="74" t="e">
        <f t="shared" si="9"/>
        <v>#REF!</v>
      </c>
      <c r="L58" s="35" t="e">
        <f>SUMIFS(Données!G:G,Données!M:M,"Charpennes-Tonkin",Données!K:K,"Lycée",Données!#REF!,"=1")+SUMIFS(#REF!,#REF!,"Charpennes-Tonkin",#REF!,"Lycée",#REF!,"=1")</f>
        <v>#REF!</v>
      </c>
      <c r="M58" s="36"/>
      <c r="N58" s="74" t="e">
        <f t="shared" si="10"/>
        <v>#REF!</v>
      </c>
      <c r="O58" s="16" t="e">
        <f>SUMIFS(Données!G:G,Données!M:M,"Charpennes-Tonkin",Données!N:N,"FDL",Données!#REF!,"=1")+SUMIFS(#REF!,#REF!,"Charpennes-Tonkin",#REF!,"FDL",#REF!,"=1")</f>
        <v>#REF!</v>
      </c>
      <c r="P58" s="34" t="e">
        <f>SUMIFS(Données!G:G,Données!M:M,"Charpennes-Tonkin",Données!N:N,"MLIS",Données!#REF!,"=1")+SUMIFS(#REF!,#REF!,"Charpennes-Tonkin",#REF!,"MLIS",#REF!,"=1")</f>
        <v>#REF!</v>
      </c>
      <c r="Q58" s="105" t="e">
        <f>SUMIFS(Données!G:G,Données!M:M,"Charpennes-Tonkin",Données!N:N,"RIZE",Données!#REF!,"=1")+SUMIFS(#REF!,#REF!,"Charpennes-Tonkin",#REF!,"RIZE",#REF!,"=1")</f>
        <v>#REF!</v>
      </c>
      <c r="R58" s="106" t="e">
        <f>SUMIFS(Données!G:G,Données!M:M,"Charpennes-Tonkin",Données!N:N,"PAC-BUS",Données!#REF!,"=1")+SUMIFS(#REF!,#REF!,"Charpennes-Tonkin",#REF!,"PAC-BUS",#REF!,"=1")</f>
        <v>#REF!</v>
      </c>
      <c r="S58" s="107" t="e">
        <f>SUMIFS(Données!G:G,Données!M:M,"Charpennes-Tonkin",Données!N:N,"Tonkin",Données!#REF!,"=1")+SUMIFS(#REF!,#REF!,"Charpennes-Tonkin",#REF!,"Tonkin",#REF!,"=1")</f>
        <v>#REF!</v>
      </c>
      <c r="T58" s="16" t="e">
        <f t="shared" si="11"/>
        <v>#REF!</v>
      </c>
      <c r="U58" s="52"/>
      <c r="V58" s="74" t="e">
        <f t="shared" si="12"/>
        <v>#REF!</v>
      </c>
    </row>
    <row r="59" spans="1:22" ht="27" thickBot="1">
      <c r="A59" s="264"/>
      <c r="B59" s="68" t="s">
        <v>148</v>
      </c>
      <c r="C59" s="41" t="e">
        <f>COUNTIFS(Données!M:M,"Charpennes-Tonkin",Données!K:K,"Maternelle")+COUNTIFS(#REF!,"Charpennes-Tonkin",#REF!,"Maternelle")</f>
        <v>#REF!</v>
      </c>
      <c r="D59" s="42" t="s">
        <v>185</v>
      </c>
      <c r="E59" s="42" t="s">
        <v>185</v>
      </c>
      <c r="F59" s="6" t="e">
        <f>COUNTIFS(Données!M:M,"Charpennes-Tonkin",Données!K:K,"Elémentaire")+COUNTIFS(#REF!,"Charpennes-Tonkin",#REF!,"Elémentaire")</f>
        <v>#REF!</v>
      </c>
      <c r="G59" s="42" t="s">
        <v>185</v>
      </c>
      <c r="H59" s="42" t="s">
        <v>185</v>
      </c>
      <c r="I59" s="6" t="e">
        <f>COUNTIFS(Données!M:M,"Charpennes-Tonkin",Données!K:K,"Collège")+COUNTIFS(#REF!,"Charpennes-Tonkin",#REF!,"Collège")</f>
        <v>#REF!</v>
      </c>
      <c r="J59" s="42" t="s">
        <v>185</v>
      </c>
      <c r="K59" s="42" t="s">
        <v>185</v>
      </c>
      <c r="L59" s="6" t="e">
        <f>COUNTIFS(Données!M:M,"Charpennes-Tonkin",Données!K:K,"Lycée")+COUNTIFS(#REF!,"Charpennes-Tonkin",#REF!,"Lycée")</f>
        <v>#REF!</v>
      </c>
      <c r="M59" s="42" t="s">
        <v>185</v>
      </c>
      <c r="N59" s="42" t="s">
        <v>185</v>
      </c>
      <c r="O59" s="6" t="e">
        <f>COUNTIFS(Données!M:M,"Charpennes-Tonkin",Données!N:N,"FDL")+COUNTIFS(#REF!,"Charpennes-Tonkin",#REF!,"FDL")</f>
        <v>#REF!</v>
      </c>
      <c r="P59" s="14" t="e">
        <f>COUNTIFS(Données!M:M,"Charpennes-Tonkin",Données!N:N,"MLIS")+COUNTIFS(#REF!,"Charpennes-Tonkin",#REF!,"MLIS")</f>
        <v>#REF!</v>
      </c>
      <c r="Q59" s="108" t="e">
        <f>COUNTIFS(Données!M:M,"Charpennes-Tonkin",Données!N:N,"RIZE")+COUNTIFS(#REF!,"Charpennes-Tonkin",#REF!,"RIZE")</f>
        <v>#REF!</v>
      </c>
      <c r="R59" s="109" t="e">
        <f>COUNTIFS(Données!M:M,"Charpennes-Tonkin",Données!N:N,"PAC-BUS")+COUNTIFS(#REF!,"Charpennes-Tonkin",#REF!,"PAC-BUS")</f>
        <v>#REF!</v>
      </c>
      <c r="S59" s="110" t="e">
        <f>COUNTIFS(Données!M:M,"Charpennes-Tonkin",Données!N:N,"Tonkin")+COUNTIFS(#REF!,"Charpennes-Tonkin",#REF!,"Tonkin")</f>
        <v>#REF!</v>
      </c>
      <c r="T59" s="43" t="e">
        <f t="shared" si="11"/>
        <v>#REF!</v>
      </c>
      <c r="U59" s="87" t="s">
        <v>185</v>
      </c>
      <c r="V59" s="72" t="s">
        <v>185</v>
      </c>
    </row>
    <row r="60" spans="1:22" ht="26.25">
      <c r="A60" s="256" t="s">
        <v>84</v>
      </c>
      <c r="B60" s="7" t="s">
        <v>150</v>
      </c>
      <c r="C60" s="25" t="e">
        <f>COUNTIFS(Données!K:K,"Maternelle",Données!M:M,"Cusset-Bonnevay",Données!#REF!,"=1")+COUNTIFS(#REF!,"Maternelle",#REF!,"Cusset-Bonnevay",#REF!,"=1")</f>
        <v>#REF!</v>
      </c>
      <c r="D60" s="26">
        <v>37</v>
      </c>
      <c r="E60" s="73" t="e">
        <f t="shared" si="7"/>
        <v>#REF!</v>
      </c>
      <c r="F60" s="32" t="e">
        <f>COUNTIFS(Données!K:K,"Elémentaire",Données!M:M,"Cusset-Bonnevay",Données!#REF!,"=1")+COUNTIFS(#REF!,"Elémentaire",#REF!,"Cusset-Bonnevay",#REF!,"=1")</f>
        <v>#REF!</v>
      </c>
      <c r="G60" s="33">
        <v>49</v>
      </c>
      <c r="H60" s="73" t="e">
        <f t="shared" si="8"/>
        <v>#REF!</v>
      </c>
      <c r="I60" s="32" t="e">
        <f>COUNTIFS(Données!K:K,"Collège",Données!M:M,"Cusset-Bonnevay",Données!#REF!,"=1")+COUNTIFS(#REF!,"Collège",#REF!,"Cusset-Bonnevay",#REF!,"=1")</f>
        <v>#REF!</v>
      </c>
      <c r="J60" s="33"/>
      <c r="K60" s="73" t="e">
        <f t="shared" si="9"/>
        <v>#REF!</v>
      </c>
      <c r="L60" s="32" t="e">
        <f>COUNTIFS(Données!K:K,"Lycée",Données!M:M,"Cusset-Bonnevay",Données!#REF!,"=1")+COUNTIFS(#REF!,"Lycée",#REF!,"Cusset-Bonnevay",#REF!,"=1")</f>
        <v>#REF!</v>
      </c>
      <c r="M60" s="33"/>
      <c r="N60" s="73" t="e">
        <f t="shared" si="10"/>
        <v>#REF!</v>
      </c>
      <c r="O60" s="32" t="e">
        <f>COUNTIFS(Données!N:N,"FDL",Données!M:M,"Cusset-Bonnevay",Données!#REF!,"=1")+COUNTIFS(#REF!,"FDL",#REF!,"Cusset-Bonnevay",#REF!,"=1")</f>
        <v>#REF!</v>
      </c>
      <c r="P60" s="33" t="e">
        <f>COUNTIFS(Données!N:N,"MLIS",Données!M:M,"Cusset-Bonnevay",Données!#REF!,"=1")+COUNTIFS(#REF!,"MLIS",#REF!,"Cusset-Bonnevay",#REF!,"=1")</f>
        <v>#REF!</v>
      </c>
      <c r="Q60" s="102" t="e">
        <f>COUNTIFS(Données!N:N,"RIZE",Données!M:M,"Cusset-Bonnevay",Données!#REF!,"=1")+COUNTIFS(#REF!,"RIZE",#REF!,"Cusset-Bonnevay",#REF!,"=1")</f>
        <v>#REF!</v>
      </c>
      <c r="R60" s="103" t="e">
        <f>COUNTIFS(Données!N:N,"PAC-BUS",Données!M:M,"Cusset-Bonnevay",Données!#REF!,"=1")+COUNTIFS(#REF!,"PAC-BUS",#REF!,"Cusset-Bonnevay",#REF!,"=1")</f>
        <v>#REF!</v>
      </c>
      <c r="S60" s="104" t="e">
        <f>COUNTIFS(Données!N:N,"Tonkin",Données!M:M,"Cusset-Bonnevay",Données!#REF!,"=1")+COUNTIFS(#REF!,"Tonkin",#REF!,"Cusset-Bonnevay",#REF!,"=1")</f>
        <v>#REF!</v>
      </c>
      <c r="T60" s="56" t="e">
        <f t="shared" si="11"/>
        <v>#REF!</v>
      </c>
      <c r="U60" s="86"/>
      <c r="V60" s="73" t="e">
        <f t="shared" si="12"/>
        <v>#REF!</v>
      </c>
    </row>
    <row r="61" spans="1:22" ht="26.25">
      <c r="A61" s="257"/>
      <c r="B61" s="8" t="s">
        <v>149</v>
      </c>
      <c r="C61" s="28" t="e">
        <f>SUMIFS(Données!G:G,Données!M:M,"Cusset-Bonnevay",Données!K:K,"Maternelle",Données!#REF!,"=1")+SUMIFS(#REF!,#REF!,"Cusset-Bonnevay",#REF!,"Maternelle",#REF!,"=1")</f>
        <v>#REF!</v>
      </c>
      <c r="D61" s="29">
        <v>883</v>
      </c>
      <c r="E61" s="74" t="e">
        <f t="shared" si="7"/>
        <v>#REF!</v>
      </c>
      <c r="F61" s="16" t="e">
        <f>SUMIFS(Données!G:G,Données!M:M,"Cusset-Bonnevay",Données!K:K,"Elémentaire",Données!#REF!,"=1")+SUMIFS(#REF!,#REF!,"Cusset-Bonnevay",#REF!,"Elémentaire",#REF!,"=1")</f>
        <v>#REF!</v>
      </c>
      <c r="G61" s="34">
        <v>1164</v>
      </c>
      <c r="H61" s="74" t="e">
        <f t="shared" si="8"/>
        <v>#REF!</v>
      </c>
      <c r="I61" s="16" t="e">
        <f>SUMIFS(Données!G:G,Données!M:M,"Cusset-Bonnevay",Données!K:K,"Collège",Données!#REF!,"=1")+SUMIFS(#REF!,#REF!,"Cusset-Bonnevay",#REF!,"Collège",#REF!,"=1")</f>
        <v>#REF!</v>
      </c>
      <c r="J61" s="34"/>
      <c r="K61" s="74" t="e">
        <f t="shared" si="9"/>
        <v>#REF!</v>
      </c>
      <c r="L61" s="16" t="e">
        <f>SUMIFS(Données!G:G,Données!M:M,"Cusset-Bonnevay",Données!K:K,"Lycée",Données!#REF!,"=1")+SUMIFS(#REF!,#REF!,"Cusset-Bonnevay",#REF!,"Lycée",#REF!,"=1")</f>
        <v>#REF!</v>
      </c>
      <c r="M61" s="34"/>
      <c r="N61" s="74" t="e">
        <f t="shared" si="10"/>
        <v>#REF!</v>
      </c>
      <c r="O61" s="16" t="e">
        <f>SUMIFS(Données!G:G,Données!M:M,"Cusset-Bonnevay",Données!N:N,"FDL",Données!#REF!,"=1")+SUMIFS(#REF!,#REF!,"Cusset-Bonnevay",#REF!,"FDL",#REF!,"=1")</f>
        <v>#REF!</v>
      </c>
      <c r="P61" s="34" t="e">
        <f>SUMIFS(Données!G:G,Données!M:M,"Cusset-Bonnevay",Données!N:N,"MLIS",Données!#REF!,"=1")+SUMIFS(#REF!,#REF!,"Cusset-Bonnevay",#REF!,"MLIS",#REF!,"=1")</f>
        <v>#REF!</v>
      </c>
      <c r="Q61" s="105" t="e">
        <f>SUMIFS(Données!G:G,Données!M:M,"Cusset-Bonnevay",Données!N:N,"RIZE",Données!#REF!,"=1")+SUMIFS(#REF!,#REF!,"Cusset-Bonnevay",#REF!,"RIZE",#REF!,"=1")</f>
        <v>#REF!</v>
      </c>
      <c r="R61" s="106" t="e">
        <f>SUMIFS(Données!G:G,Données!M:M,"Cusset-Bonnevay",Données!N:N,"PAC-BUS",Données!#REF!,"=1")+SUMIFS(#REF!,#REF!,"Cusset-Bonnevay",#REF!,"PAC-BUS",#REF!,"=1")</f>
        <v>#REF!</v>
      </c>
      <c r="S61" s="107" t="e">
        <f>SUMIFS(Données!G:G,Données!M:M,"Cusset-Bonnevay",Données!N:N,"Tonkin",Données!#REF!,"=1")+SUMIFS(#REF!,#REF!,"Cusset-Bonnevay",#REF!,"Tonkin",#REF!,"=1")</f>
        <v>#REF!</v>
      </c>
      <c r="T61" s="16" t="e">
        <f t="shared" si="11"/>
        <v>#REF!</v>
      </c>
      <c r="U61" s="52"/>
      <c r="V61" s="74" t="e">
        <f t="shared" si="12"/>
        <v>#REF!</v>
      </c>
    </row>
    <row r="62" spans="1:22" ht="15" customHeight="1" thickBot="1">
      <c r="A62" s="258"/>
      <c r="B62" s="68" t="s">
        <v>148</v>
      </c>
      <c r="C62" s="41" t="e">
        <f>COUNTIFS(Données!M:M,"Cusset-Bonnevay",Données!K:K,"Maternelle")+COUNTIFS(#REF!,"Cusset-Bonnevay",#REF!,"Maternelle")</f>
        <v>#REF!</v>
      </c>
      <c r="D62" s="42" t="s">
        <v>185</v>
      </c>
      <c r="E62" s="42" t="s">
        <v>185</v>
      </c>
      <c r="F62" s="6" t="e">
        <f>COUNTIFS(Données!M:M,"Cusset-Bonnevay",Données!K:K,"Elémentaire")+COUNTIFS(#REF!,"Cusset-Bonnevay",#REF!,"Elémentaire")</f>
        <v>#REF!</v>
      </c>
      <c r="G62" s="42" t="s">
        <v>185</v>
      </c>
      <c r="H62" s="42" t="s">
        <v>185</v>
      </c>
      <c r="I62" s="6" t="e">
        <f>COUNTIFS(Données!M:M,"Cusset-Bonnevay",Données!K:K,"Collège")+COUNTIFS(#REF!,"Cusset-Bonnevay",#REF!,"Collège")</f>
        <v>#REF!</v>
      </c>
      <c r="J62" s="42" t="s">
        <v>185</v>
      </c>
      <c r="K62" s="42" t="s">
        <v>185</v>
      </c>
      <c r="L62" s="6" t="e">
        <f>COUNTIFS(Données!M:M,"Cusset-Bonnevay",Données!K:K,"Lycée")+COUNTIFS(#REF!,"Cusset-Bonnevay",#REF!,"Lycée")</f>
        <v>#REF!</v>
      </c>
      <c r="M62" s="42" t="s">
        <v>185</v>
      </c>
      <c r="N62" s="42" t="s">
        <v>185</v>
      </c>
      <c r="O62" s="6" t="e">
        <f>COUNTIFS(Données!M:M,"Cusset-Bonnevay",Données!N:N,"FDL")+COUNTIFS(#REF!,"Cusset-Bonnevay",#REF!,"FDL")</f>
        <v>#REF!</v>
      </c>
      <c r="P62" s="14" t="e">
        <f>COUNTIFS(Données!M:M,"Cusset-Bonnevay",Données!N:N,"MLIS")+COUNTIFS(#REF!,"Cusset-Bonnevay",#REF!,"MLIS")</f>
        <v>#REF!</v>
      </c>
      <c r="Q62" s="108" t="e">
        <f>COUNTIFS(Données!M:M,"Cusset-Bonnevay",Données!N:N,"RIZE")+COUNTIFS(#REF!,"Cusset-Bonnevay",#REF!,"RIZE")</f>
        <v>#REF!</v>
      </c>
      <c r="R62" s="109" t="e">
        <f>COUNTIFS(Données!M:M,"Cusset-Bonnevay",Données!N:N,"PAC-BUS")+COUNTIFS(#REF!,"Cusset-Bonnevay",#REF!,"PAC-BUS")</f>
        <v>#REF!</v>
      </c>
      <c r="S62" s="110" t="e">
        <f>COUNTIFS(Données!M:M,"Cusset-Bonnevay",Données!N:N,"Tonkin")+COUNTIFS(#REF!,"Cusset-Bonnevay",#REF!,"Tonkin")</f>
        <v>#REF!</v>
      </c>
      <c r="T62" s="43" t="e">
        <f t="shared" si="11"/>
        <v>#REF!</v>
      </c>
      <c r="U62" s="87" t="s">
        <v>185</v>
      </c>
      <c r="V62" s="72" t="s">
        <v>185</v>
      </c>
    </row>
    <row r="63" spans="1:22" ht="26.25">
      <c r="A63" s="256" t="s">
        <v>186</v>
      </c>
      <c r="B63" s="7" t="s">
        <v>150</v>
      </c>
      <c r="C63" s="76" t="e">
        <f>COUNTIFS(Données!K:K,"Maternelle",Données!M:M,"Cyprian-les-Brosses",Données!#REF!,"=1")+COUNTIFS(#REF!,"Maternelle",#REF!,"Cyprian-les-Brosses",#REF!,"=1")</f>
        <v>#REF!</v>
      </c>
      <c r="D63" s="77">
        <v>21</v>
      </c>
      <c r="E63" s="75" t="e">
        <f t="shared" si="7"/>
        <v>#REF!</v>
      </c>
      <c r="F63" s="9" t="e">
        <f>COUNTIFS(Données!K:K,"Elémentaire",Données!M:M,"Cyprian-les-Brosses",Données!#REF!,"=1")+COUNTIFS(#REF!,"Elémentaire",#REF!,"Cyprian-les-Brosses",#REF!,"=1")</f>
        <v>#REF!</v>
      </c>
      <c r="G63" s="40">
        <v>34</v>
      </c>
      <c r="H63" s="75" t="e">
        <f t="shared" si="8"/>
        <v>#REF!</v>
      </c>
      <c r="I63" s="9" t="e">
        <f>COUNTIFS(Données!K:K,"Collège",Données!M:M,"Cyprian-les-Brosses",Données!#REF!,"=1")+COUNTIFS(#REF!,"Collège",#REF!,"Cyprian-les-Brosses",#REF!,"=1")</f>
        <v>#REF!</v>
      </c>
      <c r="J63" s="37"/>
      <c r="K63" s="75" t="e">
        <f t="shared" si="9"/>
        <v>#REF!</v>
      </c>
      <c r="L63" s="9" t="e">
        <f>COUNTIFS(Données!K:K,"Lycée",Données!M:M,"Cyprian-les-Brosses",Données!#REF!,"=1")+COUNTIFS(#REF!,"Lycée",#REF!,"Cyprian-les-Brosses",#REF!,"=1")</f>
        <v>#REF!</v>
      </c>
      <c r="M63" s="37"/>
      <c r="N63" s="75" t="e">
        <f t="shared" si="10"/>
        <v>#REF!</v>
      </c>
      <c r="O63" s="9" t="e">
        <f>COUNTIFS(Données!N:N,"FDL",Données!M:M,"Cyprian-les-Brosses",Données!#REF!,"=1")+COUNTIFS(#REF!,"FDL",#REF!,"Cyprian-les-Brosses",#REF!,"=1")</f>
        <v>#REF!</v>
      </c>
      <c r="P63" s="37" t="e">
        <f>COUNTIFS(Données!N:N,"MLIS",Données!M:M,"Cyprian-les-Brosses",Données!#REF!,"=1")+COUNTIFS(#REF!,"MLIS",#REF!,"Cyprian-les-Brosses",#REF!,"=1")</f>
        <v>#REF!</v>
      </c>
      <c r="Q63" s="111" t="e">
        <f>COUNTIFS(Données!N:N,"RIZE",Données!M:M,"Cyprian-les-Brosses",Données!#REF!,"=1")+COUNTIFS(#REF!,"RIZE",#REF!,"Cyprian-les-Brosses",#REF!,"=1")</f>
        <v>#REF!</v>
      </c>
      <c r="R63" s="112" t="e">
        <f>COUNTIFS(Données!N:N,"PAC-BUS",Données!M:M,"Cyprian-les-Brosses",Données!#REF!,"=1")+COUNTIFS(#REF!,"PAC-BUS",#REF!,"Cyprian-les-Brosses",#REF!,"=1")</f>
        <v>#REF!</v>
      </c>
      <c r="S63" s="113" t="e">
        <f>COUNTIFS(Données!N:N,"Tonkin",Données!M:M,"Cyprian-les-Brosses",Données!#REF!,"=1")+COUNTIFS(#REF!,"Tonkin",#REF!,"Cyprian-les-Brosses",#REF!,"=1")</f>
        <v>#REF!</v>
      </c>
      <c r="T63" s="45" t="e">
        <f t="shared" si="11"/>
        <v>#REF!</v>
      </c>
      <c r="U63" s="88"/>
      <c r="V63" s="75" t="e">
        <f t="shared" si="12"/>
        <v>#REF!</v>
      </c>
    </row>
    <row r="64" spans="1:22" ht="26.25">
      <c r="A64" s="257"/>
      <c r="B64" s="8" t="s">
        <v>149</v>
      </c>
      <c r="C64" s="28" t="e">
        <f>SUMIFS(Données!G:G,Données!M:M,"Cyprian-les-Brosses",Données!K:K,"Maternelle",Données!#REF!,"=1")+SUMIFS(#REF!,#REF!,"Cyprian-les-Brosses",#REF!,"Maternelle",#REF!,"=1")</f>
        <v>#REF!</v>
      </c>
      <c r="D64" s="29">
        <v>573</v>
      </c>
      <c r="E64" s="74" t="e">
        <f t="shared" si="7"/>
        <v>#REF!</v>
      </c>
      <c r="F64" s="16" t="e">
        <f>SUMIFS(Données!G:G,Données!M:M,"Cyprian-les-Brosses",Données!K:K,"Elémentaire",Données!#REF!,"=1")+SUMIFS(#REF!,#REF!,"Cyprian-les-Brosses",#REF!,"Elémentaire",#REF!,"=1")</f>
        <v>#REF!</v>
      </c>
      <c r="G64" s="34">
        <v>747</v>
      </c>
      <c r="H64" s="74" t="e">
        <f t="shared" si="8"/>
        <v>#REF!</v>
      </c>
      <c r="I64" s="16" t="e">
        <f>SUMIFS(Données!G:G,Données!M:M,"Cyprian-les-Brosses",Données!K:K,"Collège",Données!#REF!,"=1")+SUMIFS(#REF!,#REF!,"Cyprian-les-Brosses",#REF!,"Collège",#REF!,"=1")</f>
        <v>#REF!</v>
      </c>
      <c r="J64" s="34"/>
      <c r="K64" s="74" t="e">
        <f t="shared" si="9"/>
        <v>#REF!</v>
      </c>
      <c r="L64" s="16" t="e">
        <f>SUMIFS(Données!G:G,Données!M:M,"Cyprian-les-Brosses",Données!K:K,"Lycée",Données!#REF!,"=1")+SUMIFS(#REF!,#REF!,"Cyprian-les-Brosses",#REF!,"Lycée",#REF!,"=1")</f>
        <v>#REF!</v>
      </c>
      <c r="M64" s="34"/>
      <c r="N64" s="74" t="e">
        <f t="shared" si="10"/>
        <v>#REF!</v>
      </c>
      <c r="O64" s="16" t="e">
        <f>SUMIFS(Données!G:G,Données!M:M,"Cyprian-les-Brosses",Données!N:N,"FDL",Données!#REF!,"=1")+SUMIFS(#REF!,#REF!,"Cyprian-les-Brosses",#REF!,"FDL",#REF!,"=1")</f>
        <v>#REF!</v>
      </c>
      <c r="P64" s="34" t="e">
        <f>SUMIFS(Données!G:G,Données!M:M,"Cyprian-les-Brosses",Données!N:N,"MLIS",Données!#REF!,"=1")+SUMIFS(#REF!,#REF!,"Cyprian-les-Brosses",#REF!,"MLIS",#REF!,"=1")</f>
        <v>#REF!</v>
      </c>
      <c r="Q64" s="105" t="e">
        <f>SUMIFS(Données!G:G,Données!M:M,"Cyprian-les-Brosses",Données!N:N,"RIZE",Données!#REF!,"=1")+SUMIFS(#REF!,#REF!,"Cyprian-les-Brosses",#REF!,"RIZE",#REF!,"=1")</f>
        <v>#REF!</v>
      </c>
      <c r="R64" s="106" t="e">
        <f>SUMIFS(Données!G:G,Données!M:M,"Cyprian-les-Brosses",Données!N:N,"PAC-BUS",Données!#REF!,"=1")+SUMIFS(#REF!,#REF!,"Cyprian-les-Brosses",#REF!,"PAC-BUS",#REF!,"=1")</f>
        <v>#REF!</v>
      </c>
      <c r="S64" s="107" t="e">
        <f>SUMIFS(Données!G:G,Données!M:M,"Cyprian-les-Brosses",Données!N:N,"Tonkin",Données!#REF!,"=1")+SUMIFS(#REF!,#REF!,"Cyprian-les-Brosses",#REF!,"Tonkin",#REF!,"=1")</f>
        <v>#REF!</v>
      </c>
      <c r="T64" s="16" t="e">
        <f t="shared" si="11"/>
        <v>#REF!</v>
      </c>
      <c r="U64" s="52"/>
      <c r="V64" s="74" t="e">
        <f t="shared" si="12"/>
        <v>#REF!</v>
      </c>
    </row>
    <row r="65" spans="1:22" ht="27" thickBot="1">
      <c r="A65" s="258"/>
      <c r="B65" s="68" t="s">
        <v>148</v>
      </c>
      <c r="C65" s="76" t="e">
        <f>COUNTIFS(Données!M:M,"Cyprian-les-Brosses",Données!K:K,"Maternelle")+COUNTIFS(#REF!,"Cyprian-les-Brosses",#REF!,"Maternelle")</f>
        <v>#REF!</v>
      </c>
      <c r="D65" s="77" t="s">
        <v>185</v>
      </c>
      <c r="E65" s="77" t="s">
        <v>185</v>
      </c>
      <c r="F65" s="2" t="e">
        <f>COUNTIFS(Données!M:M,"Cyprian-les-Brosses",Données!K:K,"Elémentaire")+COUNTIFS(#REF!,"Cyprian-les-Brosses",#REF!,"Elémentaire")</f>
        <v>#REF!</v>
      </c>
      <c r="G65" s="77" t="s">
        <v>185</v>
      </c>
      <c r="H65" s="77" t="s">
        <v>185</v>
      </c>
      <c r="I65" s="2" t="e">
        <f>COUNTIFS(Données!M:M,"Cyprian-les-Brosses",Données!K:K,"Collège")+COUNTIFS(#REF!,"Cyprian-les-Brosses",#REF!,"Collège")</f>
        <v>#REF!</v>
      </c>
      <c r="J65" s="77" t="s">
        <v>185</v>
      </c>
      <c r="K65" s="77" t="s">
        <v>185</v>
      </c>
      <c r="L65" s="2" t="e">
        <f>COUNTIFS(Données!M:M,"Cyprian-les-Brosses",Données!K:K,"Lycée")+COUNTIFS(#REF!,"Cyprian-les-Brosses",#REF!,"Lycée")</f>
        <v>#REF!</v>
      </c>
      <c r="M65" s="77" t="s">
        <v>185</v>
      </c>
      <c r="N65" s="77" t="s">
        <v>185</v>
      </c>
      <c r="O65" s="2" t="e">
        <f>COUNTIFS(Données!M:M,"Cyprian-les-Brosses",Données!N:N,"FDL")+COUNTIFS(#REF!,"Cyprian-les-Brosses",#REF!,"FDL")</f>
        <v>#REF!</v>
      </c>
      <c r="P65" s="78" t="e">
        <f>COUNTIFS(Données!M:M,"Cyprian-les-Brosses",Données!N:N,"MLIS")+COUNTIFS(#REF!,"Cyprian-les-Brosses",#REF!,"MLIS")</f>
        <v>#REF!</v>
      </c>
      <c r="Q65" s="114" t="e">
        <f>COUNTIFS(Données!M:M,"Cyprian-les-Brosses",Données!N:N,"RIZE")+COUNTIFS(#REF!,"Cyprian-les-Brosses",#REF!,"RIZE")</f>
        <v>#REF!</v>
      </c>
      <c r="R65" s="115" t="e">
        <f>COUNTIFS(Données!M:M,"Cyprian-les-Brosses",Données!N:N,"PAC-BUS")+COUNTIFS(#REF!,"Cyprian-les-Brosses",#REF!,"PAC-BUS")</f>
        <v>#REF!</v>
      </c>
      <c r="S65" s="116" t="e">
        <f>COUNTIFS(Données!M:M,"Cyprian-les-Brosses",Données!N:N,"Tonkin")+COUNTIFS(#REF!,"Cyprian-les-Brosses",#REF!,"Tonkin")</f>
        <v>#REF!</v>
      </c>
      <c r="T65" s="55" t="e">
        <f t="shared" si="11"/>
        <v>#REF!</v>
      </c>
      <c r="U65" s="89" t="s">
        <v>185</v>
      </c>
      <c r="V65" s="90" t="s">
        <v>185</v>
      </c>
    </row>
    <row r="66" spans="1:22" ht="26.25">
      <c r="A66" s="256" t="s">
        <v>121</v>
      </c>
      <c r="B66" s="7" t="s">
        <v>150</v>
      </c>
      <c r="C66" s="25" t="e">
        <f>COUNTIFS(Données!K:K,"Maternelle",Données!M:M,"Ferrandière-Maisons Neuves",Données!#REF!,"=1")+COUNTIFS(#REF!,"Maternelle",#REF!,"Ferrandière-Maisons Neuves",#REF!,"=1")</f>
        <v>#REF!</v>
      </c>
      <c r="D66" s="26">
        <v>22</v>
      </c>
      <c r="E66" s="73" t="e">
        <f>C66/D66</f>
        <v>#REF!</v>
      </c>
      <c r="F66" s="32" t="e">
        <f>COUNTIFS(Données!K:K,"Elémentaire",Données!M:M,"Ferrandière-Maisons Neuves",Données!#REF!,"=1")+COUNTIFS(#REF!,"Elémentaire",#REF!,"Ferrandière-Maisons Neuves",#REF!,"=1")</f>
        <v>#REF!</v>
      </c>
      <c r="G66" s="33">
        <v>30</v>
      </c>
      <c r="H66" s="73" t="e">
        <f>F66/G66</f>
        <v>#REF!</v>
      </c>
      <c r="I66" s="32" t="e">
        <f>COUNTIFS(Données!K:K,"Collège",Données!M:M,"Ferrandière-Maisons Neuves",Données!#REF!,"=1")+COUNTIFS(#REF!,"Collège",#REF!,"Ferrandière-Maisons Neuves",#REF!,"=1")</f>
        <v>#REF!</v>
      </c>
      <c r="J66" s="33"/>
      <c r="K66" s="73" t="e">
        <f t="shared" si="9"/>
        <v>#REF!</v>
      </c>
      <c r="L66" s="32" t="e">
        <f>COUNTIFS(Données!K:K,"Lycée",Données!M:M,"Ferrandière-Maisons Neuves",Données!#REF!,"=1")+COUNTIFS(#REF!,"Lycée",#REF!,"Ferrandière-Maisons Neuves",#REF!,"=1")</f>
        <v>#REF!</v>
      </c>
      <c r="M66" s="33"/>
      <c r="N66" s="73" t="e">
        <f t="shared" si="10"/>
        <v>#REF!</v>
      </c>
      <c r="O66" s="32" t="e">
        <f>COUNTIFS(Données!N:N,"FDL",Données!M:M,"Ferrandière-Maisons Neuves",Données!#REF!,"=1")+COUNTIFS(#REF!,"FDL",#REF!,"Ferrandière-Maisons Neuves",#REF!,"=1")</f>
        <v>#REF!</v>
      </c>
      <c r="P66" s="33" t="e">
        <f>COUNTIFS(Données!N:N,"MLIS",Données!M:M,"Ferrandière-Maisons Neuves",Données!#REF!,"=1")+COUNTIFS(#REF!,"MLIS",#REF!,"Ferrandière-Maisons Neuves",#REF!,"=1")</f>
        <v>#REF!</v>
      </c>
      <c r="Q66" s="102" t="e">
        <f>COUNTIFS(Données!N:N,"RIZE",Données!M:M,"Ferrandière-Maisons Neuves",Données!#REF!,"=1")+COUNTIFS(#REF!,"RIZE",#REF!,"Ferrandière-Maisons Neuves",#REF!,"=1")</f>
        <v>#REF!</v>
      </c>
      <c r="R66" s="103" t="e">
        <f>COUNTIFS(Données!N:N,"PAC-BUS",Données!M:M,"Ferrandière-Maisons Neuves",Données!#REF!,"=1")+COUNTIFS(#REF!,"PAC-BUS",#REF!,"Ferrandière-Maisons Neuves",#REF!,"=1")</f>
        <v>#REF!</v>
      </c>
      <c r="S66" s="104" t="e">
        <f>COUNTIFS(Données!N:N,"Tonkin",Données!M:M,"Ferrandière-Maisons Neuves",Données!#REF!,"=1")+COUNTIFS(#REF!,"Tonkin",#REF!,"Ferrandière-Maisons Neuves",#REF!,"=1")</f>
        <v>#REF!</v>
      </c>
      <c r="T66" s="56" t="e">
        <f t="shared" si="11"/>
        <v>#REF!</v>
      </c>
      <c r="U66" s="86"/>
      <c r="V66" s="73" t="e">
        <f t="shared" si="12"/>
        <v>#REF!</v>
      </c>
    </row>
    <row r="67" spans="1:22" ht="26.25">
      <c r="A67" s="257"/>
      <c r="B67" s="8" t="s">
        <v>149</v>
      </c>
      <c r="C67" s="28" t="e">
        <f>SUMIFS(Données!G:G,Données!M:M,"Ferrandière-Maisons Neuves",Données!K:K,"Maternelle",Données!#REF!,"=1")+SUMIFS(#REF!,#REF!,"Ferrandière-Maisons Neuves",#REF!,"Maternelle",#REF!,"=1")</f>
        <v>#REF!</v>
      </c>
      <c r="D67" s="29">
        <v>530</v>
      </c>
      <c r="E67" s="74" t="e">
        <f t="shared" si="7"/>
        <v>#REF!</v>
      </c>
      <c r="F67" s="16" t="e">
        <f>SUMIFS(Données!G:G,Données!M:M,"Ferrandière-Maisons Neuves",Données!K:K,"Elémentaire",Données!#REF!,"=1")+SUMIFS(#REF!,#REF!,"Ferrandière-Maisons Neuves",#REF!,"Elémentaire",#REF!,"=1")</f>
        <v>#REF!</v>
      </c>
      <c r="G67" s="34">
        <v>744</v>
      </c>
      <c r="H67" s="74" t="e">
        <f t="shared" si="8"/>
        <v>#REF!</v>
      </c>
      <c r="I67" s="16" t="e">
        <f>SUMIFS(Données!G:G,Données!M:M,"Ferrandière-Maisons Neuves",Données!K:K,"Collège",Données!#REF!,"=1")+SUMIFS(#REF!,#REF!,"Ferrandière-Maisons Neuves",#REF!,"Collège",#REF!,"=1")</f>
        <v>#REF!</v>
      </c>
      <c r="J67" s="34"/>
      <c r="K67" s="74" t="e">
        <f t="shared" si="9"/>
        <v>#REF!</v>
      </c>
      <c r="L67" s="16" t="e">
        <f>SUMIFS(Données!G:G,Données!M:M,"Ferrandière-Maisons Neuves",Données!K:K,"Lycée",Données!#REF!,"=1")+SUMIFS(#REF!,#REF!,"Ferrandière-Maisons Neuves",#REF!,"Lycée",#REF!,"=1")</f>
        <v>#REF!</v>
      </c>
      <c r="M67" s="34"/>
      <c r="N67" s="74" t="e">
        <f t="shared" si="10"/>
        <v>#REF!</v>
      </c>
      <c r="O67" s="16" t="e">
        <f>SUMIFS(Données!G:G,Données!M:M,"Ferrandière-Maisons Neuves",Données!N:N,"FDL",Données!#REF!,"=1")+SUMIFS(#REF!,#REF!,"Ferrandière-Maisons Neuves",#REF!,"FDL",#REF!,"=1")</f>
        <v>#REF!</v>
      </c>
      <c r="P67" s="34" t="e">
        <f>SUMIFS(Données!G:G,Données!M:M,"Ferrandière-Maisons Neuves",Données!N:N,"MLIS",Données!#REF!,"=1")+SUMIFS(#REF!,#REF!,"Ferrandière-Maisons Neuves",#REF!,"MLIS",#REF!,"=1")</f>
        <v>#REF!</v>
      </c>
      <c r="Q67" s="105" t="e">
        <f>SUMIFS(Données!G:G,Données!M:M,"Ferrandière-Maisons Neuves",Données!N:N,"RIZE",Données!#REF!,"=1")+SUMIFS(#REF!,#REF!,"Ferrandière-Maisons Neuves",#REF!,"RIZE",#REF!,"=1")</f>
        <v>#REF!</v>
      </c>
      <c r="R67" s="106" t="e">
        <f>SUMIFS(Données!G:G,Données!M:M,"Ferrandière-Maisons Neuves",Données!N:N,"PAC-BUS",Données!#REF!,"=1")+SUMIFS(#REF!,#REF!,"Ferrandière-Maisons Neuves",#REF!,"PAC-BUS",#REF!,"=1")</f>
        <v>#REF!</v>
      </c>
      <c r="S67" s="107" t="e">
        <f>SUMIFS(Données!G:G,Données!M:M,"Ferrandière-Maisons Neuves",Données!N:N,"Tonkin",Données!#REF!,"=1")+SUMIFS(#REF!,#REF!,"Ferrandière-Maisons Neuves",#REF!,"Tonkin",#REF!,"=1")</f>
        <v>#REF!</v>
      </c>
      <c r="T67" s="16" t="e">
        <f t="shared" si="11"/>
        <v>#REF!</v>
      </c>
      <c r="U67" s="52"/>
      <c r="V67" s="74" t="e">
        <f t="shared" si="12"/>
        <v>#REF!</v>
      </c>
    </row>
    <row r="68" spans="1:22" ht="27" thickBot="1">
      <c r="A68" s="258"/>
      <c r="B68" s="68" t="s">
        <v>148</v>
      </c>
      <c r="C68" s="41" t="e">
        <f>COUNTIFS(Données!M:M,"Ferrandière-Maisons Neuves",Données!K:K,"Maternelle")+COUNTIFS(#REF!,"Ferrandière-Maisons Neuves",#REF!,"Maternelle")</f>
        <v>#REF!</v>
      </c>
      <c r="D68" s="42" t="s">
        <v>185</v>
      </c>
      <c r="E68" s="42" t="s">
        <v>185</v>
      </c>
      <c r="F68" s="6" t="e">
        <f>COUNTIFS(Données!M:M,"Ferrandière-Maisons Neuves",Données!K:K,"Elémentaire")+COUNTIFS(#REF!,"Ferrandière-Maisons Neuves",#REF!,"Elémentaire")</f>
        <v>#REF!</v>
      </c>
      <c r="G68" s="42" t="s">
        <v>185</v>
      </c>
      <c r="H68" s="120" t="s">
        <v>185</v>
      </c>
      <c r="I68" s="6" t="e">
        <f>COUNTIFS(Données!M:M,"Ferrandière-Maisons Neuves",Données!K:K,"Collège")+COUNTIFS(#REF!,"Ferrandière-Maisons Neuves",#REF!,"Collège")</f>
        <v>#REF!</v>
      </c>
      <c r="J68" s="42" t="s">
        <v>185</v>
      </c>
      <c r="K68" s="42" t="s">
        <v>185</v>
      </c>
      <c r="L68" s="6" t="e">
        <f>COUNTIFS(Données!M:M,"Ferrandière-Maisons Neuves",Données!K:K,"Lycée")+COUNTIFS(#REF!,"Ferrandière-Maisons Neuves",#REF!,"Lycée")</f>
        <v>#REF!</v>
      </c>
      <c r="M68" s="42" t="s">
        <v>185</v>
      </c>
      <c r="N68" s="42" t="s">
        <v>185</v>
      </c>
      <c r="O68" s="6" t="e">
        <f>COUNTIFS(Données!M:M,"Ferrandière-Maisons Neuves",Données!N:N,"FDL")+COUNTIFS(#REF!,"Ferrandière-Maisons Neuves",#REF!,"FDL")</f>
        <v>#REF!</v>
      </c>
      <c r="P68" s="14" t="e">
        <f>COUNTIFS(Données!M:M,"Ferrandière-Maisons Neuves",Données!N:N,"MLIS")+COUNTIFS(#REF!,"Ferrandière-Maisons Neuves",#REF!,"MLIS")</f>
        <v>#REF!</v>
      </c>
      <c r="Q68" s="108" t="e">
        <f>COUNTIFS(Données!M:M,"Ferrandière-Maisons Neuves",Données!N:N,"RIZE")+COUNTIFS(#REF!,"Ferrandière-Maisons Neuves",#REF!,"RIZE")</f>
        <v>#REF!</v>
      </c>
      <c r="R68" s="109" t="e">
        <f>COUNTIFS(Données!M:M,"Ferrandière-Maisons Neuves",Données!N:N,"PAC-BUS")+COUNTIFS(#REF!,"Ferrandière-Maisons Neuves",#REF!,"PAC-BUS")</f>
        <v>#REF!</v>
      </c>
      <c r="S68" s="110" t="e">
        <f>COUNTIFS(Données!M:M,"Ferrandière-Maisons Neuves",Données!N:N,"Tonkin")+COUNTIFS(#REF!,"Ferrandière-Maisons Neuves",#REF!,"Tonkin")</f>
        <v>#REF!</v>
      </c>
      <c r="T68" s="43" t="e">
        <f t="shared" si="11"/>
        <v>#REF!</v>
      </c>
      <c r="U68" s="87" t="s">
        <v>185</v>
      </c>
      <c r="V68" s="72" t="s">
        <v>185</v>
      </c>
    </row>
    <row r="69" spans="1:22" ht="26.25">
      <c r="A69" s="256" t="s">
        <v>86</v>
      </c>
      <c r="B69" s="7" t="s">
        <v>150</v>
      </c>
      <c r="C69" s="25" t="e">
        <f>COUNTIFS(Données!K:K,"Maternelle",Données!M:M,"Gratte-ciel-Dedieu-Charmettes",Données!#REF!,"=1")+COUNTIFS(#REF!,"Maternelle",#REF!,"Gratte-ciel-Dedieu-Charmettes",#REF!,"=1")</f>
        <v>#REF!</v>
      </c>
      <c r="D69" s="26">
        <v>62</v>
      </c>
      <c r="E69" s="73" t="e">
        <f t="shared" si="7"/>
        <v>#REF!</v>
      </c>
      <c r="F69" s="32" t="e">
        <f>COUNTIFS(Données!K:K,"Elémentaire",Données!M:M,"Gratte-ciel-Dedieu-Charmettes",Données!#REF!,"=1")+COUNTIFS(#REF!,"Elémentaire",#REF!,"Gratte-ciel-Dedieu-Charmettes",#REF!,"=1")</f>
        <v>#REF!</v>
      </c>
      <c r="G69" s="33">
        <v>102</v>
      </c>
      <c r="H69" s="73" t="e">
        <f t="shared" si="8"/>
        <v>#REF!</v>
      </c>
      <c r="I69" s="32" t="e">
        <f>COUNTIFS(Données!K:K,"Collège",Données!M:M,"Gratte-ciel-Dedieu-Charmettes",Données!#REF!,"=1")+COUNTIFS(#REF!,"Collège",#REF!,"Gratte-ciel-Dedieu-Charmettes",#REF!,"=1")</f>
        <v>#REF!</v>
      </c>
      <c r="J69" s="33"/>
      <c r="K69" s="73" t="e">
        <f t="shared" si="9"/>
        <v>#REF!</v>
      </c>
      <c r="L69" s="32" t="e">
        <f>COUNTIFS(Données!K:K,"Lycée",Données!M:M,"Gratte-ciel-Dedieu-Charmettes",Données!#REF!,"=1")+COUNTIFS(#REF!,"Lycée",#REF!,"Gratte-ciel-Dedieu-Charmettes",#REF!,"=1")</f>
        <v>#REF!</v>
      </c>
      <c r="M69" s="33"/>
      <c r="N69" s="73" t="e">
        <f t="shared" si="10"/>
        <v>#REF!</v>
      </c>
      <c r="O69" s="32" t="e">
        <f>COUNTIFS(Données!N:N,"FDL",Données!M:M,"Gratte-ciel-Dedieu-Charmettes",Données!#REF!,"=1")+COUNTIFS(#REF!,"FDL",#REF!,"Gratte-ciel-Dedieu-Charmettes",#REF!,"=1")</f>
        <v>#REF!</v>
      </c>
      <c r="P69" s="33" t="e">
        <f>COUNTIFS(Données!N:N,"MLIS",Données!M:M,"Gratte-ciel-Dedieu-Charmettes",Données!#REF!,"=1")+COUNTIFS(#REF!,"MLIS",#REF!,"Gratte-ciel-Dedieu-Charmettes",#REF!,"=1")</f>
        <v>#REF!</v>
      </c>
      <c r="Q69" s="102" t="e">
        <f>COUNTIFS(Données!N:N,"RIZE",Données!M:M,"Gratte-ciel-Dedieu-Charmettes",Données!#REF!,"=1")+COUNTIFS(#REF!,"RIZE",#REF!,"Gratte-ciel-Dedieu-Charmettes",#REF!,"=1")</f>
        <v>#REF!</v>
      </c>
      <c r="R69" s="103" t="e">
        <f>COUNTIFS(Données!N:N,"PAC-BUS",Données!M:M,"Gratte-ciel-Dedieu-Charmettes",Données!#REF!,"=1")+COUNTIFS(#REF!,"PAC-BUS",#REF!,"Gratte-ciel-Dedieu-Charmettes",#REF!,"=1")</f>
        <v>#REF!</v>
      </c>
      <c r="S69" s="104" t="e">
        <f>COUNTIFS(Données!N:N,"Tonkin",Données!M:M,"Gratte-ciel-Dedieu-Charmettes",Données!#REF!,"=1")+COUNTIFS(#REF!,"Tonkin",#REF!,"Gratte-ciel-Dedieu-Charmettes",#REF!,"=1")</f>
        <v>#REF!</v>
      </c>
      <c r="T69" s="56" t="e">
        <f t="shared" si="11"/>
        <v>#REF!</v>
      </c>
      <c r="U69" s="86"/>
      <c r="V69" s="73" t="e">
        <f t="shared" si="12"/>
        <v>#REF!</v>
      </c>
    </row>
    <row r="70" spans="1:22" ht="26.25">
      <c r="A70" s="257"/>
      <c r="B70" s="8" t="s">
        <v>149</v>
      </c>
      <c r="C70" s="28" t="e">
        <f>SUMIFS(Données!G:G,Données!M:M,"Gratte-ciel-Dedieu-Charmettes",Données!K:K,"Maternelle",Données!#REF!,"=1")+SUMIFS(#REF!,#REF!,"Gratte-ciel-Dedieu-Charmettes",#REF!,"Maternelle",#REF!,"=1")</f>
        <v>#REF!</v>
      </c>
      <c r="D70" s="29">
        <v>1575</v>
      </c>
      <c r="E70" s="74" t="e">
        <f t="shared" si="7"/>
        <v>#REF!</v>
      </c>
      <c r="F70" s="16" t="e">
        <f>SUMIFS(Données!G:G,Données!M:M,"Gratte-ciel-Dedieu-Charmettes",Données!K:K,"Elémentaire",Données!#REF!,"=1")+SUMIFS(#REF!,#REF!,"Gratte-ciel-Dedieu-Charmettes",#REF!,"Elémentaire",#REF!,"=1")</f>
        <v>#REF!</v>
      </c>
      <c r="G70" s="34">
        <v>2420</v>
      </c>
      <c r="H70" s="74" t="e">
        <f t="shared" si="8"/>
        <v>#REF!</v>
      </c>
      <c r="I70" s="16" t="e">
        <f>SUMIFS(Données!G:G,Données!M:M,"Gratte-ciel-Dedieu-Charmettes",Données!K:K,"Collège",Données!#REF!,"=1")+SUMIFS(#REF!,#REF!,"Gratte-ciel-Dedieu-Charmettes",#REF!,"Collège",#REF!,"=1")</f>
        <v>#REF!</v>
      </c>
      <c r="J70" s="34"/>
      <c r="K70" s="74" t="e">
        <f t="shared" si="9"/>
        <v>#REF!</v>
      </c>
      <c r="L70" s="16" t="e">
        <f>SUMIFS(Données!G:G,Données!M:M,"Gratte-ciel-Dedieu-Charmettes",Données!K:K,"Lycée",Données!#REF!,"=1")+SUMIFS(#REF!,#REF!,"Gratte-ciel-Dedieu-Charmettes",#REF!,"Lycée",#REF!,"=1")</f>
        <v>#REF!</v>
      </c>
      <c r="M70" s="34"/>
      <c r="N70" s="74" t="e">
        <f t="shared" si="10"/>
        <v>#REF!</v>
      </c>
      <c r="O70" s="16" t="e">
        <f>SUMIFS(Données!G:G,Données!M:M,"Gratte-ciel-Dedieu-Charmettes",Données!N:N,"FDL",Données!#REF!,"=1")+SUMIFS(#REF!,#REF!,"Gratte-ciel-Dedieu-Charmettes",#REF!,"FDL",#REF!,"=1")</f>
        <v>#REF!</v>
      </c>
      <c r="P70" s="34" t="e">
        <f>SUMIFS(Données!G:G,Données!M:M,"Gratte-ciel-Dedieu-Charmettes",Données!N:N,"MLIS",Données!#REF!,"=1")+SUMIFS(#REF!,#REF!,"Gratte-ciel-Dedieu-Charmettes",#REF!,"MLIS",#REF!,"=1")</f>
        <v>#REF!</v>
      </c>
      <c r="Q70" s="105" t="e">
        <f>SUMIFS(Données!G:G,Données!M:M,"Gratte-ciel-Dedieu-Charmettes",Données!N:N,"RIZE",Données!#REF!,"=1")+SUMIFS(#REF!,#REF!,"Gratte-ciel-Dedieu-Charmettes",#REF!,"RIZE",#REF!,"=1")</f>
        <v>#REF!</v>
      </c>
      <c r="R70" s="106" t="e">
        <f>SUMIFS(Données!G:G,Données!M:M,"Gratte-ciel-Dedieu-Charmettes",Données!N:N,"PAC-BUS",Données!#REF!,"=1")+SUMIFS(#REF!,#REF!,"Gratte-ciel-Dedieu-Charmettes",#REF!,"PAC-BUS",#REF!,"=1")</f>
        <v>#REF!</v>
      </c>
      <c r="S70" s="107" t="e">
        <f>SUMIFS(Données!G:G,Données!M:M,"Gratte-ciel-Dedieu-Charmettes",Données!N:N,"Tonkin",Données!#REF!,"=1")+SUMIFS(#REF!,#REF!,"Gratte-ciel-Dedieu-Charmettes",#REF!,"Tonkin",#REF!,"=1")</f>
        <v>#REF!</v>
      </c>
      <c r="T70" s="16" t="e">
        <f t="shared" si="11"/>
        <v>#REF!</v>
      </c>
      <c r="U70" s="52"/>
      <c r="V70" s="74" t="e">
        <f t="shared" si="12"/>
        <v>#REF!</v>
      </c>
    </row>
    <row r="71" spans="1:22" ht="27" thickBot="1">
      <c r="A71" s="258"/>
      <c r="B71" s="68" t="s">
        <v>148</v>
      </c>
      <c r="C71" s="41" t="e">
        <f>COUNTIFS(Données!M:M,"Gratte-ciel-Dedieu-Charmettes",Données!K:K,"Maternelle")+COUNTIFS(#REF!,"Gratte-ciel-Dedieu-Charmettes",#REF!,"Maternelle")</f>
        <v>#REF!</v>
      </c>
      <c r="D71" s="42" t="s">
        <v>185</v>
      </c>
      <c r="E71" s="42" t="s">
        <v>185</v>
      </c>
      <c r="F71" s="6" t="e">
        <f>COUNTIFS(Données!M:M,"Gratte-ciel-Dedieu-Charmettes",Données!K:K,"Elémentaire")+COUNTIFS(#REF!,"Gratte-ciel-Dedieu-Charmettes",#REF!,"Elémentaire")</f>
        <v>#REF!</v>
      </c>
      <c r="G71" s="42" t="s">
        <v>185</v>
      </c>
      <c r="H71" s="42" t="s">
        <v>185</v>
      </c>
      <c r="I71" s="6" t="e">
        <f>COUNTIFS(Données!M:M,"Gratte-ciel-Dedieu-Charmettes",Données!K:K,"Collège")+COUNTIFS(#REF!,"Gratte-ciel-Dedieu-Charmettes",#REF!,"Collège")</f>
        <v>#REF!</v>
      </c>
      <c r="J71" s="42" t="s">
        <v>185</v>
      </c>
      <c r="K71" s="42" t="s">
        <v>185</v>
      </c>
      <c r="L71" s="6" t="e">
        <f>COUNTIFS(Données!M:M,"Gratte-ciel-Dedieu-Charmettes",Données!K:K,"Lycée")+COUNTIFS(#REF!,"Gratte-ciel-Dedieu-Charmettes",#REF!,"Lycée")</f>
        <v>#REF!</v>
      </c>
      <c r="M71" s="42" t="s">
        <v>185</v>
      </c>
      <c r="N71" s="42" t="s">
        <v>185</v>
      </c>
      <c r="O71" s="6" t="e">
        <f>COUNTIFS(Données!M:M,"Gratte-ciel-Dedieu-Charmettes",Données!N:N,"FDL")+COUNTIFS(#REF!,"Gratte-ciel-Dedieu-Charmettes",#REF!,"FDL")</f>
        <v>#REF!</v>
      </c>
      <c r="P71" s="14" t="e">
        <f>COUNTIFS(Données!M:M,"Gratte-ciel-Dedieu-Charmettes",Données!N:N,"MLIS")+COUNTIFS(#REF!,"Gratte-ciel-Dedieu-Charmettes",#REF!,"MLIS")</f>
        <v>#REF!</v>
      </c>
      <c r="Q71" s="108" t="e">
        <f>COUNTIFS(Données!M:M,"Gratte-ciel-Dedieu-Charmettes",Données!N:N,"RIZE")+COUNTIFS(#REF!,"Gratte-ciel-Dedieu-Charmettes",#REF!,"RIZE")</f>
        <v>#REF!</v>
      </c>
      <c r="R71" s="109" t="e">
        <f>COUNTIFS(Données!M:M,"Gratte-ciel-Dedieu-Charmettes",Données!N:N,"PAC-BUS")+COUNTIFS(#REF!,"Gratte-ciel-Dedieu-Charmettes",#REF!,"PAC-BUS")</f>
        <v>#REF!</v>
      </c>
      <c r="S71" s="110" t="e">
        <f>COUNTIFS(Données!M:M,"Gratte-ciel-Dedieu-Charmettes",Données!N:N,"Tonkin")+COUNTIFS(#REF!,"Gratte-ciel-Dedieu-Charmettes",#REF!,"Tonkin")</f>
        <v>#REF!</v>
      </c>
      <c r="T71" s="43" t="e">
        <f t="shared" si="11"/>
        <v>#REF!</v>
      </c>
      <c r="U71" s="87" t="s">
        <v>185</v>
      </c>
      <c r="V71" s="72" t="s">
        <v>185</v>
      </c>
    </row>
    <row r="72" spans="1:22" ht="26.25">
      <c r="A72" s="256" t="s">
        <v>187</v>
      </c>
      <c r="B72" s="7" t="s">
        <v>150</v>
      </c>
      <c r="C72" s="76" t="e">
        <f>COUNTIFS(Données!K:K,"Maternelle",Données!M:M,"Perralière-Grandclément",Données!#REF!,"=1")+COUNTIFS(#REF!,"Maternelle",#REF!,"Perralière-Grandclément",#REF!,"=1")</f>
        <v>#REF!</v>
      </c>
      <c r="D72" s="77">
        <v>28</v>
      </c>
      <c r="E72" s="79" t="e">
        <f t="shared" si="7"/>
        <v>#REF!</v>
      </c>
      <c r="F72" s="30" t="e">
        <f>COUNTIFS(Données!K:K,"Elémentaire",Données!M:M,"Perralière-Grandclément",Données!#REF!,"=1")+COUNTIFS(#REF!,"Elémentaire",#REF!,"Perralière-Grandclément",#REF!,"=1")</f>
        <v>#REF!</v>
      </c>
      <c r="G72" s="31">
        <v>50</v>
      </c>
      <c r="H72" s="79" t="e">
        <f t="shared" si="8"/>
        <v>#REF!</v>
      </c>
      <c r="I72" s="30" t="e">
        <f>COUNTIFS(Données!K:K,"Collège",Données!M:M,"Perralière-Grandclément",Données!#REF!,"=1")+COUNTIFS(#REF!,"Collège",#REF!,"Perralière-Grandclément",#REF!,"=1")</f>
        <v>#REF!</v>
      </c>
      <c r="J72" s="31"/>
      <c r="K72" s="79" t="e">
        <f t="shared" si="9"/>
        <v>#REF!</v>
      </c>
      <c r="L72" s="30" t="e">
        <f>COUNTIFS(Données!K:K,"Lycée",Données!M:M,"Perralière-Grandclément",Données!#REF!,"=1")+COUNTIFS(#REF!,"Lycée",#REF!,"Perralière-Grandclément",#REF!,"=1")</f>
        <v>#REF!</v>
      </c>
      <c r="M72" s="31"/>
      <c r="N72" s="79" t="e">
        <f t="shared" si="10"/>
        <v>#REF!</v>
      </c>
      <c r="O72" s="30" t="e">
        <f>COUNTIFS(Données!N:N,"FDL",Données!M:M,"Perralière-Grandclément",Données!#REF!,"=1")+COUNTIFS(#REF!,"FDL",#REF!,"Perralière-Grandclément",#REF!,"=1")</f>
        <v>#REF!</v>
      </c>
      <c r="P72" s="31" t="e">
        <f>COUNTIFS(Données!N:N,"MLIS",Données!M:M,"Perralière-Grandclément",Données!#REF!,"=1")+COUNTIFS(#REF!,"MLIS",#REF!,"Perralière-Grandclément",#REF!,"=1")</f>
        <v>#REF!</v>
      </c>
      <c r="Q72" s="117" t="e">
        <f>COUNTIFS(Données!N:N,"RIZE",Données!M:M,"Perralière-Grandclément",Données!#REF!,"=1")+COUNTIFS(#REF!,"RIZE",#REF!,"Perralière-Grandclément",#REF!,"=1")</f>
        <v>#REF!</v>
      </c>
      <c r="R72" s="118" t="e">
        <f>COUNTIFS(Données!N:N,"PAC-BUS",Données!M:M,"Perralière-Grandclément",Données!#REF!,"=1")+COUNTIFS(#REF!,"PAC-BUS",#REF!,"Perralière-Grandclément",#REF!,"=1")</f>
        <v>#REF!</v>
      </c>
      <c r="S72" s="119" t="e">
        <f>COUNTIFS(Données!N:N,"Tonkin",Données!M:M,"Perralière-Grandclément",Données!#REF!,"=1")+COUNTIFS(#REF!,"Tonkin",#REF!,"Perralière-Grandclément",#REF!,"=1")</f>
        <v>#REF!</v>
      </c>
      <c r="T72" s="54" t="e">
        <f t="shared" si="11"/>
        <v>#REF!</v>
      </c>
      <c r="U72" s="83"/>
      <c r="V72" s="79" t="e">
        <f t="shared" si="12"/>
        <v>#REF!</v>
      </c>
    </row>
    <row r="73" spans="1:22" ht="26.25">
      <c r="A73" s="257"/>
      <c r="B73" s="8" t="s">
        <v>149</v>
      </c>
      <c r="C73" s="28" t="e">
        <f>SUMIFS(Données!G:G,Données!M:M,"Perralière-Grandclément",Données!K:K,"Maternelle",Données!#REF!,"=1")+SUMIFS(#REF!,#REF!,"Perralière-Grandclément",#REF!,"Maternelle",#REF!,"=1")</f>
        <v>#REF!</v>
      </c>
      <c r="D73" s="29">
        <v>783</v>
      </c>
      <c r="E73" s="81" t="e">
        <f t="shared" si="7"/>
        <v>#REF!</v>
      </c>
      <c r="F73" s="28" t="e">
        <f>SUMIFS(Données!G:G,Données!M:M,"Perralière-Grandclément",Données!K:K,"Elémentaire",Données!#REF!,"=1")+SUMIFS(#REF!,#REF!,"Perralière-Grandclément",#REF!,"Elémentaire",#REF!,"=1")</f>
        <v>#REF!</v>
      </c>
      <c r="G73" s="29">
        <v>1219</v>
      </c>
      <c r="H73" s="81" t="e">
        <f t="shared" si="8"/>
        <v>#REF!</v>
      </c>
      <c r="I73" s="28" t="e">
        <f>SUMIFS(Données!G:G,Données!M:M,"Perralière-Grandclément",Données!K:K,"Collège",Données!#REF!,"=1")+SUMIFS(#REF!,#REF!,"Perralière-Grandclément",#REF!,"Collège",#REF!,"=1")</f>
        <v>#REF!</v>
      </c>
      <c r="J73" s="29"/>
      <c r="K73" s="81" t="e">
        <f t="shared" si="9"/>
        <v>#REF!</v>
      </c>
      <c r="L73" s="28" t="e">
        <f>SUMIFS(Données!G:G,Données!M:M,"Perralière-Grandclément",Données!K:K,"Lycée",Données!#REF!,"=1")+SUMIFS(#REF!,#REF!,"Perralière-Grandclément",#REF!,"Lycée",#REF!,"=1")</f>
        <v>#REF!</v>
      </c>
      <c r="M73" s="29"/>
      <c r="N73" s="81" t="e">
        <f t="shared" si="10"/>
        <v>#REF!</v>
      </c>
      <c r="O73" s="28" t="e">
        <f>SUMIFS(Données!G:G,Données!M:M,"Perralière-Grandclément",Données!N:N,"FDL",Données!#REF!,"=1")+SUMIFS(#REF!,#REF!,"Perralière-Grandclément",#REF!,"FDL",#REF!,"=1")</f>
        <v>#REF!</v>
      </c>
      <c r="P73" s="29" t="e">
        <f>SUMIFS(Données!G:G,Données!M:M,"Perralière-Grandclément",Données!N:N,"MLIS",Données!#REF!,"=1")+SUMIFS(#REF!,#REF!,"Perralière-Grandclément",#REF!,"MLIS",#REF!,"=1")</f>
        <v>#REF!</v>
      </c>
      <c r="Q73" s="96" t="e">
        <f>SUMIFS(Données!G:G,Données!M:M,"Perralière-Grandclément",Données!N:N,"RIZE",Données!#REF!,"=1")+SUMIFS(#REF!,#REF!,"Perralière-Grandclément",#REF!,"RIZE",#REF!,"=1")</f>
        <v>#REF!</v>
      </c>
      <c r="R73" s="97" t="e">
        <f>SUMIFS(Données!G:G,Données!M:M,"Perralière-Grandclément",Données!N:N,"PAC-BUS",Données!#REF!,"=1")+SUMIFS(#REF!,#REF!,"Perralière-Grandclément",#REF!,"PAC-BUS",#REF!,"=1")</f>
        <v>#REF!</v>
      </c>
      <c r="S73" s="98" t="e">
        <f>SUMIFS(Données!G:G,Données!M:M,"Perralière-Grandclément",Données!N:N,"Tonkin",Données!#REF!,"=1")+SUMIFS(#REF!,#REF!,"Perralière-Grandclément",#REF!,"Tonkin",#REF!,"=1")</f>
        <v>#REF!</v>
      </c>
      <c r="T73" s="28" t="e">
        <f t="shared" si="11"/>
        <v>#REF!</v>
      </c>
      <c r="U73" s="51"/>
      <c r="V73" s="71" t="e">
        <f t="shared" si="12"/>
        <v>#REF!</v>
      </c>
    </row>
    <row r="74" spans="1:22" ht="27" thickBot="1">
      <c r="A74" s="258"/>
      <c r="B74" s="68" t="s">
        <v>148</v>
      </c>
      <c r="C74" s="30" t="e">
        <f>COUNTIFS(Données!M:M,"Perralière-Grandclément",Données!K:K,"Maternelle")+COUNTIFS(#REF!,"Perralière-Grandclément",#REF!,"Maternelle")</f>
        <v>#REF!</v>
      </c>
      <c r="D74" s="31" t="s">
        <v>185</v>
      </c>
      <c r="E74" s="31" t="s">
        <v>185</v>
      </c>
      <c r="F74" s="38" t="e">
        <f>COUNTIFS(Données!M:M,"Perralière-Grandclément",Données!K:K,"Elémentaire")+COUNTIFS(#REF!,"Perralière-Grandclément",#REF!,"Elémentaire")</f>
        <v>#REF!</v>
      </c>
      <c r="G74" s="31" t="s">
        <v>185</v>
      </c>
      <c r="H74" s="31" t="s">
        <v>185</v>
      </c>
      <c r="I74" s="38" t="e">
        <f>COUNTIFS(Données!M:M,"Perralière-Grandclément",Données!K:K,"Collège")+COUNTIFS(#REF!,"Perralière-Grandclément",#REF!,"Collège")</f>
        <v>#REF!</v>
      </c>
      <c r="J74" s="31" t="s">
        <v>185</v>
      </c>
      <c r="K74" s="31" t="s">
        <v>185</v>
      </c>
      <c r="L74" s="38" t="e">
        <f>COUNTIFS(Données!M:M,"Perralière-Grandclément",Données!K:K,"Lycée")+COUNTIFS(#REF!,"Perralière-Grandclément",#REF!,"Lycée")</f>
        <v>#REF!</v>
      </c>
      <c r="M74" s="31" t="s">
        <v>185</v>
      </c>
      <c r="N74" s="31" t="s">
        <v>185</v>
      </c>
      <c r="O74" s="38" t="e">
        <f>COUNTIFS(Données!M:M,"Perralière-Grandclément",Données!N:N,"FDL")+COUNTIFS(#REF!,"Perralière-Grandclément",#REF!,"FDL")</f>
        <v>#REF!</v>
      </c>
      <c r="P74" s="39" t="e">
        <f>COUNTIFS(Données!M:M,"Perralière-Grandclément",Données!N:N,"MLIS")+COUNTIFS(#REF!,"Perralière-Grandclément",#REF!,"MLIS")</f>
        <v>#REF!</v>
      </c>
      <c r="Q74" s="99" t="e">
        <f>COUNTIFS(Données!M:M,"Perralière-Grandclément",Données!N:N,"RIZE")+COUNTIFS(#REF!,"Perralière-Grandclément",#REF!,"RIZE")</f>
        <v>#REF!</v>
      </c>
      <c r="R74" s="100" t="e">
        <f>COUNTIFS(Données!M:M,"Perralière-Grandclément",Données!N:N,"PAC-BUS")+COUNTIFS(#REF!,"Perralière-Grandclément",#REF!,"PAC-BUS")</f>
        <v>#REF!</v>
      </c>
      <c r="S74" s="101" t="e">
        <f>COUNTIFS(Données!M:M,"Perralière-Grandclément",Données!N:N,"Tonkin")+COUNTIFS(#REF!,"Perralière-Grandclément",#REF!,"Tonkin")</f>
        <v>#REF!</v>
      </c>
      <c r="T74" s="80" t="e">
        <f t="shared" si="11"/>
        <v>#REF!</v>
      </c>
      <c r="U74" s="84"/>
      <c r="V74" s="72"/>
    </row>
    <row r="75" spans="1:22" ht="26.25">
      <c r="A75" s="256" t="s">
        <v>85</v>
      </c>
      <c r="B75" s="7" t="s">
        <v>150</v>
      </c>
      <c r="C75" s="25" t="e">
        <f>COUNTIFS(Données!K:K,"Maternelle",Données!M:M,"Saint Jean",Données!#REF!,"=1")+COUNTIFS(#REF!,"Maternelle",#REF!,"Saint Jean",#REF!,"=1")</f>
        <v>#REF!</v>
      </c>
      <c r="D75" s="26">
        <v>8</v>
      </c>
      <c r="E75" s="70" t="e">
        <f t="shared" si="7"/>
        <v>#REF!</v>
      </c>
      <c r="F75" s="23" t="e">
        <f>COUNTIFS(Données!K:K,"Elémentaire",Données!M:M,"Saint Jean",Données!#REF!,"=1")+COUNTIFS(#REF!,"Elémentaire",#REF!,"Saint Jean",#REF!,"=1")</f>
        <v>#REF!</v>
      </c>
      <c r="G75" s="24">
        <v>13</v>
      </c>
      <c r="H75" s="70" t="e">
        <f t="shared" si="8"/>
        <v>#REF!</v>
      </c>
      <c r="I75" s="23" t="e">
        <f>COUNTIFS(Données!K:K,"Collège",Données!M:M,"Saint Jean",Données!#REF!,"=1")+COUNTIFS(#REF!,"Collège",#REF!,"Saint Jean",#REF!,"=1")</f>
        <v>#REF!</v>
      </c>
      <c r="J75" s="24"/>
      <c r="K75" s="70" t="e">
        <f t="shared" si="9"/>
        <v>#REF!</v>
      </c>
      <c r="L75" s="23" t="e">
        <f>COUNTIFS(Données!K:K,"Lycée",Données!M:M,"Saint Jean",Données!#REF!,"=1")+COUNTIFS(#REF!,"Lycée",#REF!,"Saint Jean",#REF!,"=1")</f>
        <v>#REF!</v>
      </c>
      <c r="M75" s="24">
        <v>0</v>
      </c>
      <c r="N75" s="70" t="e">
        <f t="shared" si="10"/>
        <v>#REF!</v>
      </c>
      <c r="O75" s="23" t="e">
        <f>COUNTIFS(Données!N:N,"FDL",Données!M:M,"Saint Jean",Données!#REF!,"=1")+COUNTIFS(#REF!,"FDL",#REF!,"Saint Jean",#REF!,"=1")</f>
        <v>#REF!</v>
      </c>
      <c r="P75" s="24" t="e">
        <f>COUNTIFS(Données!N:N,"MLIS",Données!M:M,"Saint Jean",Données!#REF!,"=1")+COUNTIFS(#REF!,"MLIS",#REF!,"Saint Jean",#REF!,"=1")</f>
        <v>#REF!</v>
      </c>
      <c r="Q75" s="93" t="e">
        <f>COUNTIFS(Données!N:N,"RIZE",Données!M:M,"Saint Jean",Données!#REF!,"=1")+COUNTIFS(#REF!,"RIZE",#REF!,"Saint Jean",#REF!,"=1")</f>
        <v>#REF!</v>
      </c>
      <c r="R75" s="94" t="e">
        <f>COUNTIFS(Données!N:N,"PAC-BUS",Données!M:M,"Saint Jean",Données!#REF!,"=1")+COUNTIFS(#REF!,"PAC-BUS",#REF!,"Saint Jean",#REF!,"=1")</f>
        <v>#REF!</v>
      </c>
      <c r="S75" s="95" t="e">
        <f>COUNTIFS(Données!N:N,"Tonkin",Données!M:M,"Saint Jean",Données!#REF!,"=1")+COUNTIFS(#REF!,"Tonkin",#REF!,"Saint Jean",#REF!,"=1")</f>
        <v>#REF!</v>
      </c>
      <c r="T75" s="57" t="e">
        <f t="shared" si="11"/>
        <v>#REF!</v>
      </c>
      <c r="U75" s="91"/>
      <c r="V75" s="70" t="e">
        <f t="shared" si="12"/>
        <v>#REF!</v>
      </c>
    </row>
    <row r="76" spans="1:22" ht="26.25">
      <c r="A76" s="257"/>
      <c r="B76" s="8" t="s">
        <v>149</v>
      </c>
      <c r="C76" s="28" t="e">
        <f>SUMIFS(Données!G:G,Données!M:M,"Saint Jean",Données!K:K,"Maternelle",Données!#REF!,"=1")+SUMIFS(#REF!,#REF!,"Saint Jean",#REF!,"Maternelle",#REF!,"=1")</f>
        <v>#REF!</v>
      </c>
      <c r="D76" s="29">
        <v>220</v>
      </c>
      <c r="E76" s="81" t="e">
        <f t="shared" si="7"/>
        <v>#REF!</v>
      </c>
      <c r="F76" s="28" t="e">
        <f>SUMIFS(Données!G:G,Données!M:M,"Saint Jean",Données!K:K,"Elémentaire",Données!#REF!,"=1")+SUMIFS(#REF!,#REF!,"Saint Jean",#REF!,"Elémentaire",#REF!,"=1")</f>
        <v>#REF!</v>
      </c>
      <c r="G76" s="29">
        <v>290</v>
      </c>
      <c r="H76" s="81" t="e">
        <f t="shared" si="8"/>
        <v>#REF!</v>
      </c>
      <c r="I76" s="28" t="e">
        <f>SUMIFS(Données!G:G,Données!M:M,"Saint Jean",Données!K:K,"Collège",Données!#REF!,"=1")+SUMIFS(#REF!,#REF!,"Saint Jean",#REF!,"Collège",#REF!,"=1")</f>
        <v>#REF!</v>
      </c>
      <c r="J76" s="29"/>
      <c r="K76" s="81" t="e">
        <f t="shared" si="9"/>
        <v>#REF!</v>
      </c>
      <c r="L76" s="28" t="e">
        <f>SUMIFS(Données!G:G,Données!M:M,"Saint Jean",Données!K:K,"Lycée",Données!#REF!,"=1")+SUMIFS(#REF!,#REF!,"Saint Jean",#REF!,"Lycée",#REF!,"=1")</f>
        <v>#REF!</v>
      </c>
      <c r="M76" s="29">
        <v>0</v>
      </c>
      <c r="N76" s="81" t="e">
        <f t="shared" si="10"/>
        <v>#REF!</v>
      </c>
      <c r="O76" s="28" t="e">
        <f>SUMIFS(Données!G:G,Données!M:M,"Saint Jean",Données!N:N,"FDL",Données!#REF!,"=1")+SUMIFS(#REF!,#REF!,"Saint Jean",#REF!,"FDL",#REF!,"=1")</f>
        <v>#REF!</v>
      </c>
      <c r="P76" s="29" t="e">
        <f>SUMIFS(Données!G:G,Données!M:M,"Saint Jean",Données!N:N,"MLIS",Données!#REF!,"=1")+SUMIFS(#REF!,#REF!,"Saint Jean",#REF!,"MLIS",#REF!,"=1")</f>
        <v>#REF!</v>
      </c>
      <c r="Q76" s="96" t="e">
        <f>SUMIFS(Données!G:G,Données!M:M,"Saint Jean",Données!N:N,"RIZE",Données!#REF!,"=1")+SUMIFS(#REF!,#REF!,"Saint Jean",#REF!,"RIZE",#REF!,"=1")</f>
        <v>#REF!</v>
      </c>
      <c r="R76" s="97" t="e">
        <f>SUMIFS(Données!G:G,Données!M:M,"Saint Jean",Données!N:N,"PAC-BUS",Données!#REF!,"=1")+SUMIFS(#REF!,#REF!,"Saint Jean",#REF!,"PAC-BUS",#REF!,"=1")</f>
        <v>#REF!</v>
      </c>
      <c r="S76" s="98" t="e">
        <f>SUMIFS(Données!G:G,Données!M:M,"Saint Jean",Données!N:N,"Tonkin",Données!#REF!,"=1")+SUMIFS(#REF!,#REF!,"Saint Jean",#REF!,"Tonkin",#REF!,"=1")</f>
        <v>#REF!</v>
      </c>
      <c r="T76" s="28" t="e">
        <f t="shared" si="11"/>
        <v>#REF!</v>
      </c>
      <c r="U76" s="51"/>
      <c r="V76" s="81" t="e">
        <f t="shared" si="12"/>
        <v>#REF!</v>
      </c>
    </row>
    <row r="77" spans="1:22" ht="27" thickBot="1">
      <c r="A77" s="258"/>
      <c r="B77" s="68" t="s">
        <v>148</v>
      </c>
      <c r="C77" s="41" t="e">
        <f>COUNTIFS(Données!M:M,"Saint Jean",Données!K:K,"Maternelle")+COUNTIFS(#REF!,"Saint Jean",#REF!,"Maternelle")</f>
        <v>#REF!</v>
      </c>
      <c r="D77" s="42" t="s">
        <v>185</v>
      </c>
      <c r="E77" s="42" t="s">
        <v>185</v>
      </c>
      <c r="F77" s="38" t="e">
        <f>COUNTIFS(Données!M:M,"Saint Jean",Données!K:K,"Elémentaire")+COUNTIFS(#REF!,"Saint Jean",#REF!,"Elémentaire")</f>
        <v>#REF!</v>
      </c>
      <c r="G77" s="42" t="s">
        <v>185</v>
      </c>
      <c r="H77" s="42" t="s">
        <v>185</v>
      </c>
      <c r="I77" s="38" t="e">
        <f>COUNTIFS(Données!M:M,"Saint Jean",Données!K:K,"Collège")+COUNTIFS(#REF!,"Saint Jean",#REF!,"Collège")</f>
        <v>#REF!</v>
      </c>
      <c r="J77" s="42" t="s">
        <v>185</v>
      </c>
      <c r="K77" s="42" t="s">
        <v>185</v>
      </c>
      <c r="L77" s="38" t="e">
        <f>COUNTIFS(Données!M:M,"Saint Jean",Données!K:K,"Lycée")+COUNTIFS(#REF!,"Saint Jean",#REF!,"Lycée")</f>
        <v>#REF!</v>
      </c>
      <c r="M77" s="42" t="s">
        <v>185</v>
      </c>
      <c r="N77" s="42" t="s">
        <v>185</v>
      </c>
      <c r="O77" s="38" t="e">
        <f>COUNTIFS(Données!M:M,"Saint Jean",Données!N:N,"FDL")+COUNTIFS(#REF!,"Saint Jean",#REF!,"FDL")</f>
        <v>#REF!</v>
      </c>
      <c r="P77" s="39" t="e">
        <f>COUNTIFS(Données!M:M,"Saint Jean",Données!N:N,"MLIS")+COUNTIFS(#REF!,"Saint Jean",#REF!,"MLIS")</f>
        <v>#REF!</v>
      </c>
      <c r="Q77" s="99" t="e">
        <f>COUNTIFS(Données!M:M,"Saint Jean",Données!N:N,"RIZE")+COUNTIFS(#REF!,"Saint Jean",#REF!,"RIZE")</f>
        <v>#REF!</v>
      </c>
      <c r="R77" s="100" t="e">
        <f>COUNTIFS(Données!M:M,"Saint Jean",Données!N:N,"PAC-BUS")+COUNTIFS(#REF!,"Saint Jean",#REF!,"PAC-BUS")</f>
        <v>#REF!</v>
      </c>
      <c r="S77" s="101" t="e">
        <f>COUNTIFS(Données!M:M,"Saint Jean",Données!N:N,"Tonkin")+COUNTIFS(#REF!,"Saint Jean",#REF!,"Tonkin")</f>
        <v>#REF!</v>
      </c>
      <c r="T77" s="82" t="e">
        <f t="shared" si="11"/>
        <v>#REF!</v>
      </c>
      <c r="U77" s="92" t="s">
        <v>185</v>
      </c>
      <c r="V77" s="85" t="s">
        <v>185</v>
      </c>
    </row>
    <row r="78" spans="1:22" ht="30.75" customHeight="1">
      <c r="A78" s="256" t="s">
        <v>57</v>
      </c>
      <c r="B78" s="7" t="s">
        <v>150</v>
      </c>
      <c r="C78" s="25" t="e">
        <f>COUNTIFS(Données!K:K,"Maternelle",Données!M:M,"Hors Villeurbanne",Données!#REF!,"=1")+COUNTIFS(#REF!,"Maternelle",#REF!,"Hors Villeurbanne",#REF!,"=1")</f>
        <v>#REF!</v>
      </c>
      <c r="D78" s="26"/>
      <c r="E78" s="73" t="e">
        <f t="shared" si="7"/>
        <v>#REF!</v>
      </c>
      <c r="F78" s="32" t="e">
        <f>COUNTIFS(Données!K:K,"Elémentaire",Données!M:M,"Hors Villeurbanne",Données!#REF!,"=1")+COUNTIFS(#REF!,"Elémentaire",#REF!,"Hors Villeurbanne",#REF!,"=1")</f>
        <v>#REF!</v>
      </c>
      <c r="G78" s="33"/>
      <c r="H78" s="73" t="e">
        <f t="shared" si="8"/>
        <v>#REF!</v>
      </c>
      <c r="I78" s="32" t="e">
        <f>COUNTIFS(Données!K:K,"Collège",Données!M:M,"Hors Villeurbanne",Données!#REF!,"=1")+COUNTIFS(#REF!,"Collège",#REF!,"Hors Villeurbanne",#REF!,"=1")</f>
        <v>#REF!</v>
      </c>
      <c r="J78" s="33"/>
      <c r="K78" s="73" t="e">
        <f t="shared" si="9"/>
        <v>#REF!</v>
      </c>
      <c r="L78" s="32" t="e">
        <f>COUNTIFS(Données!K:K,"Lycée",Données!M:M,"Hors Villeurbanne",Données!#REF!,"=1")+COUNTIFS(#REF!,"Lycée",#REF!,"Hors Villeurbanne",#REF!,"=1")</f>
        <v>#REF!</v>
      </c>
      <c r="M78" s="33"/>
      <c r="N78" s="73" t="e">
        <f t="shared" si="10"/>
        <v>#REF!</v>
      </c>
      <c r="O78" s="32" t="e">
        <f>COUNTIFS(Données!N:N,"FDL",Données!M:M,"Hors Villeurbanne",Données!#REF!,"=1")+COUNTIFS(#REF!,"FDL",#REF!,"Hors Villeurbanne",#REF!,"=1")</f>
        <v>#REF!</v>
      </c>
      <c r="P78" s="33" t="e">
        <f>COUNTIFS(Données!N:N,"MLIS",Données!M:M,"Hors Villeurbanne",Données!#REF!,"=1")+COUNTIFS(#REF!,"MLIS",#REF!,"Hors Villeurbanne",#REF!,"=1")</f>
        <v>#REF!</v>
      </c>
      <c r="Q78" s="102" t="e">
        <f>COUNTIFS(Données!N:N,"RIZE",Données!M:M,"Hors Villeurbanne",Données!#REF!,"=1")+COUNTIFS(#REF!,"RIZE",#REF!,"Hors Villeurbanne",#REF!,"=1")</f>
        <v>#REF!</v>
      </c>
      <c r="R78" s="103" t="e">
        <f>COUNTIFS(Données!N:N,"PAC-BUS",Données!M:M,"Hors Villeurbanne",Données!#REF!,"=1")+COUNTIFS(#REF!,"PAC-BUS",#REF!,"Hors Villeurbanne",#REF!,"=1")</f>
        <v>#REF!</v>
      </c>
      <c r="S78" s="104" t="e">
        <f>COUNTIFS(Données!N:N,"Tonkin",Données!M:M,"Hors Villeurbanne",Données!#REF!,"=1")+COUNTIFS(#REF!,"Tonkin",#REF!,"Hors Villeurbanne",#REF!,"=1")</f>
        <v>#REF!</v>
      </c>
      <c r="T78" s="56" t="e">
        <f>SUM(O78:S78)</f>
        <v>#REF!</v>
      </c>
      <c r="U78" s="86"/>
      <c r="V78" s="73" t="e">
        <f t="shared" si="12"/>
        <v>#REF!</v>
      </c>
    </row>
    <row r="79" spans="1:22" ht="26.25">
      <c r="A79" s="257"/>
      <c r="B79" s="8" t="s">
        <v>149</v>
      </c>
      <c r="C79" s="28" t="e">
        <f>SUMIFS(Données!G:G,Données!M:M,"Hors Villeurbanne",Données!K:K,"Maternelle",Données!#REF!,"=1")+SUMIFS(#REF!,#REF!,"Hors Villeurbanne",#REF!,"Maternelle",#REF!,"=1")</f>
        <v>#REF!</v>
      </c>
      <c r="D79" s="29"/>
      <c r="E79" s="74" t="e">
        <f t="shared" si="7"/>
        <v>#REF!</v>
      </c>
      <c r="F79" s="16" t="e">
        <f>SUMIFS(Données!G:G,Données!M:M,"Hors Villeurbanne",Données!K:K,"Elémentaire",Données!#REF!,"=1")+SUMIFS(#REF!,#REF!,"Hors Villeurbanne",#REF!,"Elémentaire",#REF!,"=1")</f>
        <v>#REF!</v>
      </c>
      <c r="G79" s="34"/>
      <c r="H79" s="74" t="e">
        <f t="shared" si="8"/>
        <v>#REF!</v>
      </c>
      <c r="I79" s="16" t="e">
        <f>SUMIFS(Données!G:G,Données!M:M,"Hors Villeurbanne",Données!K:K,"Collège",Données!#REF!,"=1")+SUMIFS(#REF!,#REF!,"Hors Villeurbanne",#REF!,"Collège",#REF!,"=1")</f>
        <v>#REF!</v>
      </c>
      <c r="J79" s="34"/>
      <c r="K79" s="74" t="e">
        <f t="shared" si="9"/>
        <v>#REF!</v>
      </c>
      <c r="L79" s="16" t="e">
        <f>SUMIFS(Données!G:G,Données!M:M,"Hors Villeurbanne",Données!K:K,"Lycée",Données!#REF!,"=1")+SUMIFS(#REF!,#REF!,"Hors Villeurbanne",#REF!,"Lycée",#REF!,"=1")</f>
        <v>#REF!</v>
      </c>
      <c r="M79" s="34"/>
      <c r="N79" s="74" t="e">
        <f t="shared" si="10"/>
        <v>#REF!</v>
      </c>
      <c r="O79" s="16" t="e">
        <f>SUMIFS(Données!G:G,Données!M:M,"Hors Villeurbanne",Données!N:N,"FDL",Données!#REF!,"=1")+SUMIFS(#REF!,#REF!,"Hors Villeurbanne",#REF!,"FDL",#REF!,"=1")</f>
        <v>#REF!</v>
      </c>
      <c r="P79" s="34" t="e">
        <f>SUMIFS(Données!G:G,Données!M:M,"Hors Villeurbanne",Données!N:N,"MLIS",Données!#REF!,"=1")+SUMIFS(#REF!,#REF!,"Hors Villeurbanne",#REF!,"MLIS",#REF!,"=1")</f>
        <v>#REF!</v>
      </c>
      <c r="Q79" s="105" t="e">
        <f>SUMIFS(Données!G:G,Données!M:M,"Hors Villeurbanne",Données!N:N,"RIZE",Données!#REF!,"=1")+SUMIFS(#REF!,#REF!,"Hors Villeurbanne",#REF!,"RIZE",#REF!,"=1")</f>
        <v>#REF!</v>
      </c>
      <c r="R79" s="106" t="e">
        <f>SUMIFS(Données!G:G,Données!M:M,"Hors Villeurbanne",Données!N:N,"PAC-BUS",Données!#REF!,"=1")+SUMIFS(#REF!,#REF!,"Hors Villeurbanne",#REF!,"PAC-BUS",#REF!,"=1")</f>
        <v>#REF!</v>
      </c>
      <c r="S79" s="107" t="e">
        <f>SUMIFS(Données!G:G,Données!M:M,"Hors Villeurbanne",Données!N:N,"Tonkin",Données!#REF!,"=1")+SUMIFS(#REF!,#REF!,"Hors Villeurbanne",#REF!,"Tonkin",#REF!,"=1")</f>
        <v>#REF!</v>
      </c>
      <c r="T79" s="16" t="e">
        <f t="shared" si="11"/>
        <v>#REF!</v>
      </c>
      <c r="U79" s="52"/>
      <c r="V79" s="74" t="e">
        <f t="shared" si="12"/>
        <v>#REF!</v>
      </c>
    </row>
    <row r="80" spans="1:22" ht="27" thickBot="1">
      <c r="A80" s="258"/>
      <c r="B80" s="68" t="s">
        <v>148</v>
      </c>
      <c r="C80" s="41" t="e">
        <f>COUNTIFS(Données!M:M,"Hors Villeurbanne",Données!K:K,"Maternelle")+COUNTIFS(#REF!,"Hors Villeurbanne",#REF!,"Maternelle")</f>
        <v>#REF!</v>
      </c>
      <c r="D80" s="42" t="s">
        <v>185</v>
      </c>
      <c r="E80" s="42" t="s">
        <v>185</v>
      </c>
      <c r="F80" s="6" t="e">
        <f>COUNTIFS(Données!M:M,"Hors Villeurbanne",Données!K:K,"Elémentaire")+COUNTIFS(#REF!,"Hors Villeurbanne",#REF!,"Elémentaire")</f>
        <v>#REF!</v>
      </c>
      <c r="G80" s="42" t="s">
        <v>185</v>
      </c>
      <c r="H80" s="42" t="s">
        <v>185</v>
      </c>
      <c r="I80" s="6" t="e">
        <f>COUNTIFS(Données!M:M,"Hors Villeurbanne",Données!K:K,"Collège")+COUNTIFS(#REF!,"Hors Villeurbanne",#REF!,"Collège")</f>
        <v>#REF!</v>
      </c>
      <c r="J80" s="42" t="s">
        <v>185</v>
      </c>
      <c r="K80" s="42" t="s">
        <v>185</v>
      </c>
      <c r="L80" s="6" t="e">
        <f>COUNTIFS(Données!M:M,"Hors Villeurbanne",Données!K:K,"Lycée")+COUNTIFS(#REF!,"Hors Villeurbanne",#REF!,"Lycée")</f>
        <v>#REF!</v>
      </c>
      <c r="M80" s="42" t="s">
        <v>185</v>
      </c>
      <c r="N80" s="42" t="s">
        <v>185</v>
      </c>
      <c r="O80" s="6" t="e">
        <f>COUNTIFS(Données!M:M,"Hors Villeurbanne",Données!N:N,"FDL")+COUNTIFS(#REF!,"Hors Villeurbanne",#REF!,"FDL")</f>
        <v>#REF!</v>
      </c>
      <c r="P80" s="14" t="e">
        <f>COUNTIFS(Données!M:M,"Hors Villeurbanne",Données!N:N,"MLIS")+COUNTIFS(#REF!,"Hors Villeurbanne",#REF!,"MLIS")</f>
        <v>#REF!</v>
      </c>
      <c r="Q80" s="108" t="e">
        <f>COUNTIFS(Données!M:M,"Hors Villeurbanne",Données!N:N,"RIZE")+COUNTIFS(#REF!,"Hors Villeurbanne",#REF!,"RIZE")</f>
        <v>#REF!</v>
      </c>
      <c r="R80" s="109" t="e">
        <f>COUNTIFS(Données!M:M,"Hors Villeurbanne",Données!N:N,"PAC-BUS")+COUNTIFS(#REF!,"Hors Villeurbanne",#REF!,"PAC-BUS")</f>
        <v>#REF!</v>
      </c>
      <c r="S80" s="110" t="e">
        <f>COUNTIFS(Données!M:M,"Hors Villeurbanne",Données!N:N,"Tonkin")+COUNTIFS(#REF!,"Hors Villeurbanne",#REF!,"Tonkin")</f>
        <v>#REF!</v>
      </c>
      <c r="T80" s="43" t="e">
        <f t="shared" si="11"/>
        <v>#REF!</v>
      </c>
      <c r="U80" s="87" t="s">
        <v>185</v>
      </c>
      <c r="V80" s="72" t="s">
        <v>185</v>
      </c>
    </row>
    <row r="81" spans="1:22" ht="26.25">
      <c r="A81" s="256" t="s">
        <v>152</v>
      </c>
      <c r="B81" s="7" t="s">
        <v>150</v>
      </c>
      <c r="C81" s="25" t="e">
        <f>C54+C57+C60+C63+C66+C69+C72+C75+C78</f>
        <v>#REF!</v>
      </c>
      <c r="D81" s="26">
        <f>D54+D57+D60+D63+D66+D69+D72+D75+D78</f>
        <v>243</v>
      </c>
      <c r="E81" s="73" t="e">
        <f t="shared" ref="E81:E82" si="13">C81/D81</f>
        <v>#REF!</v>
      </c>
      <c r="F81" s="25" t="e">
        <f>F54+F57+F60+F63+F66+F69+F72+F75+F78</f>
        <v>#REF!</v>
      </c>
      <c r="G81" s="26">
        <f>G54+G57+G60+G63+G66+G69+G72+G75+G78</f>
        <v>383</v>
      </c>
      <c r="H81" s="73" t="e">
        <f t="shared" ref="H81:H82" si="14">F81/G81</f>
        <v>#REF!</v>
      </c>
      <c r="I81" s="25" t="e">
        <f>I54+I57+I60+I63+I66+I69+I72+I75+I78</f>
        <v>#REF!</v>
      </c>
      <c r="J81" s="26">
        <f>J54+J57+J60+J63+J66+J69+J72+J75+J78</f>
        <v>0</v>
      </c>
      <c r="K81" s="73" t="e">
        <f t="shared" ref="K81:K82" si="15">I81/J81</f>
        <v>#REF!</v>
      </c>
      <c r="L81" s="25" t="e">
        <f>L54+L57+L60+L63+L66+L69+L72+L75+L78</f>
        <v>#REF!</v>
      </c>
      <c r="M81" s="26">
        <f>M54+M57+M60+M63+M66+M69+M72+M75+M78</f>
        <v>0</v>
      </c>
      <c r="N81" s="73" t="e">
        <f t="shared" ref="N81:N82" si="16">L81/M81</f>
        <v>#REF!</v>
      </c>
      <c r="O81" s="32" t="e">
        <f>O54+O57+O60+O63+O66+O69+O72+O75+O78</f>
        <v>#REF!</v>
      </c>
      <c r="P81" s="33" t="e">
        <f t="shared" ref="P81:S81" si="17">P54+P57+P60+P63+P66+P69+P72+P75+P78</f>
        <v>#REF!</v>
      </c>
      <c r="Q81" s="102" t="e">
        <f t="shared" si="17"/>
        <v>#REF!</v>
      </c>
      <c r="R81" s="103" t="e">
        <f t="shared" si="17"/>
        <v>#REF!</v>
      </c>
      <c r="S81" s="104" t="e">
        <f t="shared" si="17"/>
        <v>#REF!</v>
      </c>
      <c r="T81" s="164" t="e">
        <f>T54+T57+T60+T63+T66+T69+T72+T75+T78</f>
        <v>#REF!</v>
      </c>
      <c r="U81" s="159"/>
      <c r="V81" s="157" t="e">
        <f t="shared" ref="V81:V82" si="18">T81/U81</f>
        <v>#REF!</v>
      </c>
    </row>
    <row r="82" spans="1:22" ht="26.25">
      <c r="A82" s="257"/>
      <c r="B82" s="8" t="s">
        <v>149</v>
      </c>
      <c r="C82" s="28" t="e">
        <f>C55+C58+C61+C64+C67+C70+C73+C76+C79</f>
        <v>#REF!</v>
      </c>
      <c r="D82" s="29">
        <f>D55+D58+D61+D64+D67+D70+D73+D76+D79</f>
        <v>6359</v>
      </c>
      <c r="E82" s="74" t="e">
        <f t="shared" si="13"/>
        <v>#REF!</v>
      </c>
      <c r="F82" s="28" t="e">
        <f>F55+F58+F61+F64+F67+F70+F73+F76+F79</f>
        <v>#REF!</v>
      </c>
      <c r="G82" s="29">
        <f>G55+G58+G61+G64+G67+G70+G73+G76+G79</f>
        <v>8983</v>
      </c>
      <c r="H82" s="74" t="e">
        <f t="shared" si="14"/>
        <v>#REF!</v>
      </c>
      <c r="I82" s="28" t="e">
        <f>I55+I58+I61+I64+I67+I70+I73+I76+I79</f>
        <v>#REF!</v>
      </c>
      <c r="J82" s="29">
        <f>J55+J58+J61+J64+J67+J70+J73+J76+J79</f>
        <v>0</v>
      </c>
      <c r="K82" s="74" t="e">
        <f t="shared" si="15"/>
        <v>#REF!</v>
      </c>
      <c r="L82" s="28" t="e">
        <f>L55+L58+L61+L64+L67+L70+L73+L76+L79</f>
        <v>#REF!</v>
      </c>
      <c r="M82" s="29">
        <f>M55+M58+M61+M64+M67+M70+M73+M76+M79</f>
        <v>0</v>
      </c>
      <c r="N82" s="74" t="e">
        <f t="shared" si="16"/>
        <v>#REF!</v>
      </c>
      <c r="O82" s="16" t="e">
        <f>O55+O58+O61+O64+O67+O70+O73+O76+O79</f>
        <v>#REF!</v>
      </c>
      <c r="P82" s="34" t="e">
        <f t="shared" ref="P82:S82" si="19">P55+P58+P61+P64+P67+P70+P73+P76+P79</f>
        <v>#REF!</v>
      </c>
      <c r="Q82" s="105" t="e">
        <f t="shared" si="19"/>
        <v>#REF!</v>
      </c>
      <c r="R82" s="106" t="e">
        <f t="shared" si="19"/>
        <v>#REF!</v>
      </c>
      <c r="S82" s="107" t="e">
        <f t="shared" si="19"/>
        <v>#REF!</v>
      </c>
      <c r="T82" s="165" t="e">
        <f t="shared" si="11"/>
        <v>#REF!</v>
      </c>
      <c r="U82" s="160"/>
      <c r="V82" s="161" t="e">
        <f t="shared" si="18"/>
        <v>#REF!</v>
      </c>
    </row>
    <row r="83" spans="1:22" ht="27" thickBot="1">
      <c r="A83" s="258"/>
      <c r="B83" s="68" t="s">
        <v>148</v>
      </c>
      <c r="C83" s="41" t="e">
        <f>C56+C59+C62+C65+C68+C71+C74+C77+C80</f>
        <v>#REF!</v>
      </c>
      <c r="D83" s="42" t="s">
        <v>185</v>
      </c>
      <c r="E83" s="42" t="s">
        <v>185</v>
      </c>
      <c r="F83" s="41" t="e">
        <f>F56+F59+F62+F65+F68+F71+F74+F77+F80</f>
        <v>#REF!</v>
      </c>
      <c r="G83" s="42" t="s">
        <v>185</v>
      </c>
      <c r="H83" s="42" t="s">
        <v>185</v>
      </c>
      <c r="I83" s="41" t="e">
        <f>I56+I59+I62+I65+I68+I71+I74+I77+I80</f>
        <v>#REF!</v>
      </c>
      <c r="J83" s="42" t="s">
        <v>185</v>
      </c>
      <c r="K83" s="42" t="s">
        <v>185</v>
      </c>
      <c r="L83" s="41" t="e">
        <f>L56+L59+L62+L65+L68+L71+L74+L77+L80</f>
        <v>#REF!</v>
      </c>
      <c r="M83" s="42" t="s">
        <v>185</v>
      </c>
      <c r="N83" s="42" t="s">
        <v>185</v>
      </c>
      <c r="O83" s="6" t="e">
        <f t="shared" ref="O83" si="20">O56+O59+O62+O65+O68+O71+O74+O77+O80</f>
        <v>#REF!</v>
      </c>
      <c r="P83" s="14" t="e">
        <f t="shared" ref="P83:S83" si="21">P56+P59+P62+P65+P68+P71+P74+P77+P80</f>
        <v>#REF!</v>
      </c>
      <c r="Q83" s="108" t="e">
        <f t="shared" si="21"/>
        <v>#REF!</v>
      </c>
      <c r="R83" s="109" t="e">
        <f t="shared" si="21"/>
        <v>#REF!</v>
      </c>
      <c r="S83" s="110" t="e">
        <f t="shared" si="21"/>
        <v>#REF!</v>
      </c>
      <c r="T83" s="166" t="e">
        <f t="shared" si="11"/>
        <v>#REF!</v>
      </c>
      <c r="U83" s="162" t="s">
        <v>185</v>
      </c>
      <c r="V83" s="158" t="s">
        <v>185</v>
      </c>
    </row>
    <row r="84" spans="1:22" ht="15.75" thickBot="1">
      <c r="A84" s="11"/>
      <c r="B84" s="12"/>
      <c r="C84" s="13"/>
      <c r="D84" s="13"/>
      <c r="E84" s="190"/>
      <c r="F84" s="190"/>
      <c r="G84" s="12"/>
      <c r="H84" s="12"/>
      <c r="I84" s="12"/>
      <c r="J84" s="12"/>
      <c r="K84" s="12"/>
      <c r="L84" s="12"/>
      <c r="M84" s="12"/>
      <c r="N84" s="12"/>
      <c r="O84" s="12"/>
      <c r="P84" s="12"/>
      <c r="Q84" s="12"/>
      <c r="R84" s="12"/>
      <c r="S84" s="12"/>
      <c r="T84" s="12"/>
      <c r="U84" s="12"/>
      <c r="V84" s="12"/>
    </row>
    <row r="85" spans="1:22" ht="54" customHeight="1" thickBot="1">
      <c r="A85" s="290" t="s">
        <v>188</v>
      </c>
      <c r="B85" s="291"/>
      <c r="C85" s="291"/>
      <c r="D85" s="292"/>
      <c r="E85" s="3"/>
      <c r="F85" s="3"/>
      <c r="J85" s="156"/>
    </row>
    <row r="86" spans="1:22" ht="15.75" customHeight="1" thickBot="1">
      <c r="A86" s="17"/>
      <c r="B86" s="5"/>
      <c r="C86" s="188" t="s">
        <v>102</v>
      </c>
      <c r="D86" s="189" t="s">
        <v>103</v>
      </c>
    </row>
    <row r="87" spans="1:22" ht="30" customHeight="1">
      <c r="A87" s="269" t="s">
        <v>105</v>
      </c>
      <c r="B87" s="270"/>
      <c r="C87" s="206">
        <f>C88+C89+C90+C91+C92</f>
        <v>0</v>
      </c>
      <c r="D87" s="207">
        <f>D88+D89+D90+D91+D92</f>
        <v>0</v>
      </c>
    </row>
    <row r="88" spans="1:22" ht="30.75" customHeight="1">
      <c r="A88" s="271" t="s">
        <v>106</v>
      </c>
      <c r="B88" s="272"/>
      <c r="C88" s="208">
        <f>COUNTIFS(Données!B:B,"MLIS j",Données!H:H,"In situ")</f>
        <v>0</v>
      </c>
      <c r="D88" s="209">
        <f>COUNTIFS(Données!B:B,"MLIS j",Données!H:H,"Hors les murs")</f>
        <v>0</v>
      </c>
    </row>
    <row r="89" spans="1:22">
      <c r="A89" s="271" t="s">
        <v>87</v>
      </c>
      <c r="B89" s="272"/>
      <c r="C89" s="210">
        <f>COUNTIFS(Données!B:B,"ARTO",Données!H:H,"In situ")</f>
        <v>0</v>
      </c>
      <c r="D89" s="211">
        <f>COUNTIFS(Données!B:B,"Arto",Données!H:H,"Hors les murs")</f>
        <v>0</v>
      </c>
    </row>
    <row r="90" spans="1:22" ht="15" customHeight="1">
      <c r="A90" s="275" t="s">
        <v>115</v>
      </c>
      <c r="B90" s="276"/>
      <c r="C90" s="210">
        <f>COUNTIFS(Données!B:B,"MLIS DV",Données!H:H,"In situ")</f>
        <v>0</v>
      </c>
      <c r="D90" s="211">
        <f>COUNTIFS(Données!B:B,"MLIS DV",Données!H:H,"Hors les murs")</f>
        <v>0</v>
      </c>
    </row>
    <row r="91" spans="1:22" ht="25.5" customHeight="1">
      <c r="A91" s="271" t="s">
        <v>116</v>
      </c>
      <c r="B91" s="272"/>
      <c r="C91" s="210">
        <f>COUNTIFS(Données!B:B,"EMM",Données!H:H,"In situ")</f>
        <v>0</v>
      </c>
      <c r="D91" s="211">
        <f>COUNTIFS(Données!B:B,"EMM",Données!H:H,"Hors les murs")</f>
        <v>0</v>
      </c>
    </row>
    <row r="92" spans="1:22" ht="15.75" thickBot="1">
      <c r="A92" s="253" t="s">
        <v>107</v>
      </c>
      <c r="B92" s="254"/>
      <c r="C92" s="210">
        <f>COUNTIFS(Données!B:B,"mlis A",Données!H:H,"In situ")</f>
        <v>0</v>
      </c>
      <c r="D92" s="211">
        <f>COUNTIFS(Données!B:B,"mlis A",Données!H:H,"Hors les murs")</f>
        <v>0</v>
      </c>
    </row>
    <row r="93" spans="1:22" ht="15.75" thickBot="1">
      <c r="A93" s="273" t="s">
        <v>29</v>
      </c>
      <c r="B93" s="274"/>
      <c r="C93" s="212">
        <f>COUNTIFS(Données!B:B,"MTK",Données!H:H,"In situ")</f>
        <v>0</v>
      </c>
      <c r="D93" s="213">
        <f>COUNTIFS(Données!B:B,"MTK",Données!H:H,"Hors les murs")</f>
        <v>0</v>
      </c>
    </row>
    <row r="94" spans="1:22" ht="15" customHeight="1" thickBot="1">
      <c r="A94" s="273" t="s">
        <v>30</v>
      </c>
      <c r="B94" s="274"/>
      <c r="C94" s="214">
        <f>COUNTIFS(Données!N:N,"Rize",Données!H:H,"In situ")</f>
        <v>0</v>
      </c>
      <c r="D94" s="215">
        <f>COUNTIFS(Données!N:N,"Rize",Données!H:H,"Hors les murs")</f>
        <v>0</v>
      </c>
    </row>
    <row r="95" spans="1:22" ht="15.75" thickBot="1">
      <c r="A95" s="267" t="s">
        <v>117</v>
      </c>
      <c r="B95" s="268"/>
      <c r="C95" s="212">
        <f>COUNTIFS(Données!B:B,"PAC-BUS",Données!H:H,"In situ")</f>
        <v>0</v>
      </c>
      <c r="D95" s="213">
        <f>COUNTIFS(Données!B:B,"PAC-BUS",Données!H:H,"Hors les murs")</f>
        <v>0</v>
      </c>
    </row>
    <row r="96" spans="1:22" ht="15.75" thickBot="1">
      <c r="A96" s="267" t="s">
        <v>124</v>
      </c>
      <c r="B96" s="268"/>
      <c r="C96" s="214">
        <f>COUNTIFS(Données!B:B,"FDL",Données!H:H,"In situ")</f>
        <v>0</v>
      </c>
      <c r="D96" s="215">
        <f>COUNTIFS(Données!B:B,"FDL",Données!H:H,"Hors les murs")</f>
        <v>0</v>
      </c>
    </row>
    <row r="97" spans="1:4" ht="15.75" thickBot="1">
      <c r="A97" s="265" t="s">
        <v>189</v>
      </c>
      <c r="B97" s="266"/>
      <c r="C97" s="216">
        <f>C88+C89+C90+C93+C94+C95+C91+C92+C96</f>
        <v>0</v>
      </c>
      <c r="D97" s="217">
        <f>D88+D89+D90+D93+D94+D95+D91+D92+D96</f>
        <v>0</v>
      </c>
    </row>
    <row r="98" spans="1:4">
      <c r="A98" s="4"/>
    </row>
  </sheetData>
  <mergeCells count="47">
    <mergeCell ref="L3:L7"/>
    <mergeCell ref="L8:L10"/>
    <mergeCell ref="A31:A33"/>
    <mergeCell ref="A85:D85"/>
    <mergeCell ref="B38:B48"/>
    <mergeCell ref="A17:H17"/>
    <mergeCell ref="O52:S52"/>
    <mergeCell ref="T52:V52"/>
    <mergeCell ref="B50:C50"/>
    <mergeCell ref="D50:E50"/>
    <mergeCell ref="C52:E52"/>
    <mergeCell ref="F52:H52"/>
    <mergeCell ref="I52:K52"/>
    <mergeCell ref="L52:N52"/>
    <mergeCell ref="A1:H1"/>
    <mergeCell ref="A25:A27"/>
    <mergeCell ref="A28:A30"/>
    <mergeCell ref="A3:A5"/>
    <mergeCell ref="A6:A8"/>
    <mergeCell ref="A9:A11"/>
    <mergeCell ref="A19:A21"/>
    <mergeCell ref="A22:A24"/>
    <mergeCell ref="A12:A14"/>
    <mergeCell ref="A97:B97"/>
    <mergeCell ref="A60:A62"/>
    <mergeCell ref="A69:A71"/>
    <mergeCell ref="A72:A74"/>
    <mergeCell ref="A75:A77"/>
    <mergeCell ref="A78:A80"/>
    <mergeCell ref="A66:A68"/>
    <mergeCell ref="A96:B96"/>
    <mergeCell ref="A87:B87"/>
    <mergeCell ref="A88:B88"/>
    <mergeCell ref="A89:B89"/>
    <mergeCell ref="A93:B93"/>
    <mergeCell ref="A94:B94"/>
    <mergeCell ref="A90:B90"/>
    <mergeCell ref="A95:B95"/>
    <mergeCell ref="A91:B91"/>
    <mergeCell ref="A92:B92"/>
    <mergeCell ref="D35:E35"/>
    <mergeCell ref="A63:A65"/>
    <mergeCell ref="A81:A83"/>
    <mergeCell ref="A36:H36"/>
    <mergeCell ref="B35:C35"/>
    <mergeCell ref="A54:A56"/>
    <mergeCell ref="A57:A59"/>
  </mergeCells>
  <pageMargins left="0.25" right="0.25" top="0.75" bottom="0.75" header="0.3" footer="0.3"/>
  <pageSetup paperSize="8" scale="29" fitToHeight="0" orientation="portrait" r:id="rId1"/>
  <ignoredErrors>
    <ignoredError sqref="P54:P56 P57:P69 P71:P74 P76:P80 E3:E5 H6" formula="1"/>
    <ignoredError sqref="V81:V82" evalError="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pageSetUpPr fitToPage="1"/>
  </sheetPr>
  <dimension ref="A1:W52"/>
  <sheetViews>
    <sheetView topLeftCell="A6" zoomScale="70" zoomScaleNormal="70" zoomScalePageLayoutView="70" workbookViewId="0">
      <selection sqref="A1:A36"/>
    </sheetView>
  </sheetViews>
  <sheetFormatPr baseColWidth="10" defaultRowHeight="15"/>
  <cols>
    <col min="1" max="1" width="19.42578125" customWidth="1"/>
    <col min="2" max="2" width="12.7109375" bestFit="1" customWidth="1"/>
    <col min="3" max="4" width="12.7109375" customWidth="1"/>
    <col min="5" max="5" width="33.28515625" customWidth="1"/>
    <col min="6" max="6" width="33.42578125" customWidth="1"/>
    <col min="7" max="7" width="21.28515625" customWidth="1"/>
    <col min="8" max="8" width="13.85546875" customWidth="1"/>
    <col min="9" max="9" width="12.28515625" customWidth="1"/>
    <col min="10" max="10" width="17.85546875" customWidth="1"/>
    <col min="11" max="11" width="22" customWidth="1"/>
    <col min="12" max="12" width="21.42578125" customWidth="1"/>
    <col min="13" max="13" width="12.140625" customWidth="1"/>
    <col min="14" max="14" width="13.140625" customWidth="1"/>
    <col min="15" max="15" width="19.42578125" customWidth="1"/>
    <col min="16" max="16" width="14.42578125" customWidth="1"/>
    <col min="18" max="18" width="12.85546875" customWidth="1"/>
    <col min="19" max="19" width="20.42578125" customWidth="1"/>
    <col min="21" max="22" width="12.7109375" customWidth="1"/>
    <col min="23" max="23" width="13" customWidth="1"/>
  </cols>
  <sheetData>
    <row r="1" spans="1:23" s="1" customFormat="1" ht="45">
      <c r="A1" s="145" t="s">
        <v>206</v>
      </c>
      <c r="B1" s="145" t="s">
        <v>118</v>
      </c>
      <c r="C1" s="146" t="s">
        <v>224</v>
      </c>
      <c r="D1" s="146" t="s">
        <v>228</v>
      </c>
      <c r="E1" s="146" t="s">
        <v>204</v>
      </c>
      <c r="F1" s="145" t="s">
        <v>205</v>
      </c>
      <c r="G1" s="146" t="s">
        <v>101</v>
      </c>
      <c r="H1" s="145" t="s">
        <v>140</v>
      </c>
      <c r="I1" s="147" t="s">
        <v>136</v>
      </c>
      <c r="J1" s="145" t="s">
        <v>82</v>
      </c>
      <c r="K1" s="145" t="s">
        <v>83</v>
      </c>
      <c r="L1" s="145" t="s">
        <v>84</v>
      </c>
      <c r="M1" s="145" t="s">
        <v>186</v>
      </c>
      <c r="N1" s="145" t="s">
        <v>121</v>
      </c>
      <c r="O1" s="145" t="s">
        <v>86</v>
      </c>
      <c r="P1" s="145" t="s">
        <v>187</v>
      </c>
      <c r="Q1" s="148" t="s">
        <v>85</v>
      </c>
      <c r="R1" s="145" t="s">
        <v>57</v>
      </c>
      <c r="S1" s="149" t="s">
        <v>4</v>
      </c>
      <c r="T1" s="150" t="s">
        <v>137</v>
      </c>
      <c r="U1" s="150" t="s">
        <v>138</v>
      </c>
      <c r="V1" s="150" t="s">
        <v>76</v>
      </c>
      <c r="W1" s="150" t="s">
        <v>77</v>
      </c>
    </row>
    <row r="2" spans="1:23" ht="30">
      <c r="A2" s="130" t="s">
        <v>27</v>
      </c>
      <c r="B2" s="132" t="s">
        <v>124</v>
      </c>
      <c r="C2" s="132" t="s">
        <v>119</v>
      </c>
      <c r="D2" s="132" t="s">
        <v>161</v>
      </c>
      <c r="E2" s="134" t="s">
        <v>33</v>
      </c>
      <c r="F2" s="135" t="s">
        <v>241</v>
      </c>
      <c r="G2" s="134" t="s">
        <v>102</v>
      </c>
      <c r="H2" s="133">
        <v>1</v>
      </c>
      <c r="J2" s="131" t="s">
        <v>58</v>
      </c>
      <c r="K2" s="131" t="s">
        <v>67</v>
      </c>
      <c r="L2" s="143" t="s">
        <v>98</v>
      </c>
      <c r="M2" s="136" t="s">
        <v>40</v>
      </c>
      <c r="N2" s="136" t="s">
        <v>53</v>
      </c>
      <c r="O2" s="136" t="s">
        <v>45</v>
      </c>
      <c r="P2" s="136" t="s">
        <v>39</v>
      </c>
      <c r="Q2" s="140" t="s">
        <v>60</v>
      </c>
      <c r="R2" s="144" t="s">
        <v>57</v>
      </c>
      <c r="T2" s="130" t="s">
        <v>27</v>
      </c>
      <c r="U2" s="130" t="s">
        <v>126</v>
      </c>
      <c r="V2" s="130" t="s">
        <v>28</v>
      </c>
      <c r="W2" s="130" t="s">
        <v>78</v>
      </c>
    </row>
    <row r="3" spans="1:23" ht="30">
      <c r="A3" s="130" t="s">
        <v>126</v>
      </c>
      <c r="B3" s="132" t="s">
        <v>119</v>
      </c>
      <c r="C3" s="132" t="s">
        <v>112</v>
      </c>
      <c r="D3" s="132" t="s">
        <v>169</v>
      </c>
      <c r="E3" s="134" t="s">
        <v>165</v>
      </c>
      <c r="F3" s="136" t="s">
        <v>40</v>
      </c>
      <c r="G3" s="134" t="s">
        <v>103</v>
      </c>
      <c r="H3" s="133">
        <v>2</v>
      </c>
      <c r="J3" s="131" t="s">
        <v>42</v>
      </c>
      <c r="K3" s="143" t="s">
        <v>43</v>
      </c>
      <c r="L3" s="131" t="s">
        <v>99</v>
      </c>
      <c r="M3" s="136" t="s">
        <v>47</v>
      </c>
      <c r="N3" s="138" t="s">
        <v>66</v>
      </c>
      <c r="O3" s="136" t="s">
        <v>214</v>
      </c>
      <c r="P3" s="138" t="s">
        <v>52</v>
      </c>
      <c r="Q3" s="136" t="s">
        <v>134</v>
      </c>
      <c r="T3" s="130" t="s">
        <v>8</v>
      </c>
      <c r="U3" s="130" t="s">
        <v>11</v>
      </c>
      <c r="V3" s="130" t="s">
        <v>20</v>
      </c>
      <c r="W3" s="130" t="s">
        <v>24</v>
      </c>
    </row>
    <row r="4" spans="1:23" ht="45">
      <c r="A4" s="130" t="s">
        <v>28</v>
      </c>
      <c r="B4" s="132" t="s">
        <v>112</v>
      </c>
      <c r="C4" s="132" t="s">
        <v>114</v>
      </c>
      <c r="D4" s="132"/>
      <c r="E4" s="134" t="s">
        <v>166</v>
      </c>
      <c r="F4" s="136" t="s">
        <v>45</v>
      </c>
      <c r="H4" s="130">
        <v>3</v>
      </c>
      <c r="J4" s="131" t="s">
        <v>50</v>
      </c>
      <c r="K4" s="143" t="s">
        <v>61</v>
      </c>
      <c r="L4" s="131" t="s">
        <v>44</v>
      </c>
      <c r="M4" s="136" t="s">
        <v>219</v>
      </c>
      <c r="N4" s="140" t="s">
        <v>108</v>
      </c>
      <c r="O4" s="136" t="s">
        <v>55</v>
      </c>
      <c r="P4" s="138" t="s">
        <v>51</v>
      </c>
      <c r="Q4" s="136" t="s">
        <v>217</v>
      </c>
      <c r="T4" s="130" t="s">
        <v>5</v>
      </c>
      <c r="U4" s="130" t="s">
        <v>12</v>
      </c>
      <c r="V4" s="130" t="s">
        <v>21</v>
      </c>
      <c r="W4" s="130" t="s">
        <v>91</v>
      </c>
    </row>
    <row r="5" spans="1:23" ht="30">
      <c r="A5" s="130" t="s">
        <v>78</v>
      </c>
      <c r="B5" s="132" t="s">
        <v>114</v>
      </c>
      <c r="C5" s="132" t="s">
        <v>111</v>
      </c>
      <c r="D5" s="132"/>
      <c r="E5" s="134" t="s">
        <v>70</v>
      </c>
      <c r="F5" s="136" t="s">
        <v>53</v>
      </c>
      <c r="H5" s="130">
        <v>4</v>
      </c>
      <c r="J5" s="136" t="s">
        <v>41</v>
      </c>
      <c r="K5" s="143" t="s">
        <v>49</v>
      </c>
      <c r="L5" s="131" t="s">
        <v>46</v>
      </c>
      <c r="M5" s="136" t="s">
        <v>62</v>
      </c>
      <c r="N5" s="140" t="s">
        <v>64</v>
      </c>
      <c r="O5" s="136" t="s">
        <v>59</v>
      </c>
      <c r="P5" s="138" t="s">
        <v>130</v>
      </c>
      <c r="T5" s="130" t="s">
        <v>6</v>
      </c>
      <c r="U5" s="130" t="s">
        <v>13</v>
      </c>
      <c r="V5" s="130" t="s">
        <v>22</v>
      </c>
      <c r="W5" s="130" t="s">
        <v>25</v>
      </c>
    </row>
    <row r="6" spans="1:23" ht="45">
      <c r="A6" s="130" t="s">
        <v>8</v>
      </c>
      <c r="B6" s="132" t="s">
        <v>111</v>
      </c>
      <c r="C6" s="132" t="s">
        <v>113</v>
      </c>
      <c r="D6" s="132"/>
      <c r="E6" s="134" t="s">
        <v>141</v>
      </c>
      <c r="F6" s="136" t="s">
        <v>39</v>
      </c>
      <c r="H6" s="130">
        <v>5</v>
      </c>
      <c r="K6" s="141" t="s">
        <v>38</v>
      </c>
      <c r="L6" s="135" t="s">
        <v>120</v>
      </c>
      <c r="M6" s="140" t="s">
        <v>94</v>
      </c>
      <c r="O6" s="136" t="s">
        <v>54</v>
      </c>
      <c r="P6" s="142" t="s">
        <v>129</v>
      </c>
      <c r="T6" s="130" t="s">
        <v>7</v>
      </c>
      <c r="U6" s="130" t="s">
        <v>14</v>
      </c>
      <c r="V6" s="130" t="s">
        <v>23</v>
      </c>
      <c r="W6" s="130" t="s">
        <v>92</v>
      </c>
    </row>
    <row r="7" spans="1:23" ht="30">
      <c r="A7" s="130" t="s">
        <v>5</v>
      </c>
      <c r="B7" s="132" t="s">
        <v>113</v>
      </c>
      <c r="C7" s="132" t="s">
        <v>109</v>
      </c>
      <c r="D7" s="132"/>
      <c r="E7" s="134" t="s">
        <v>74</v>
      </c>
      <c r="F7" s="137" t="s">
        <v>127</v>
      </c>
      <c r="H7" s="130">
        <v>6</v>
      </c>
      <c r="K7" s="130" t="s">
        <v>131</v>
      </c>
      <c r="L7" s="137" t="s">
        <v>127</v>
      </c>
      <c r="O7" s="136" t="s">
        <v>48</v>
      </c>
      <c r="P7" s="142" t="s">
        <v>95</v>
      </c>
      <c r="T7" s="130" t="s">
        <v>9</v>
      </c>
      <c r="U7" s="130" t="s">
        <v>15</v>
      </c>
      <c r="V7" s="130" t="s">
        <v>80</v>
      </c>
      <c r="W7" s="130" t="s">
        <v>26</v>
      </c>
    </row>
    <row r="8" spans="1:23">
      <c r="A8" s="130" t="s">
        <v>6</v>
      </c>
      <c r="B8" s="132" t="s">
        <v>109</v>
      </c>
      <c r="C8" s="132" t="s">
        <v>110</v>
      </c>
      <c r="D8" s="132"/>
      <c r="E8" s="134" t="s">
        <v>145</v>
      </c>
      <c r="F8" s="136" t="s">
        <v>41</v>
      </c>
      <c r="H8" s="130">
        <v>7</v>
      </c>
      <c r="K8" s="130" t="s">
        <v>216</v>
      </c>
      <c r="L8" s="136" t="s">
        <v>56</v>
      </c>
      <c r="O8" s="136" t="s">
        <v>97</v>
      </c>
      <c r="T8" s="130" t="s">
        <v>10</v>
      </c>
      <c r="U8" s="130" t="s">
        <v>16</v>
      </c>
      <c r="W8" s="130" t="s">
        <v>93</v>
      </c>
    </row>
    <row r="9" spans="1:23">
      <c r="A9" s="130" t="s">
        <v>7</v>
      </c>
      <c r="B9" s="132" t="s">
        <v>110</v>
      </c>
      <c r="C9" s="132" t="s">
        <v>160</v>
      </c>
      <c r="D9" s="132"/>
      <c r="E9" s="134" t="s">
        <v>32</v>
      </c>
      <c r="F9" s="136" t="s">
        <v>42</v>
      </c>
      <c r="H9" s="130">
        <v>8</v>
      </c>
      <c r="K9" s="141" t="s">
        <v>63</v>
      </c>
      <c r="O9" s="138" t="s">
        <v>133</v>
      </c>
      <c r="T9" s="130" t="s">
        <v>89</v>
      </c>
      <c r="U9" s="130" t="s">
        <v>17</v>
      </c>
      <c r="W9" s="130" t="s">
        <v>81</v>
      </c>
    </row>
    <row r="10" spans="1:23" ht="30">
      <c r="A10" s="130" t="s">
        <v>9</v>
      </c>
      <c r="B10" s="132" t="s">
        <v>161</v>
      </c>
      <c r="C10" s="132"/>
      <c r="D10" s="132"/>
      <c r="E10" s="134" t="s">
        <v>104</v>
      </c>
      <c r="F10" s="138" t="s">
        <v>43</v>
      </c>
      <c r="H10" s="130">
        <v>9</v>
      </c>
      <c r="O10" s="136" t="s">
        <v>128</v>
      </c>
      <c r="U10" s="130" t="s">
        <v>18</v>
      </c>
    </row>
    <row r="11" spans="1:23" ht="30">
      <c r="A11" s="130" t="s">
        <v>10</v>
      </c>
      <c r="B11" s="132" t="s">
        <v>160</v>
      </c>
      <c r="C11" s="132"/>
      <c r="D11" s="132"/>
      <c r="E11" s="134" t="s">
        <v>36</v>
      </c>
      <c r="F11" s="138" t="s">
        <v>216</v>
      </c>
      <c r="H11" s="130">
        <v>10</v>
      </c>
      <c r="O11" s="136" t="s">
        <v>88</v>
      </c>
      <c r="U11" s="130" t="s">
        <v>19</v>
      </c>
    </row>
    <row r="12" spans="1:23" ht="30">
      <c r="A12" s="130" t="s">
        <v>89</v>
      </c>
      <c r="B12" s="132" t="s">
        <v>169</v>
      </c>
      <c r="C12" s="132"/>
      <c r="D12" s="132"/>
      <c r="E12" s="134" t="s">
        <v>144</v>
      </c>
      <c r="F12" s="136" t="s">
        <v>128</v>
      </c>
      <c r="H12" s="130">
        <v>11</v>
      </c>
      <c r="O12" s="142" t="s">
        <v>96</v>
      </c>
      <c r="U12" s="130" t="s">
        <v>79</v>
      </c>
    </row>
    <row r="13" spans="1:23">
      <c r="A13" s="130" t="s">
        <v>11</v>
      </c>
      <c r="E13" s="134" t="s">
        <v>35</v>
      </c>
      <c r="F13" s="136" t="s">
        <v>214</v>
      </c>
      <c r="H13" s="130">
        <v>12</v>
      </c>
      <c r="O13" s="142" t="s">
        <v>100</v>
      </c>
    </row>
    <row r="14" spans="1:23">
      <c r="A14" s="130" t="s">
        <v>12</v>
      </c>
      <c r="E14" s="134" t="s">
        <v>171</v>
      </c>
      <c r="F14" s="136" t="s">
        <v>55</v>
      </c>
      <c r="H14" s="130">
        <v>13</v>
      </c>
      <c r="O14" s="138" t="s">
        <v>132</v>
      </c>
    </row>
    <row r="15" spans="1:23">
      <c r="A15" s="130" t="s">
        <v>13</v>
      </c>
      <c r="E15" s="134" t="s">
        <v>170</v>
      </c>
      <c r="F15" s="136" t="s">
        <v>98</v>
      </c>
      <c r="H15" s="130">
        <v>14</v>
      </c>
    </row>
    <row r="16" spans="1:23">
      <c r="A16" s="130" t="s">
        <v>14</v>
      </c>
      <c r="E16" s="134" t="s">
        <v>71</v>
      </c>
      <c r="F16" s="136" t="s">
        <v>99</v>
      </c>
      <c r="H16" s="130">
        <v>15</v>
      </c>
    </row>
    <row r="17" spans="1:8">
      <c r="A17" s="130" t="s">
        <v>15</v>
      </c>
      <c r="E17" s="134" t="s">
        <v>142</v>
      </c>
      <c r="F17" s="138" t="s">
        <v>61</v>
      </c>
      <c r="H17" s="130">
        <v>16</v>
      </c>
    </row>
    <row r="18" spans="1:8">
      <c r="A18" s="130" t="s">
        <v>16</v>
      </c>
      <c r="E18" s="134" t="s">
        <v>34</v>
      </c>
      <c r="F18" s="135" t="s">
        <v>129</v>
      </c>
    </row>
    <row r="19" spans="1:8">
      <c r="A19" s="130" t="s">
        <v>17</v>
      </c>
      <c r="E19" s="134" t="s">
        <v>146</v>
      </c>
      <c r="F19" s="139" t="s">
        <v>59</v>
      </c>
    </row>
    <row r="20" spans="1:8">
      <c r="A20" s="130" t="s">
        <v>18</v>
      </c>
      <c r="E20" s="134" t="s">
        <v>37</v>
      </c>
      <c r="F20" s="138" t="s">
        <v>66</v>
      </c>
    </row>
    <row r="21" spans="1:8">
      <c r="A21" s="130" t="s">
        <v>19</v>
      </c>
      <c r="E21" s="134" t="s">
        <v>31</v>
      </c>
      <c r="F21" s="136" t="s">
        <v>50</v>
      </c>
    </row>
    <row r="22" spans="1:8">
      <c r="A22" s="130" t="s">
        <v>79</v>
      </c>
      <c r="E22" s="134" t="s">
        <v>69</v>
      </c>
      <c r="F22" s="136" t="s">
        <v>54</v>
      </c>
    </row>
    <row r="23" spans="1:8">
      <c r="A23" s="130" t="s">
        <v>220</v>
      </c>
      <c r="E23" s="134" t="s">
        <v>3</v>
      </c>
      <c r="F23" s="136" t="s">
        <v>44</v>
      </c>
    </row>
    <row r="24" spans="1:8">
      <c r="A24" s="130" t="s">
        <v>20</v>
      </c>
      <c r="E24" s="134" t="s">
        <v>168</v>
      </c>
      <c r="F24" s="136" t="s">
        <v>47</v>
      </c>
    </row>
    <row r="25" spans="1:8">
      <c r="A25" s="130" t="s">
        <v>21</v>
      </c>
      <c r="E25" s="134" t="s">
        <v>68</v>
      </c>
      <c r="F25" s="138" t="s">
        <v>130</v>
      </c>
    </row>
    <row r="26" spans="1:8">
      <c r="A26" s="130" t="s">
        <v>22</v>
      </c>
      <c r="E26" s="134" t="s">
        <v>122</v>
      </c>
      <c r="F26" s="135" t="s">
        <v>49</v>
      </c>
    </row>
    <row r="27" spans="1:8">
      <c r="A27" s="130" t="s">
        <v>23</v>
      </c>
      <c r="E27" s="134" t="s">
        <v>215</v>
      </c>
      <c r="F27" s="136" t="s">
        <v>46</v>
      </c>
    </row>
    <row r="28" spans="1:8">
      <c r="A28" s="130" t="s">
        <v>80</v>
      </c>
      <c r="E28" s="134" t="s">
        <v>65</v>
      </c>
      <c r="F28" s="136" t="s">
        <v>48</v>
      </c>
    </row>
    <row r="29" spans="1:8">
      <c r="A29" s="130" t="s">
        <v>221</v>
      </c>
      <c r="E29" s="134" t="s">
        <v>73</v>
      </c>
      <c r="F29" s="136" t="s">
        <v>38</v>
      </c>
    </row>
    <row r="30" spans="1:8">
      <c r="A30" s="130" t="s">
        <v>24</v>
      </c>
      <c r="E30" s="134" t="s">
        <v>72</v>
      </c>
      <c r="F30" s="138" t="s">
        <v>52</v>
      </c>
    </row>
    <row r="31" spans="1:8">
      <c r="A31" s="130" t="s">
        <v>91</v>
      </c>
      <c r="E31" s="134" t="s">
        <v>75</v>
      </c>
      <c r="F31" s="136" t="s">
        <v>131</v>
      </c>
    </row>
    <row r="32" spans="1:8">
      <c r="A32" s="130" t="s">
        <v>25</v>
      </c>
      <c r="E32" s="134" t="s">
        <v>172</v>
      </c>
      <c r="F32" s="137" t="s">
        <v>132</v>
      </c>
    </row>
    <row r="33" spans="1:6">
      <c r="A33" s="130" t="s">
        <v>92</v>
      </c>
      <c r="E33" s="134" t="s">
        <v>143</v>
      </c>
      <c r="F33" s="137" t="s">
        <v>51</v>
      </c>
    </row>
    <row r="34" spans="1:6">
      <c r="A34" s="130" t="s">
        <v>26</v>
      </c>
      <c r="E34" s="134" t="s">
        <v>167</v>
      </c>
      <c r="F34" s="136" t="s">
        <v>97</v>
      </c>
    </row>
    <row r="35" spans="1:6">
      <c r="A35" s="130" t="s">
        <v>93</v>
      </c>
      <c r="F35" s="140" t="s">
        <v>60</v>
      </c>
    </row>
    <row r="36" spans="1:6">
      <c r="A36" s="130" t="s">
        <v>81</v>
      </c>
      <c r="F36" s="140" t="s">
        <v>219</v>
      </c>
    </row>
    <row r="37" spans="1:6">
      <c r="F37" s="138" t="s">
        <v>133</v>
      </c>
    </row>
    <row r="38" spans="1:6">
      <c r="F38" s="139" t="s">
        <v>67</v>
      </c>
    </row>
    <row r="39" spans="1:6" ht="30">
      <c r="F39" s="136" t="s">
        <v>88</v>
      </c>
    </row>
    <row r="40" spans="1:6">
      <c r="F40" s="136" t="s">
        <v>56</v>
      </c>
    </row>
    <row r="41" spans="1:6">
      <c r="F41" s="136" t="s">
        <v>63</v>
      </c>
    </row>
    <row r="42" spans="1:6">
      <c r="F42" s="140" t="s">
        <v>108</v>
      </c>
    </row>
    <row r="43" spans="1:6">
      <c r="F43" s="136" t="s">
        <v>58</v>
      </c>
    </row>
    <row r="44" spans="1:6">
      <c r="F44" s="136" t="s">
        <v>134</v>
      </c>
    </row>
    <row r="45" spans="1:6">
      <c r="F45" s="136" t="s">
        <v>62</v>
      </c>
    </row>
    <row r="46" spans="1:6">
      <c r="F46" s="140" t="s">
        <v>64</v>
      </c>
    </row>
    <row r="47" spans="1:6">
      <c r="F47" s="140" t="s">
        <v>217</v>
      </c>
    </row>
    <row r="48" spans="1:6">
      <c r="F48" s="140" t="s">
        <v>94</v>
      </c>
    </row>
    <row r="49" spans="6:6">
      <c r="F49" s="135" t="s">
        <v>120</v>
      </c>
    </row>
    <row r="50" spans="6:6">
      <c r="F50" s="135" t="s">
        <v>95</v>
      </c>
    </row>
    <row r="51" spans="6:6">
      <c r="F51" s="135" t="s">
        <v>96</v>
      </c>
    </row>
    <row r="52" spans="6:6">
      <c r="F52" s="135" t="s">
        <v>100</v>
      </c>
    </row>
  </sheetData>
  <sortState ref="B1:B9">
    <sortCondition ref="B1"/>
  </sortState>
  <pageMargins left="0.7" right="0.7" top="0.75" bottom="0.75" header="0.3" footer="0.3"/>
  <pageSetup paperSize="9" scale="3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dimension ref="A1:R36"/>
  <sheetViews>
    <sheetView tabSelected="1" workbookViewId="0">
      <selection activeCell="R1" sqref="R1"/>
    </sheetView>
  </sheetViews>
  <sheetFormatPr baseColWidth="10" defaultRowHeight="15"/>
  <cols>
    <col min="2" max="9" width="5.28515625" customWidth="1"/>
    <col min="11" max="11" width="19.5703125" bestFit="1" customWidth="1"/>
    <col min="12" max="16" width="5" style="309" customWidth="1"/>
    <col min="19" max="23" width="5.28515625" customWidth="1"/>
  </cols>
  <sheetData>
    <row r="1" spans="1:18" s="297" customFormat="1" ht="129" customHeight="1" thickBot="1">
      <c r="A1" s="296" t="s">
        <v>118</v>
      </c>
      <c r="B1" s="297" t="s">
        <v>164</v>
      </c>
      <c r="C1" s="297" t="s">
        <v>163</v>
      </c>
      <c r="D1" s="306" t="s">
        <v>124</v>
      </c>
      <c r="E1" s="297" t="s">
        <v>105</v>
      </c>
      <c r="F1" s="297" t="s">
        <v>123</v>
      </c>
      <c r="G1" s="297" t="s">
        <v>155</v>
      </c>
      <c r="H1" s="297" t="s">
        <v>110</v>
      </c>
      <c r="I1" s="297" t="s">
        <v>124</v>
      </c>
      <c r="K1" s="307" t="s">
        <v>206</v>
      </c>
      <c r="L1" s="308" t="s">
        <v>137</v>
      </c>
      <c r="M1" s="308" t="s">
        <v>138</v>
      </c>
      <c r="N1" s="308" t="s">
        <v>151</v>
      </c>
      <c r="O1" s="308" t="s">
        <v>76</v>
      </c>
      <c r="P1" s="308" t="s">
        <v>77</v>
      </c>
      <c r="R1" s="310" t="s">
        <v>244</v>
      </c>
    </row>
    <row r="2" spans="1:18">
      <c r="A2" s="132" t="s">
        <v>124</v>
      </c>
      <c r="B2" s="298"/>
      <c r="C2" s="299"/>
      <c r="D2" s="300" t="s">
        <v>243</v>
      </c>
      <c r="E2" s="298"/>
      <c r="F2" s="299"/>
      <c r="G2" s="299"/>
      <c r="H2" s="299"/>
      <c r="I2" s="300"/>
      <c r="K2" s="132" t="s">
        <v>27</v>
      </c>
      <c r="L2" s="250" t="s">
        <v>243</v>
      </c>
      <c r="M2" s="250"/>
      <c r="N2" s="250"/>
      <c r="O2" s="250"/>
      <c r="P2" s="250"/>
    </row>
    <row r="3" spans="1:18">
      <c r="A3" s="132" t="s">
        <v>119</v>
      </c>
      <c r="B3" s="301" t="s">
        <v>243</v>
      </c>
      <c r="C3" s="250"/>
      <c r="D3" s="302"/>
      <c r="E3" s="301"/>
      <c r="F3" s="250"/>
      <c r="G3" s="250"/>
      <c r="H3" s="250"/>
      <c r="I3" s="302"/>
      <c r="K3" s="132" t="s">
        <v>126</v>
      </c>
      <c r="L3" s="250"/>
      <c r="M3" s="250"/>
      <c r="N3" s="250"/>
      <c r="O3" s="250"/>
      <c r="P3" s="250"/>
    </row>
    <row r="4" spans="1:18">
      <c r="A4" s="132" t="s">
        <v>112</v>
      </c>
      <c r="B4" s="301" t="s">
        <v>243</v>
      </c>
      <c r="C4" s="250"/>
      <c r="D4" s="302"/>
      <c r="E4" s="301"/>
      <c r="F4" s="250"/>
      <c r="G4" s="250"/>
      <c r="H4" s="250"/>
      <c r="I4" s="302"/>
      <c r="K4" s="132" t="s">
        <v>28</v>
      </c>
      <c r="L4" s="250"/>
      <c r="M4" s="250"/>
      <c r="N4" s="250"/>
      <c r="O4" s="250"/>
      <c r="P4" s="250"/>
    </row>
    <row r="5" spans="1:18">
      <c r="A5" s="132" t="s">
        <v>114</v>
      </c>
      <c r="B5" s="301" t="s">
        <v>243</v>
      </c>
      <c r="C5" s="250"/>
      <c r="D5" s="302"/>
      <c r="E5" s="301" t="s">
        <v>243</v>
      </c>
      <c r="F5" s="250"/>
      <c r="G5" s="250"/>
      <c r="H5" s="250"/>
      <c r="I5" s="302"/>
      <c r="K5" s="132" t="s">
        <v>78</v>
      </c>
      <c r="L5" s="250"/>
      <c r="M5" s="250"/>
      <c r="N5" s="250"/>
      <c r="O5" s="250"/>
      <c r="P5" s="250"/>
    </row>
    <row r="6" spans="1:18">
      <c r="A6" s="132" t="s">
        <v>111</v>
      </c>
      <c r="B6" s="301" t="s">
        <v>243</v>
      </c>
      <c r="C6" s="250"/>
      <c r="D6" s="302"/>
      <c r="E6" s="301" t="s">
        <v>243</v>
      </c>
      <c r="F6" s="250"/>
      <c r="G6" s="250"/>
      <c r="H6" s="250"/>
      <c r="I6" s="302"/>
      <c r="K6" s="132" t="s">
        <v>8</v>
      </c>
      <c r="L6" s="250"/>
      <c r="M6" s="250"/>
      <c r="N6" s="250"/>
      <c r="O6" s="250"/>
      <c r="P6" s="250"/>
    </row>
    <row r="7" spans="1:18">
      <c r="A7" s="132" t="s">
        <v>113</v>
      </c>
      <c r="B7" s="301" t="s">
        <v>243</v>
      </c>
      <c r="C7" s="250"/>
      <c r="D7" s="302"/>
      <c r="E7" s="301" t="s">
        <v>243</v>
      </c>
      <c r="F7" s="250"/>
      <c r="G7" s="250"/>
      <c r="H7" s="250"/>
      <c r="I7" s="302"/>
      <c r="K7" s="132" t="s">
        <v>5</v>
      </c>
      <c r="L7" s="250"/>
      <c r="M7" s="250"/>
      <c r="N7" s="250"/>
      <c r="O7" s="250"/>
      <c r="P7" s="250"/>
    </row>
    <row r="8" spans="1:18">
      <c r="A8" s="132" t="s">
        <v>109</v>
      </c>
      <c r="B8" s="301" t="s">
        <v>243</v>
      </c>
      <c r="C8" s="250"/>
      <c r="D8" s="302"/>
      <c r="E8" s="301"/>
      <c r="F8" s="250"/>
      <c r="G8" s="250"/>
      <c r="H8" s="250"/>
      <c r="I8" s="302"/>
      <c r="K8" s="132" t="s">
        <v>6</v>
      </c>
      <c r="L8" s="250"/>
      <c r="M8" s="250"/>
      <c r="N8" s="250"/>
      <c r="O8" s="250"/>
      <c r="P8" s="250"/>
    </row>
    <row r="9" spans="1:18">
      <c r="A9" s="132" t="s">
        <v>110</v>
      </c>
      <c r="B9" s="301" t="s">
        <v>243</v>
      </c>
      <c r="C9" s="250"/>
      <c r="D9" s="302"/>
      <c r="E9" s="301"/>
      <c r="F9" s="250"/>
      <c r="G9" s="250"/>
      <c r="H9" s="250"/>
      <c r="I9" s="302"/>
      <c r="K9" s="132" t="s">
        <v>7</v>
      </c>
      <c r="L9" s="250"/>
      <c r="M9" s="250"/>
      <c r="N9" s="250"/>
      <c r="O9" s="250"/>
      <c r="P9" s="250"/>
    </row>
    <row r="10" spans="1:18">
      <c r="A10" s="132" t="s">
        <v>161</v>
      </c>
      <c r="B10" s="301"/>
      <c r="C10" s="250" t="s">
        <v>243</v>
      </c>
      <c r="D10" s="302"/>
      <c r="E10" s="301"/>
      <c r="F10" s="250" t="s">
        <v>243</v>
      </c>
      <c r="G10" s="250"/>
      <c r="H10" s="250"/>
      <c r="I10" s="302"/>
      <c r="K10" s="132" t="s">
        <v>9</v>
      </c>
      <c r="L10" s="250"/>
      <c r="M10" s="250"/>
      <c r="N10" s="250"/>
      <c r="O10" s="250"/>
      <c r="P10" s="250"/>
    </row>
    <row r="11" spans="1:18">
      <c r="A11" s="132" t="s">
        <v>160</v>
      </c>
      <c r="B11" s="301" t="s">
        <v>243</v>
      </c>
      <c r="C11" s="250" t="s">
        <v>243</v>
      </c>
      <c r="D11" s="302"/>
      <c r="E11" s="301"/>
      <c r="F11" s="250" t="s">
        <v>243</v>
      </c>
      <c r="G11" s="250"/>
      <c r="H11" s="250"/>
      <c r="I11" s="302"/>
      <c r="K11" s="132" t="s">
        <v>10</v>
      </c>
      <c r="L11" s="250"/>
      <c r="M11" s="250"/>
      <c r="N11" s="250"/>
      <c r="O11" s="250"/>
      <c r="P11" s="250"/>
    </row>
    <row r="12" spans="1:18" ht="15.75" thickBot="1">
      <c r="A12" s="132" t="s">
        <v>169</v>
      </c>
      <c r="B12" s="303"/>
      <c r="C12" s="304" t="s">
        <v>243</v>
      </c>
      <c r="D12" s="305"/>
      <c r="E12" s="303"/>
      <c r="F12" s="304" t="s">
        <v>243</v>
      </c>
      <c r="G12" s="304"/>
      <c r="H12" s="304"/>
      <c r="I12" s="305"/>
      <c r="K12" s="132" t="s">
        <v>89</v>
      </c>
      <c r="L12" s="250"/>
      <c r="M12" s="250"/>
      <c r="N12" s="250"/>
      <c r="O12" s="250"/>
      <c r="P12" s="250"/>
    </row>
    <row r="13" spans="1:18">
      <c r="K13" s="132" t="s">
        <v>11</v>
      </c>
      <c r="L13" s="250"/>
      <c r="M13" s="250"/>
      <c r="N13" s="250"/>
      <c r="O13" s="250"/>
      <c r="P13" s="250"/>
    </row>
    <row r="14" spans="1:18">
      <c r="K14" s="132" t="s">
        <v>12</v>
      </c>
      <c r="L14" s="250"/>
      <c r="M14" s="250"/>
      <c r="N14" s="250"/>
      <c r="O14" s="250"/>
      <c r="P14" s="250"/>
    </row>
    <row r="15" spans="1:18">
      <c r="K15" s="132" t="s">
        <v>13</v>
      </c>
      <c r="L15" s="250"/>
      <c r="M15" s="250"/>
      <c r="N15" s="250"/>
      <c r="O15" s="250"/>
      <c r="P15" s="250"/>
    </row>
    <row r="16" spans="1:18">
      <c r="K16" s="132" t="s">
        <v>14</v>
      </c>
      <c r="L16" s="250"/>
      <c r="M16" s="250"/>
      <c r="N16" s="250"/>
      <c r="O16" s="250"/>
      <c r="P16" s="250"/>
    </row>
    <row r="17" spans="11:16">
      <c r="K17" s="132" t="s">
        <v>15</v>
      </c>
      <c r="L17" s="250"/>
      <c r="M17" s="250"/>
      <c r="N17" s="250"/>
      <c r="O17" s="250"/>
      <c r="P17" s="250"/>
    </row>
    <row r="18" spans="11:16">
      <c r="K18" s="132" t="s">
        <v>16</v>
      </c>
      <c r="L18" s="250"/>
      <c r="M18" s="250"/>
      <c r="N18" s="250"/>
      <c r="O18" s="250"/>
      <c r="P18" s="250"/>
    </row>
    <row r="19" spans="11:16">
      <c r="K19" s="132" t="s">
        <v>17</v>
      </c>
      <c r="L19" s="250"/>
      <c r="M19" s="250"/>
      <c r="N19" s="250"/>
      <c r="O19" s="250"/>
      <c r="P19" s="250"/>
    </row>
    <row r="20" spans="11:16">
      <c r="K20" s="132" t="s">
        <v>18</v>
      </c>
      <c r="L20" s="250"/>
      <c r="M20" s="250"/>
      <c r="N20" s="250"/>
      <c r="O20" s="250"/>
      <c r="P20" s="250"/>
    </row>
    <row r="21" spans="11:16">
      <c r="K21" s="132" t="s">
        <v>19</v>
      </c>
      <c r="L21" s="250"/>
      <c r="M21" s="250"/>
      <c r="N21" s="250"/>
      <c r="O21" s="250"/>
      <c r="P21" s="250"/>
    </row>
    <row r="22" spans="11:16">
      <c r="K22" s="132" t="s">
        <v>79</v>
      </c>
      <c r="L22" s="250"/>
      <c r="M22" s="250"/>
      <c r="N22" s="250"/>
      <c r="O22" s="250"/>
      <c r="P22" s="250"/>
    </row>
    <row r="23" spans="11:16">
      <c r="K23" s="132" t="s">
        <v>220</v>
      </c>
      <c r="L23" s="250"/>
      <c r="M23" s="250"/>
      <c r="N23" s="250"/>
      <c r="O23" s="250"/>
      <c r="P23" s="250"/>
    </row>
    <row r="24" spans="11:16">
      <c r="K24" s="132" t="s">
        <v>20</v>
      </c>
      <c r="L24" s="250"/>
      <c r="M24" s="250"/>
      <c r="N24" s="250"/>
      <c r="O24" s="250"/>
      <c r="P24" s="250"/>
    </row>
    <row r="25" spans="11:16">
      <c r="K25" s="132" t="s">
        <v>21</v>
      </c>
      <c r="L25" s="250"/>
      <c r="M25" s="250"/>
      <c r="N25" s="250"/>
      <c r="O25" s="250"/>
      <c r="P25" s="250"/>
    </row>
    <row r="26" spans="11:16">
      <c r="K26" s="132" t="s">
        <v>22</v>
      </c>
      <c r="L26" s="250"/>
      <c r="M26" s="250"/>
      <c r="N26" s="250"/>
      <c r="O26" s="250"/>
      <c r="P26" s="250"/>
    </row>
    <row r="27" spans="11:16">
      <c r="K27" s="132" t="s">
        <v>23</v>
      </c>
      <c r="L27" s="250"/>
      <c r="M27" s="250"/>
      <c r="N27" s="250"/>
      <c r="O27" s="250"/>
      <c r="P27" s="250"/>
    </row>
    <row r="28" spans="11:16">
      <c r="K28" s="132" t="s">
        <v>80</v>
      </c>
      <c r="L28" s="250"/>
      <c r="M28" s="250"/>
      <c r="N28" s="250"/>
      <c r="O28" s="250"/>
      <c r="P28" s="250"/>
    </row>
    <row r="29" spans="11:16">
      <c r="K29" s="132" t="s">
        <v>221</v>
      </c>
      <c r="L29" s="250"/>
      <c r="M29" s="250"/>
      <c r="N29" s="250"/>
      <c r="O29" s="250"/>
      <c r="P29" s="250"/>
    </row>
    <row r="30" spans="11:16">
      <c r="K30" s="132" t="s">
        <v>24</v>
      </c>
      <c r="L30" s="250"/>
      <c r="M30" s="250"/>
      <c r="N30" s="250"/>
      <c r="O30" s="250"/>
      <c r="P30" s="250"/>
    </row>
    <row r="31" spans="11:16">
      <c r="K31" s="132" t="s">
        <v>91</v>
      </c>
      <c r="L31" s="250"/>
      <c r="M31" s="250"/>
      <c r="N31" s="250"/>
      <c r="O31" s="250"/>
      <c r="P31" s="250"/>
    </row>
    <row r="32" spans="11:16">
      <c r="K32" s="132" t="s">
        <v>25</v>
      </c>
      <c r="L32" s="250"/>
      <c r="M32" s="250"/>
      <c r="N32" s="250"/>
      <c r="O32" s="250"/>
      <c r="P32" s="250"/>
    </row>
    <row r="33" spans="11:16">
      <c r="K33" s="132" t="s">
        <v>92</v>
      </c>
      <c r="L33" s="250"/>
      <c r="M33" s="250"/>
      <c r="N33" s="250"/>
      <c r="O33" s="250"/>
      <c r="P33" s="250"/>
    </row>
    <row r="34" spans="11:16">
      <c r="K34" s="132" t="s">
        <v>26</v>
      </c>
      <c r="L34" s="250"/>
      <c r="M34" s="250"/>
      <c r="N34" s="250"/>
      <c r="O34" s="250"/>
      <c r="P34" s="250"/>
    </row>
    <row r="35" spans="11:16">
      <c r="K35" s="132" t="s">
        <v>93</v>
      </c>
      <c r="L35" s="250"/>
      <c r="M35" s="250"/>
      <c r="N35" s="250"/>
      <c r="O35" s="250"/>
      <c r="P35" s="250"/>
    </row>
    <row r="36" spans="11:16">
      <c r="K36" s="132" t="s">
        <v>81</v>
      </c>
      <c r="L36" s="250"/>
      <c r="M36" s="250"/>
      <c r="N36" s="250"/>
      <c r="O36" s="250"/>
      <c r="P36" s="250"/>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21</vt:i4>
      </vt:variant>
    </vt:vector>
  </HeadingPairs>
  <TitlesOfParts>
    <vt:vector size="26" baseType="lpstr">
      <vt:lpstr>mémo pour remplir le tableau</vt:lpstr>
      <vt:lpstr>Données</vt:lpstr>
      <vt:lpstr>Bilans</vt:lpstr>
      <vt:lpstr>listes</vt:lpstr>
      <vt:lpstr>Regroupements</vt:lpstr>
      <vt:lpstr>Buers</vt:lpstr>
      <vt:lpstr>Charpennes</vt:lpstr>
      <vt:lpstr>Collège</vt:lpstr>
      <vt:lpstr>Cusset</vt:lpstr>
      <vt:lpstr>Cyprien</vt:lpstr>
      <vt:lpstr>Elémentaire</vt:lpstr>
      <vt:lpstr>FDL</vt:lpstr>
      <vt:lpstr>Ferrandière</vt:lpstr>
      <vt:lpstr>Gratteciel</vt:lpstr>
      <vt:lpstr>horsvilleurbanne</vt:lpstr>
      <vt:lpstr>Lycée</vt:lpstr>
      <vt:lpstr>Maternelle</vt:lpstr>
      <vt:lpstr>MLIS</vt:lpstr>
      <vt:lpstr>PACBUS</vt:lpstr>
      <vt:lpstr>Perralière</vt:lpstr>
      <vt:lpstr>Réseau</vt:lpstr>
      <vt:lpstr>RIZE</vt:lpstr>
      <vt:lpstr>Rizehorsmed</vt:lpstr>
      <vt:lpstr>Saintjean</vt:lpstr>
      <vt:lpstr>Tonkin</vt:lpstr>
      <vt:lpstr>Total</vt:lpstr>
    </vt:vector>
  </TitlesOfParts>
  <Company>Ville de Villeurbanne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Camille</dc:creator>
  <cp:lastModifiedBy>Eric</cp:lastModifiedBy>
  <cp:lastPrinted>2018-05-31T16:20:07Z</cp:lastPrinted>
  <dcterms:created xsi:type="dcterms:W3CDTF">2016-06-09T07:52:05Z</dcterms:created>
  <dcterms:modified xsi:type="dcterms:W3CDTF">2018-08-03T17:46:15Z</dcterms:modified>
</cp:coreProperties>
</file>