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\OneDrive\Documents\"/>
    </mc:Choice>
  </mc:AlternateContent>
  <xr:revisionPtr revIDLastSave="0" documentId="8_{86BCB3A9-DBAF-480F-A57C-96BF12DA8CAB}" xr6:coauthVersionLast="34" xr6:coauthVersionMax="34" xr10:uidLastSave="{00000000-0000-0000-0000-000000000000}"/>
  <bookViews>
    <workbookView xWindow="0" yWindow="0" windowWidth="23040" windowHeight="10428" xr2:uid="{C078412C-007E-45E0-9B6D-ADDFCF32E474}"/>
  </bookViews>
  <sheets>
    <sheet name="Feuil1" sheetId="1" r:id="rId1"/>
  </sheets>
  <externalReferences>
    <externalReference r:id="rId2"/>
  </externalReferences>
  <calcPr calcId="162913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X4" i="1"/>
  <c r="U4" i="1"/>
  <c r="V4" i="1"/>
  <c r="W4" i="1"/>
  <c r="X4" i="1"/>
  <c r="Y4" i="1"/>
  <c r="Z4" i="1"/>
  <c r="AW4" i="1"/>
  <c r="AR4" i="1"/>
  <c r="AB4" i="1"/>
  <c r="AC4" i="1"/>
  <c r="AD4" i="1"/>
  <c r="AX4" i="1"/>
  <c r="BO4" i="1"/>
  <c r="BZ4" i="1"/>
  <c r="B5" i="1"/>
  <c r="V5" i="1"/>
  <c r="W5" i="1"/>
  <c r="X5" i="1"/>
  <c r="Y5" i="1"/>
  <c r="Z5" i="1"/>
  <c r="AW5" i="1"/>
  <c r="AR5" i="1"/>
  <c r="AB5" i="1"/>
  <c r="AC5" i="1"/>
  <c r="AD5" i="1"/>
  <c r="AX5" i="1"/>
  <c r="BO5" i="1"/>
  <c r="BZ5" i="1"/>
  <c r="B6" i="1"/>
  <c r="V6" i="1"/>
  <c r="W6" i="1"/>
  <c r="X6" i="1"/>
  <c r="Y6" i="1"/>
  <c r="Z6" i="1"/>
  <c r="AW6" i="1"/>
  <c r="AR6" i="1"/>
  <c r="AB6" i="1"/>
  <c r="AC6" i="1"/>
  <c r="AD6" i="1"/>
  <c r="AX6" i="1"/>
  <c r="BO6" i="1"/>
  <c r="BZ6" i="1"/>
  <c r="B7" i="1"/>
  <c r="V7" i="1"/>
  <c r="W7" i="1"/>
  <c r="X7" i="1"/>
  <c r="Y7" i="1"/>
  <c r="Z7" i="1"/>
  <c r="AW7" i="1"/>
  <c r="AR7" i="1"/>
  <c r="AB7" i="1"/>
  <c r="AC7" i="1"/>
  <c r="AD7" i="1"/>
  <c r="AX7" i="1"/>
  <c r="BO7" i="1"/>
  <c r="BZ7" i="1"/>
  <c r="B8" i="1"/>
  <c r="V8" i="1"/>
  <c r="W8" i="1"/>
  <c r="X8" i="1"/>
  <c r="Y8" i="1"/>
  <c r="Z8" i="1"/>
  <c r="AW8" i="1"/>
  <c r="AR8" i="1"/>
  <c r="AB8" i="1"/>
  <c r="AC8" i="1"/>
  <c r="AD8" i="1"/>
  <c r="AX8" i="1"/>
  <c r="BO8" i="1"/>
  <c r="BZ8" i="1"/>
  <c r="B9" i="1"/>
  <c r="V9" i="1"/>
  <c r="W9" i="1"/>
  <c r="X9" i="1"/>
  <c r="Y9" i="1"/>
  <c r="Z9" i="1"/>
  <c r="AW9" i="1"/>
  <c r="AR9" i="1"/>
  <c r="AB9" i="1"/>
  <c r="AC9" i="1"/>
  <c r="AD9" i="1"/>
  <c r="AX9" i="1"/>
  <c r="BO9" i="1"/>
  <c r="BZ9" i="1"/>
  <c r="B10" i="1"/>
  <c r="V10" i="1"/>
  <c r="W10" i="1"/>
  <c r="X10" i="1"/>
  <c r="Y10" i="1"/>
  <c r="Z10" i="1"/>
  <c r="AW10" i="1"/>
  <c r="AR10" i="1"/>
  <c r="AB10" i="1"/>
  <c r="AC10" i="1"/>
  <c r="AD10" i="1"/>
  <c r="AX10" i="1"/>
  <c r="BO10" i="1"/>
  <c r="BZ10" i="1"/>
  <c r="B11" i="1"/>
  <c r="V11" i="1"/>
  <c r="W11" i="1"/>
  <c r="X11" i="1"/>
  <c r="Y11" i="1"/>
  <c r="Z11" i="1"/>
  <c r="AW11" i="1"/>
  <c r="AR11" i="1"/>
  <c r="AB11" i="1"/>
  <c r="AC11" i="1"/>
  <c r="AD11" i="1"/>
  <c r="AX11" i="1"/>
  <c r="BO11" i="1"/>
  <c r="BZ11" i="1"/>
  <c r="B12" i="1"/>
  <c r="AX12" i="1"/>
  <c r="BO12" i="1"/>
  <c r="BZ12" i="1"/>
  <c r="B13" i="1"/>
  <c r="AX13" i="1"/>
  <c r="BO13" i="1"/>
  <c r="BZ13" i="1"/>
  <c r="B14" i="1"/>
  <c r="AX14" i="1"/>
  <c r="BO14" i="1"/>
  <c r="BZ14" i="1"/>
  <c r="B15" i="1"/>
  <c r="AX15" i="1"/>
  <c r="BO15" i="1"/>
  <c r="BZ15" i="1"/>
  <c r="B16" i="1"/>
  <c r="AX16" i="1"/>
  <c r="BO16" i="1"/>
  <c r="BZ16" i="1"/>
  <c r="B17" i="1"/>
  <c r="AX17" i="1"/>
  <c r="BO17" i="1"/>
  <c r="BZ17" i="1"/>
  <c r="B18" i="1"/>
  <c r="AX18" i="1"/>
  <c r="BO18" i="1"/>
  <c r="BZ18" i="1"/>
  <c r="B19" i="1"/>
  <c r="AX19" i="1"/>
  <c r="BO19" i="1"/>
  <c r="BZ19" i="1"/>
  <c r="B20" i="1"/>
  <c r="AX20" i="1"/>
  <c r="BO20" i="1"/>
  <c r="BZ20" i="1"/>
  <c r="B21" i="1"/>
  <c r="AX21" i="1"/>
  <c r="BO21" i="1"/>
  <c r="BZ21" i="1"/>
  <c r="B22" i="1"/>
  <c r="AX22" i="1"/>
  <c r="BO22" i="1"/>
  <c r="BZ22" i="1"/>
  <c r="B23" i="1"/>
  <c r="AX23" i="1"/>
  <c r="BO23" i="1"/>
  <c r="BZ23" i="1"/>
  <c r="CB4" i="1"/>
  <c r="AS4" i="1"/>
  <c r="AT4" i="1"/>
  <c r="AU4" i="1"/>
  <c r="AV4" i="1"/>
  <c r="AY4" i="1"/>
  <c r="BP4" i="1"/>
  <c r="BY4" i="1"/>
  <c r="AS5" i="1"/>
  <c r="AT5" i="1"/>
  <c r="AU5" i="1"/>
  <c r="AV5" i="1"/>
  <c r="AY5" i="1"/>
  <c r="BP5" i="1"/>
  <c r="BY5" i="1"/>
  <c r="AS6" i="1"/>
  <c r="AT6" i="1"/>
  <c r="AU6" i="1"/>
  <c r="AV6" i="1"/>
  <c r="AY6" i="1"/>
  <c r="BP6" i="1"/>
  <c r="BY6" i="1"/>
  <c r="AS7" i="1"/>
  <c r="AT7" i="1"/>
  <c r="AU7" i="1"/>
  <c r="AV7" i="1"/>
  <c r="AY7" i="1"/>
  <c r="BP7" i="1"/>
  <c r="BY7" i="1"/>
  <c r="AS8" i="1"/>
  <c r="AT8" i="1"/>
  <c r="AU8" i="1"/>
  <c r="AV8" i="1"/>
  <c r="AY8" i="1"/>
  <c r="BP8" i="1"/>
  <c r="BY8" i="1"/>
  <c r="AS9" i="1"/>
  <c r="AT9" i="1"/>
  <c r="AU9" i="1"/>
  <c r="AV9" i="1"/>
  <c r="AY9" i="1"/>
  <c r="BP9" i="1"/>
  <c r="BY9" i="1"/>
  <c r="AS10" i="1"/>
  <c r="AT10" i="1"/>
  <c r="AU10" i="1"/>
  <c r="AV10" i="1"/>
  <c r="AY10" i="1"/>
  <c r="BP10" i="1"/>
  <c r="BY10" i="1"/>
  <c r="AS11" i="1"/>
  <c r="AT11" i="1"/>
  <c r="AU11" i="1"/>
  <c r="AV11" i="1"/>
  <c r="AY11" i="1"/>
  <c r="BP11" i="1"/>
  <c r="BY11" i="1"/>
  <c r="AY12" i="1"/>
  <c r="BP12" i="1"/>
  <c r="BY12" i="1"/>
  <c r="AY13" i="1"/>
  <c r="BP13" i="1"/>
  <c r="BY13" i="1"/>
  <c r="AY14" i="1"/>
  <c r="BP14" i="1"/>
  <c r="BY14" i="1"/>
  <c r="AY15" i="1"/>
  <c r="BP15" i="1"/>
  <c r="BY15" i="1"/>
  <c r="AY16" i="1"/>
  <c r="BP16" i="1"/>
  <c r="BY16" i="1"/>
  <c r="AY17" i="1"/>
  <c r="BP17" i="1"/>
  <c r="BY17" i="1"/>
  <c r="AY18" i="1"/>
  <c r="BP18" i="1"/>
  <c r="BY18" i="1"/>
  <c r="AY19" i="1"/>
  <c r="BP19" i="1"/>
  <c r="BY19" i="1"/>
  <c r="AY20" i="1"/>
  <c r="BP20" i="1"/>
  <c r="BY20" i="1"/>
  <c r="AY21" i="1"/>
  <c r="BP21" i="1"/>
  <c r="BY21" i="1"/>
  <c r="AY22" i="1"/>
  <c r="BP22" i="1"/>
  <c r="BY22" i="1"/>
  <c r="AY23" i="1"/>
  <c r="BP23" i="1"/>
  <c r="BY23" i="1"/>
  <c r="CA4" i="1"/>
  <c r="BW4" i="1"/>
  <c r="BV4" i="1"/>
  <c r="BX5" i="1"/>
  <c r="CB5" i="1"/>
  <c r="CA5" i="1"/>
  <c r="BW5" i="1"/>
  <c r="BV5" i="1"/>
  <c r="BX6" i="1"/>
  <c r="CB6" i="1"/>
  <c r="CA6" i="1"/>
  <c r="BW6" i="1"/>
  <c r="BV6" i="1"/>
  <c r="BX7" i="1"/>
  <c r="CB7" i="1"/>
  <c r="CA7" i="1"/>
  <c r="BW7" i="1"/>
  <c r="BV7" i="1"/>
  <c r="BX8" i="1"/>
  <c r="CB8" i="1"/>
  <c r="CA8" i="1"/>
  <c r="BW8" i="1"/>
  <c r="BV8" i="1"/>
  <c r="BX9" i="1"/>
  <c r="CB9" i="1"/>
  <c r="CA9" i="1"/>
  <c r="BW9" i="1"/>
  <c r="BV9" i="1"/>
  <c r="BX10" i="1"/>
  <c r="CB10" i="1"/>
  <c r="CA10" i="1"/>
  <c r="BW10" i="1"/>
  <c r="BV10" i="1"/>
  <c r="BX11" i="1"/>
  <c r="CB11" i="1"/>
  <c r="CA11" i="1"/>
  <c r="BW11" i="1"/>
  <c r="BV11" i="1"/>
  <c r="BX12" i="1"/>
  <c r="BW12" i="1"/>
  <c r="BV12" i="1"/>
  <c r="BX13" i="1"/>
  <c r="BW13" i="1"/>
  <c r="BV13" i="1"/>
  <c r="BX14" i="1"/>
  <c r="BW14" i="1"/>
  <c r="BV14" i="1"/>
  <c r="BX15" i="1"/>
  <c r="BW15" i="1"/>
  <c r="BV15" i="1"/>
  <c r="BX16" i="1"/>
  <c r="BW16" i="1"/>
  <c r="BV16" i="1"/>
  <c r="BX17" i="1"/>
  <c r="BW17" i="1"/>
  <c r="BV17" i="1"/>
  <c r="BX18" i="1"/>
  <c r="BW18" i="1"/>
  <c r="BV18" i="1"/>
  <c r="BX19" i="1"/>
  <c r="BW19" i="1"/>
  <c r="BV19" i="1"/>
  <c r="BX20" i="1"/>
  <c r="BW20" i="1"/>
  <c r="BV20" i="1"/>
  <c r="BX21" i="1"/>
  <c r="BW21" i="1"/>
  <c r="BV21" i="1"/>
  <c r="BX22" i="1"/>
  <c r="BW22" i="1"/>
  <c r="BV22" i="1"/>
  <c r="BX23" i="1"/>
  <c r="BW23" i="1"/>
  <c r="BV23" i="1"/>
  <c r="CD25" i="1" a="1"/>
  <c r="CD25" i="1"/>
  <c r="CH4" i="1"/>
  <c r="BL4" i="1"/>
  <c r="BS4" i="1"/>
  <c r="CJ4" i="1"/>
  <c r="BL5" i="1"/>
  <c r="BS5" i="1"/>
  <c r="CJ5" i="1"/>
  <c r="BL6" i="1"/>
  <c r="BS6" i="1"/>
  <c r="CJ6" i="1"/>
  <c r="BL7" i="1"/>
  <c r="BS7" i="1"/>
  <c r="CJ7" i="1"/>
  <c r="BL8" i="1"/>
  <c r="BS8" i="1"/>
  <c r="CJ8" i="1"/>
  <c r="BL9" i="1"/>
  <c r="BS9" i="1"/>
  <c r="CJ9" i="1"/>
  <c r="BL10" i="1"/>
  <c r="BS10" i="1"/>
  <c r="CJ10" i="1"/>
  <c r="BL11" i="1"/>
  <c r="BS11" i="1"/>
  <c r="CJ11" i="1"/>
  <c r="BL12" i="1"/>
  <c r="BS12" i="1"/>
  <c r="CJ12" i="1"/>
  <c r="BL13" i="1"/>
  <c r="BS13" i="1"/>
  <c r="CJ13" i="1"/>
  <c r="BL14" i="1"/>
  <c r="BS14" i="1"/>
  <c r="CJ14" i="1"/>
  <c r="BL15" i="1"/>
  <c r="BS15" i="1"/>
  <c r="CJ15" i="1"/>
  <c r="BL16" i="1"/>
  <c r="BS16" i="1"/>
  <c r="CJ16" i="1"/>
  <c r="BL17" i="1"/>
  <c r="BS17" i="1"/>
  <c r="CJ17" i="1"/>
  <c r="BL18" i="1"/>
  <c r="BS18" i="1"/>
  <c r="CJ18" i="1"/>
  <c r="BL19" i="1"/>
  <c r="BS19" i="1"/>
  <c r="CJ19" i="1"/>
  <c r="BL20" i="1"/>
  <c r="BS20" i="1"/>
  <c r="CJ20" i="1"/>
  <c r="BL21" i="1"/>
  <c r="BS21" i="1"/>
  <c r="CJ21" i="1"/>
  <c r="BL22" i="1"/>
  <c r="BS22" i="1"/>
  <c r="CJ22" i="1"/>
  <c r="BL23" i="1"/>
  <c r="BS23" i="1"/>
  <c r="CJ23" i="1"/>
  <c r="CL4" i="1"/>
  <c r="CI4" i="1"/>
  <c r="CI5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K4" i="1"/>
  <c r="CG4" i="1"/>
  <c r="CF4" i="1"/>
  <c r="CH5" i="1"/>
  <c r="CL5" i="1"/>
  <c r="CK5" i="1"/>
  <c r="CG5" i="1"/>
  <c r="CF5" i="1"/>
  <c r="CH6" i="1"/>
  <c r="CL6" i="1"/>
  <c r="CK6" i="1"/>
  <c r="CG6" i="1"/>
  <c r="CF6" i="1"/>
  <c r="CH7" i="1"/>
  <c r="CL7" i="1"/>
  <c r="CK7" i="1"/>
  <c r="CG7" i="1"/>
  <c r="CF7" i="1"/>
  <c r="CH8" i="1"/>
  <c r="CL8" i="1"/>
  <c r="CK8" i="1"/>
  <c r="CG8" i="1"/>
  <c r="CF8" i="1"/>
  <c r="CH9" i="1"/>
  <c r="CL9" i="1"/>
  <c r="CK9" i="1"/>
  <c r="CG9" i="1"/>
  <c r="CF9" i="1"/>
  <c r="CH10" i="1"/>
  <c r="CL10" i="1"/>
  <c r="CK10" i="1"/>
  <c r="CG10" i="1"/>
  <c r="CF10" i="1"/>
  <c r="CH11" i="1"/>
  <c r="CL11" i="1"/>
  <c r="CK11" i="1"/>
  <c r="CG11" i="1"/>
  <c r="CF11" i="1"/>
  <c r="CH12" i="1"/>
  <c r="CG12" i="1"/>
  <c r="CF12" i="1"/>
  <c r="CH13" i="1"/>
  <c r="CG13" i="1"/>
  <c r="CF13" i="1"/>
  <c r="CH14" i="1"/>
  <c r="CG14" i="1"/>
  <c r="CF14" i="1"/>
  <c r="CH15" i="1"/>
  <c r="CG15" i="1"/>
  <c r="CF15" i="1"/>
  <c r="CH16" i="1"/>
  <c r="CG16" i="1"/>
  <c r="CF16" i="1"/>
  <c r="CH17" i="1"/>
  <c r="CG17" i="1"/>
  <c r="CF17" i="1"/>
  <c r="CH18" i="1"/>
  <c r="CG18" i="1"/>
  <c r="CF18" i="1"/>
  <c r="CH19" i="1"/>
  <c r="CG19" i="1"/>
  <c r="CF19" i="1"/>
  <c r="CH20" i="1"/>
  <c r="CG20" i="1"/>
  <c r="CF20" i="1"/>
  <c r="CH21" i="1"/>
  <c r="CG21" i="1"/>
  <c r="CF21" i="1"/>
  <c r="CH22" i="1"/>
  <c r="CG22" i="1"/>
  <c r="CF22" i="1"/>
  <c r="CH23" i="1"/>
  <c r="CG23" i="1"/>
  <c r="CF23" i="1"/>
  <c r="CG25" i="1" a="1"/>
  <c r="CG25" i="1"/>
  <c r="AQ23" i="1"/>
  <c r="E68" i="1"/>
  <c r="AI23" i="1"/>
  <c r="I68" i="1"/>
  <c r="S68" i="1"/>
  <c r="U23" i="1"/>
  <c r="V23" i="1"/>
  <c r="W23" i="1"/>
  <c r="X23" i="1"/>
  <c r="Y23" i="1"/>
  <c r="P68" i="1"/>
  <c r="AQ22" i="1"/>
  <c r="E67" i="1"/>
  <c r="AI22" i="1"/>
  <c r="I67" i="1"/>
  <c r="S67" i="1"/>
  <c r="U22" i="1"/>
  <c r="V22" i="1"/>
  <c r="W22" i="1"/>
  <c r="X22" i="1"/>
  <c r="Y22" i="1"/>
  <c r="P67" i="1"/>
  <c r="AQ21" i="1"/>
  <c r="E66" i="1"/>
  <c r="AI21" i="1"/>
  <c r="I66" i="1"/>
  <c r="S66" i="1"/>
  <c r="U21" i="1"/>
  <c r="V21" i="1"/>
  <c r="W21" i="1"/>
  <c r="X21" i="1"/>
  <c r="Y21" i="1"/>
  <c r="P66" i="1"/>
  <c r="AQ20" i="1"/>
  <c r="E65" i="1"/>
  <c r="AI20" i="1"/>
  <c r="I65" i="1"/>
  <c r="S65" i="1"/>
  <c r="U20" i="1"/>
  <c r="V20" i="1"/>
  <c r="W20" i="1"/>
  <c r="X20" i="1"/>
  <c r="Y20" i="1"/>
  <c r="P65" i="1"/>
  <c r="AQ19" i="1"/>
  <c r="E64" i="1"/>
  <c r="AI19" i="1"/>
  <c r="I64" i="1"/>
  <c r="S64" i="1"/>
  <c r="U19" i="1"/>
  <c r="V19" i="1"/>
  <c r="W19" i="1"/>
  <c r="X19" i="1"/>
  <c r="Y19" i="1"/>
  <c r="P64" i="1"/>
  <c r="AQ18" i="1"/>
  <c r="E63" i="1"/>
  <c r="AI18" i="1"/>
  <c r="I63" i="1"/>
  <c r="S63" i="1"/>
  <c r="U18" i="1"/>
  <c r="V18" i="1"/>
  <c r="W18" i="1"/>
  <c r="X18" i="1"/>
  <c r="Y18" i="1"/>
  <c r="P63" i="1"/>
  <c r="AQ17" i="1"/>
  <c r="E62" i="1"/>
  <c r="AI17" i="1"/>
  <c r="I62" i="1"/>
  <c r="S62" i="1"/>
  <c r="U17" i="1"/>
  <c r="V17" i="1"/>
  <c r="W17" i="1"/>
  <c r="X17" i="1"/>
  <c r="Y17" i="1"/>
  <c r="P62" i="1"/>
  <c r="AQ16" i="1"/>
  <c r="E61" i="1"/>
  <c r="AI16" i="1"/>
  <c r="I61" i="1"/>
  <c r="S61" i="1"/>
  <c r="U16" i="1"/>
  <c r="V16" i="1"/>
  <c r="W16" i="1"/>
  <c r="X16" i="1"/>
  <c r="Y16" i="1"/>
  <c r="P61" i="1"/>
  <c r="AQ15" i="1"/>
  <c r="E60" i="1"/>
  <c r="AI15" i="1"/>
  <c r="I60" i="1"/>
  <c r="S60" i="1"/>
  <c r="U15" i="1"/>
  <c r="V15" i="1"/>
  <c r="W15" i="1"/>
  <c r="X15" i="1"/>
  <c r="Y15" i="1"/>
  <c r="P60" i="1"/>
  <c r="AQ14" i="1"/>
  <c r="E59" i="1"/>
  <c r="AI14" i="1"/>
  <c r="I59" i="1"/>
  <c r="S59" i="1"/>
  <c r="U14" i="1"/>
  <c r="V14" i="1"/>
  <c r="W14" i="1"/>
  <c r="X14" i="1"/>
  <c r="Y14" i="1"/>
  <c r="P59" i="1"/>
  <c r="AQ13" i="1"/>
  <c r="E58" i="1"/>
  <c r="AI13" i="1"/>
  <c r="I58" i="1"/>
  <c r="S58" i="1"/>
  <c r="U13" i="1"/>
  <c r="V13" i="1"/>
  <c r="W13" i="1"/>
  <c r="X13" i="1"/>
  <c r="Y13" i="1"/>
  <c r="P58" i="1"/>
  <c r="AQ12" i="1"/>
  <c r="E57" i="1"/>
  <c r="AI12" i="1"/>
  <c r="I57" i="1"/>
  <c r="S57" i="1"/>
  <c r="U12" i="1"/>
  <c r="V12" i="1"/>
  <c r="W12" i="1"/>
  <c r="X12" i="1"/>
  <c r="Y12" i="1"/>
  <c r="P57" i="1"/>
  <c r="E11" i="1"/>
  <c r="P56" i="1"/>
  <c r="AE11" i="1"/>
  <c r="AF11" i="1"/>
  <c r="AG11" i="1"/>
  <c r="AI11" i="1"/>
  <c r="I56" i="1"/>
  <c r="E10" i="1"/>
  <c r="P55" i="1"/>
  <c r="AE10" i="1"/>
  <c r="AF10" i="1"/>
  <c r="AG10" i="1"/>
  <c r="AI10" i="1"/>
  <c r="I55" i="1"/>
  <c r="E9" i="1"/>
  <c r="P54" i="1"/>
  <c r="AE9" i="1"/>
  <c r="AF9" i="1"/>
  <c r="AG9" i="1"/>
  <c r="AI9" i="1"/>
  <c r="I54" i="1"/>
  <c r="E8" i="1"/>
  <c r="P53" i="1"/>
  <c r="E4" i="1"/>
  <c r="AE4" i="1"/>
  <c r="AF4" i="1"/>
  <c r="AG4" i="1"/>
  <c r="AI4" i="1"/>
  <c r="I49" i="1"/>
  <c r="E5" i="1"/>
  <c r="AE5" i="1"/>
  <c r="AF5" i="1"/>
  <c r="AG5" i="1"/>
  <c r="AI5" i="1"/>
  <c r="I50" i="1"/>
  <c r="AE6" i="1"/>
  <c r="AF6" i="1"/>
  <c r="AG6" i="1"/>
  <c r="AI6" i="1"/>
  <c r="I51" i="1"/>
  <c r="AE7" i="1"/>
  <c r="AF7" i="1"/>
  <c r="AG7" i="1"/>
  <c r="AI7" i="1"/>
  <c r="I52" i="1"/>
  <c r="AE8" i="1"/>
  <c r="AF8" i="1"/>
  <c r="AG8" i="1"/>
  <c r="AI8" i="1"/>
  <c r="I53" i="1"/>
  <c r="K53" i="1"/>
  <c r="E7" i="1"/>
  <c r="P52" i="1"/>
  <c r="K52" i="1"/>
  <c r="E6" i="1"/>
  <c r="P51" i="1"/>
  <c r="K51" i="1"/>
  <c r="P50" i="1"/>
  <c r="K50" i="1"/>
  <c r="P49" i="1"/>
  <c r="K49" i="1"/>
  <c r="B28" i="1"/>
  <c r="C28" i="1"/>
  <c r="S28" i="1"/>
  <c r="T28" i="1"/>
  <c r="G28" i="1"/>
  <c r="M28" i="1"/>
  <c r="A28" i="1"/>
  <c r="B29" i="1"/>
  <c r="C29" i="1"/>
  <c r="S29" i="1"/>
  <c r="T29" i="1"/>
  <c r="G29" i="1"/>
  <c r="M29" i="1"/>
  <c r="A29" i="1"/>
  <c r="B30" i="1"/>
  <c r="C30" i="1"/>
  <c r="S30" i="1"/>
  <c r="T30" i="1"/>
  <c r="G30" i="1"/>
  <c r="M30" i="1"/>
  <c r="A30" i="1"/>
  <c r="B31" i="1"/>
  <c r="C31" i="1"/>
  <c r="S31" i="1"/>
  <c r="T31" i="1"/>
  <c r="G31" i="1"/>
  <c r="M31" i="1"/>
  <c r="A31" i="1"/>
  <c r="B32" i="1"/>
  <c r="C32" i="1"/>
  <c r="S32" i="1"/>
  <c r="T32" i="1"/>
  <c r="G32" i="1"/>
  <c r="M32" i="1"/>
  <c r="A32" i="1"/>
  <c r="B33" i="1"/>
  <c r="C33" i="1"/>
  <c r="S33" i="1"/>
  <c r="T33" i="1"/>
  <c r="G33" i="1"/>
  <c r="M33" i="1"/>
  <c r="A33" i="1"/>
  <c r="B34" i="1"/>
  <c r="C34" i="1"/>
  <c r="S34" i="1"/>
  <c r="T34" i="1"/>
  <c r="G34" i="1"/>
  <c r="M34" i="1"/>
  <c r="A34" i="1"/>
  <c r="B35" i="1"/>
  <c r="C35" i="1"/>
  <c r="S35" i="1"/>
  <c r="T35" i="1"/>
  <c r="G35" i="1"/>
  <c r="M35" i="1"/>
  <c r="A35" i="1"/>
  <c r="B36" i="1"/>
  <c r="S36" i="1"/>
  <c r="T36" i="1"/>
  <c r="AV12" i="1"/>
  <c r="G36" i="1"/>
  <c r="M36" i="1"/>
  <c r="A36" i="1"/>
  <c r="B37" i="1"/>
  <c r="S37" i="1"/>
  <c r="T37" i="1"/>
  <c r="AV13" i="1"/>
  <c r="G37" i="1"/>
  <c r="M37" i="1"/>
  <c r="A37" i="1"/>
  <c r="B38" i="1"/>
  <c r="S38" i="1"/>
  <c r="T38" i="1"/>
  <c r="AV14" i="1"/>
  <c r="G38" i="1"/>
  <c r="M38" i="1"/>
  <c r="A38" i="1"/>
  <c r="B39" i="1"/>
  <c r="S39" i="1"/>
  <c r="T39" i="1"/>
  <c r="AV15" i="1"/>
  <c r="G39" i="1"/>
  <c r="M39" i="1"/>
  <c r="A39" i="1"/>
  <c r="B40" i="1"/>
  <c r="S40" i="1"/>
  <c r="T40" i="1"/>
  <c r="AV16" i="1"/>
  <c r="G40" i="1"/>
  <c r="M40" i="1"/>
  <c r="A40" i="1"/>
  <c r="B41" i="1"/>
  <c r="S41" i="1"/>
  <c r="T41" i="1"/>
  <c r="AV17" i="1"/>
  <c r="G41" i="1"/>
  <c r="M41" i="1"/>
  <c r="A41" i="1"/>
  <c r="B42" i="1"/>
  <c r="S42" i="1"/>
  <c r="T42" i="1"/>
  <c r="AV18" i="1"/>
  <c r="G42" i="1"/>
  <c r="M42" i="1"/>
  <c r="A42" i="1"/>
  <c r="B43" i="1"/>
  <c r="S43" i="1"/>
  <c r="T43" i="1"/>
  <c r="AV19" i="1"/>
  <c r="G43" i="1"/>
  <c r="M43" i="1"/>
  <c r="A43" i="1"/>
  <c r="B44" i="1"/>
  <c r="S44" i="1"/>
  <c r="T44" i="1"/>
  <c r="AV20" i="1"/>
  <c r="G44" i="1"/>
  <c r="M44" i="1"/>
  <c r="A44" i="1"/>
  <c r="B45" i="1"/>
  <c r="S45" i="1"/>
  <c r="T45" i="1"/>
  <c r="AV21" i="1"/>
  <c r="G45" i="1"/>
  <c r="M45" i="1"/>
  <c r="A45" i="1"/>
  <c r="B46" i="1"/>
  <c r="S46" i="1"/>
  <c r="T46" i="1"/>
  <c r="AV22" i="1"/>
  <c r="G46" i="1"/>
  <c r="M46" i="1"/>
  <c r="A46" i="1"/>
  <c r="B47" i="1"/>
  <c r="S47" i="1"/>
  <c r="T47" i="1"/>
  <c r="AV23" i="1"/>
  <c r="G47" i="1"/>
  <c r="M47" i="1"/>
  <c r="A47" i="1"/>
  <c r="V28" i="1"/>
  <c r="AR28" i="1"/>
  <c r="AT28" i="1"/>
  <c r="AU28" i="1"/>
  <c r="AZ4" i="1"/>
  <c r="BA4" i="1"/>
  <c r="BB4" i="1"/>
  <c r="BC4" i="1"/>
  <c r="BD4" i="1"/>
  <c r="BD10" i="1"/>
  <c r="AV28" i="1"/>
  <c r="AZ10" i="1"/>
  <c r="BA10" i="1"/>
  <c r="BB10" i="1"/>
  <c r="BC10" i="1"/>
  <c r="AW28" i="1"/>
  <c r="BE4" i="1"/>
  <c r="BH4" i="1"/>
  <c r="BF4" i="1"/>
  <c r="BI4" i="1"/>
  <c r="BG4" i="1"/>
  <c r="BJ4" i="1"/>
  <c r="BK4" i="1"/>
  <c r="BM4" i="1"/>
  <c r="BE10" i="1"/>
  <c r="BH10" i="1"/>
  <c r="BF10" i="1"/>
  <c r="BI10" i="1"/>
  <c r="BG10" i="1"/>
  <c r="BJ10" i="1"/>
  <c r="BK10" i="1"/>
  <c r="BM10" i="1"/>
  <c r="AX28" i="1"/>
  <c r="AY28" i="1"/>
  <c r="V29" i="1"/>
  <c r="AR29" i="1"/>
  <c r="AT29" i="1"/>
  <c r="AU29" i="1"/>
  <c r="BD11" i="1"/>
  <c r="AV29" i="1"/>
  <c r="AZ11" i="1"/>
  <c r="BA11" i="1"/>
  <c r="BB11" i="1"/>
  <c r="BC11" i="1"/>
  <c r="AW29" i="1"/>
  <c r="BE11" i="1"/>
  <c r="BH11" i="1"/>
  <c r="BF11" i="1"/>
  <c r="BI11" i="1"/>
  <c r="BG11" i="1"/>
  <c r="BJ11" i="1"/>
  <c r="BK11" i="1"/>
  <c r="BM11" i="1"/>
  <c r="AX29" i="1"/>
  <c r="AY29" i="1"/>
  <c r="V30" i="1"/>
  <c r="AR30" i="1"/>
  <c r="AT30" i="1"/>
  <c r="AU30" i="1"/>
  <c r="BD5" i="1"/>
  <c r="AV30" i="1"/>
  <c r="AZ5" i="1"/>
  <c r="BA5" i="1"/>
  <c r="BB5" i="1"/>
  <c r="BC5" i="1"/>
  <c r="AW30" i="1"/>
  <c r="BE5" i="1"/>
  <c r="BH5" i="1"/>
  <c r="BF5" i="1"/>
  <c r="BI5" i="1"/>
  <c r="BG5" i="1"/>
  <c r="BJ5" i="1"/>
  <c r="BK5" i="1"/>
  <c r="BM5" i="1"/>
  <c r="AX30" i="1"/>
  <c r="AY30" i="1"/>
  <c r="V31" i="1"/>
  <c r="AR31" i="1"/>
  <c r="AT31" i="1"/>
  <c r="AU31" i="1"/>
  <c r="BD6" i="1"/>
  <c r="AV31" i="1"/>
  <c r="AZ6" i="1"/>
  <c r="BA6" i="1"/>
  <c r="BB6" i="1"/>
  <c r="BC6" i="1"/>
  <c r="AW31" i="1"/>
  <c r="BE6" i="1"/>
  <c r="BH6" i="1"/>
  <c r="BF6" i="1"/>
  <c r="BI6" i="1"/>
  <c r="BG6" i="1"/>
  <c r="BJ6" i="1"/>
  <c r="BK6" i="1"/>
  <c r="BM6" i="1"/>
  <c r="AX31" i="1"/>
  <c r="AY31" i="1"/>
  <c r="V32" i="1"/>
  <c r="AR32" i="1"/>
  <c r="AT32" i="1"/>
  <c r="AU32" i="1"/>
  <c r="AV32" i="1"/>
  <c r="AW32" i="1"/>
  <c r="AX32" i="1"/>
  <c r="AY32" i="1"/>
  <c r="V33" i="1"/>
  <c r="AR33" i="1"/>
  <c r="AT33" i="1"/>
  <c r="AU33" i="1"/>
  <c r="BD8" i="1"/>
  <c r="AV33" i="1"/>
  <c r="AZ8" i="1"/>
  <c r="BA8" i="1"/>
  <c r="BB8" i="1"/>
  <c r="BC8" i="1"/>
  <c r="AW33" i="1"/>
  <c r="BE8" i="1"/>
  <c r="BH8" i="1"/>
  <c r="BF8" i="1"/>
  <c r="BI8" i="1"/>
  <c r="BG8" i="1"/>
  <c r="BJ8" i="1"/>
  <c r="BK8" i="1"/>
  <c r="BM8" i="1"/>
  <c r="AX33" i="1"/>
  <c r="AY33" i="1"/>
  <c r="V34" i="1"/>
  <c r="AR34" i="1"/>
  <c r="AT34" i="1"/>
  <c r="AU34" i="1"/>
  <c r="AZ7" i="1"/>
  <c r="BA7" i="1"/>
  <c r="BB7" i="1"/>
  <c r="BC7" i="1"/>
  <c r="BD7" i="1"/>
  <c r="AV34" i="1"/>
  <c r="AW34" i="1"/>
  <c r="BE7" i="1"/>
  <c r="BH7" i="1"/>
  <c r="BF7" i="1"/>
  <c r="BI7" i="1"/>
  <c r="BG7" i="1"/>
  <c r="BJ7" i="1"/>
  <c r="BK7" i="1"/>
  <c r="BM7" i="1"/>
  <c r="AX34" i="1"/>
  <c r="AY34" i="1"/>
  <c r="V35" i="1"/>
  <c r="AR35" i="1"/>
  <c r="AT35" i="1"/>
  <c r="AU35" i="1"/>
  <c r="AZ9" i="1"/>
  <c r="BA9" i="1"/>
  <c r="BB9" i="1"/>
  <c r="BC9" i="1"/>
  <c r="BD9" i="1"/>
  <c r="AV35" i="1"/>
  <c r="AW35" i="1"/>
  <c r="BE9" i="1"/>
  <c r="BH9" i="1"/>
  <c r="BF9" i="1"/>
  <c r="BI9" i="1"/>
  <c r="BG9" i="1"/>
  <c r="BJ9" i="1"/>
  <c r="BK9" i="1"/>
  <c r="BM9" i="1"/>
  <c r="AX35" i="1"/>
  <c r="AY35" i="1"/>
  <c r="V36" i="1"/>
  <c r="AJ36" i="1"/>
  <c r="AR36" i="1"/>
  <c r="AS36" i="1"/>
  <c r="AT36" i="1"/>
  <c r="AU36" i="1"/>
  <c r="AV36" i="1"/>
  <c r="AW36" i="1"/>
  <c r="AX36" i="1"/>
  <c r="AY36" i="1"/>
  <c r="AI36" i="1"/>
  <c r="V37" i="1"/>
  <c r="AR37" i="1"/>
  <c r="AS37" i="1"/>
  <c r="AT37" i="1"/>
  <c r="AU37" i="1"/>
  <c r="AV37" i="1"/>
  <c r="AW37" i="1"/>
  <c r="AX37" i="1"/>
  <c r="AY37" i="1"/>
  <c r="AI37" i="1"/>
  <c r="V38" i="1"/>
  <c r="AR38" i="1"/>
  <c r="AS38" i="1"/>
  <c r="AT38" i="1"/>
  <c r="AU38" i="1"/>
  <c r="AV38" i="1"/>
  <c r="AW38" i="1"/>
  <c r="AX38" i="1"/>
  <c r="AY38" i="1"/>
  <c r="AI38" i="1"/>
  <c r="V39" i="1"/>
  <c r="AR39" i="1"/>
  <c r="AS39" i="1"/>
  <c r="AT39" i="1"/>
  <c r="AU39" i="1"/>
  <c r="AV39" i="1"/>
  <c r="AW39" i="1"/>
  <c r="AX39" i="1"/>
  <c r="AY39" i="1"/>
  <c r="AI39" i="1"/>
  <c r="V40" i="1"/>
  <c r="AR40" i="1"/>
  <c r="AS40" i="1"/>
  <c r="AT40" i="1"/>
  <c r="AU40" i="1"/>
  <c r="AV40" i="1"/>
  <c r="AW40" i="1"/>
  <c r="AX40" i="1"/>
  <c r="AY40" i="1"/>
  <c r="AI40" i="1"/>
  <c r="V41" i="1"/>
  <c r="AR41" i="1"/>
  <c r="AS41" i="1"/>
  <c r="AT41" i="1"/>
  <c r="AU41" i="1"/>
  <c r="AV41" i="1"/>
  <c r="AW41" i="1"/>
  <c r="AX41" i="1"/>
  <c r="AY41" i="1"/>
  <c r="AI41" i="1"/>
  <c r="V42" i="1"/>
  <c r="AR42" i="1"/>
  <c r="AS42" i="1"/>
  <c r="AT42" i="1"/>
  <c r="AU42" i="1"/>
  <c r="AV42" i="1"/>
  <c r="AW42" i="1"/>
  <c r="AX42" i="1"/>
  <c r="AY42" i="1"/>
  <c r="AI42" i="1"/>
  <c r="V43" i="1"/>
  <c r="AR43" i="1"/>
  <c r="AS43" i="1"/>
  <c r="AT43" i="1"/>
  <c r="AU43" i="1"/>
  <c r="AV43" i="1"/>
  <c r="AW43" i="1"/>
  <c r="AX43" i="1"/>
  <c r="AY43" i="1"/>
  <c r="AI43" i="1"/>
  <c r="V44" i="1"/>
  <c r="AR44" i="1"/>
  <c r="AS44" i="1"/>
  <c r="AT44" i="1"/>
  <c r="AU44" i="1"/>
  <c r="AV44" i="1"/>
  <c r="AW44" i="1"/>
  <c r="AX44" i="1"/>
  <c r="AY44" i="1"/>
  <c r="AI44" i="1"/>
  <c r="V45" i="1"/>
  <c r="AR45" i="1"/>
  <c r="AS45" i="1"/>
  <c r="AT45" i="1"/>
  <c r="AU45" i="1"/>
  <c r="AV45" i="1"/>
  <c r="AW45" i="1"/>
  <c r="AX45" i="1"/>
  <c r="AY45" i="1"/>
  <c r="AI45" i="1"/>
  <c r="V46" i="1"/>
  <c r="AR46" i="1"/>
  <c r="AS46" i="1"/>
  <c r="AT46" i="1"/>
  <c r="AU46" i="1"/>
  <c r="AV46" i="1"/>
  <c r="AW46" i="1"/>
  <c r="AX46" i="1"/>
  <c r="AY46" i="1"/>
  <c r="AI46" i="1"/>
  <c r="V47" i="1"/>
  <c r="AR47" i="1"/>
  <c r="AS47" i="1"/>
  <c r="AT47" i="1"/>
  <c r="AU47" i="1"/>
  <c r="AV47" i="1"/>
  <c r="AW47" i="1"/>
  <c r="AX47" i="1"/>
  <c r="AY47" i="1"/>
  <c r="AI47" i="1"/>
  <c r="AJ28" i="1"/>
  <c r="AJ29" i="1"/>
  <c r="AJ30" i="1"/>
  <c r="AJ31" i="1"/>
  <c r="AJ32" i="1"/>
  <c r="AJ33" i="1"/>
  <c r="AJ34" i="1"/>
  <c r="AJ35" i="1"/>
  <c r="AJ37" i="1"/>
  <c r="AJ38" i="1"/>
  <c r="AJ39" i="1"/>
  <c r="AJ40" i="1"/>
  <c r="AJ41" i="1"/>
  <c r="AJ42" i="1"/>
  <c r="AJ43" i="1"/>
  <c r="AJ44" i="1"/>
  <c r="AJ45" i="1"/>
  <c r="AJ46" i="1"/>
  <c r="AJ47" i="1"/>
  <c r="BB38" i="1"/>
  <c r="BB39" i="1"/>
  <c r="BB40" i="1"/>
  <c r="BB41" i="1"/>
  <c r="BB42" i="1"/>
  <c r="BB43" i="1"/>
  <c r="BB44" i="1"/>
  <c r="BB45" i="1"/>
  <c r="BB46" i="1"/>
  <c r="BB47" i="1"/>
  <c r="AZ38" i="1"/>
  <c r="AH38" i="1"/>
  <c r="AZ39" i="1"/>
  <c r="AH39" i="1"/>
  <c r="AZ40" i="1"/>
  <c r="AH40" i="1"/>
  <c r="AZ41" i="1"/>
  <c r="AH41" i="1"/>
  <c r="AZ42" i="1"/>
  <c r="AH42" i="1"/>
  <c r="AZ43" i="1"/>
  <c r="AH43" i="1"/>
  <c r="AZ44" i="1"/>
  <c r="AH44" i="1"/>
  <c r="AZ45" i="1"/>
  <c r="AH45" i="1"/>
  <c r="AZ46" i="1"/>
  <c r="AH46" i="1"/>
  <c r="AZ47" i="1"/>
  <c r="AH47" i="1"/>
  <c r="AY48" i="1" a="1"/>
  <c r="AY48" i="1"/>
  <c r="AX48" i="1" a="1"/>
  <c r="AX48" i="1"/>
  <c r="AW48" i="1" a="1"/>
  <c r="AW48" i="1"/>
  <c r="AV48" i="1" a="1"/>
  <c r="AV48" i="1"/>
  <c r="AU48" i="1" a="1"/>
  <c r="AU48" i="1"/>
  <c r="AT48" i="1" a="1"/>
  <c r="AT48" i="1"/>
  <c r="AR48" i="1" a="1"/>
  <c r="AR48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BL47" i="1"/>
  <c r="BK47" i="1"/>
  <c r="BJ47" i="1"/>
  <c r="BI47" i="1"/>
  <c r="BH47" i="1"/>
  <c r="BG47" i="1"/>
  <c r="BF47" i="1"/>
  <c r="BD47" i="1"/>
  <c r="AQ47" i="1"/>
  <c r="AP47" i="1"/>
  <c r="AO47" i="1"/>
  <c r="AN47" i="1"/>
  <c r="AM47" i="1"/>
  <c r="AL47" i="1"/>
  <c r="AK47" i="1"/>
  <c r="AF47" i="1"/>
  <c r="AH23" i="1"/>
  <c r="AE47" i="1"/>
  <c r="AC47" i="1"/>
  <c r="AB47" i="1"/>
  <c r="AA47" i="1"/>
  <c r="Z47" i="1"/>
  <c r="Y47" i="1"/>
  <c r="X47" i="1"/>
  <c r="W47" i="1"/>
  <c r="O47" i="1"/>
  <c r="L47" i="1"/>
  <c r="K47" i="1"/>
  <c r="J47" i="1"/>
  <c r="I47" i="1"/>
  <c r="H47" i="1"/>
  <c r="F47" i="1"/>
  <c r="E47" i="1"/>
  <c r="D47" i="1"/>
  <c r="C47" i="1"/>
  <c r="BL46" i="1"/>
  <c r="BK46" i="1"/>
  <c r="BJ46" i="1"/>
  <c r="BI46" i="1"/>
  <c r="BH46" i="1"/>
  <c r="BG46" i="1"/>
  <c r="BF46" i="1"/>
  <c r="BD46" i="1"/>
  <c r="AQ46" i="1"/>
  <c r="AP46" i="1"/>
  <c r="AO46" i="1"/>
  <c r="AN46" i="1"/>
  <c r="AM46" i="1"/>
  <c r="AL46" i="1"/>
  <c r="AK46" i="1"/>
  <c r="AF46" i="1"/>
  <c r="AH22" i="1"/>
  <c r="AE46" i="1"/>
  <c r="AC46" i="1"/>
  <c r="AB46" i="1"/>
  <c r="AA46" i="1"/>
  <c r="Z46" i="1"/>
  <c r="Y46" i="1"/>
  <c r="X46" i="1"/>
  <c r="W46" i="1"/>
  <c r="O46" i="1"/>
  <c r="L46" i="1"/>
  <c r="K46" i="1"/>
  <c r="J46" i="1"/>
  <c r="I46" i="1"/>
  <c r="H46" i="1"/>
  <c r="F46" i="1"/>
  <c r="E46" i="1"/>
  <c r="D46" i="1"/>
  <c r="C46" i="1"/>
  <c r="BL45" i="1"/>
  <c r="BK45" i="1"/>
  <c r="BJ45" i="1"/>
  <c r="BI45" i="1"/>
  <c r="BH45" i="1"/>
  <c r="BG45" i="1"/>
  <c r="BF45" i="1"/>
  <c r="BD45" i="1"/>
  <c r="AQ45" i="1"/>
  <c r="AP45" i="1"/>
  <c r="AO45" i="1"/>
  <c r="AN45" i="1"/>
  <c r="AM45" i="1"/>
  <c r="AL45" i="1"/>
  <c r="AK45" i="1"/>
  <c r="AF45" i="1"/>
  <c r="AH21" i="1"/>
  <c r="AE45" i="1"/>
  <c r="AC45" i="1"/>
  <c r="AB45" i="1"/>
  <c r="AA45" i="1"/>
  <c r="Z45" i="1"/>
  <c r="Y45" i="1"/>
  <c r="X45" i="1"/>
  <c r="W45" i="1"/>
  <c r="U45" i="1"/>
  <c r="O45" i="1"/>
  <c r="L45" i="1"/>
  <c r="K45" i="1"/>
  <c r="J45" i="1"/>
  <c r="I45" i="1"/>
  <c r="H45" i="1"/>
  <c r="F45" i="1"/>
  <c r="E45" i="1"/>
  <c r="D45" i="1"/>
  <c r="C45" i="1"/>
  <c r="BL44" i="1"/>
  <c r="BK44" i="1"/>
  <c r="BJ44" i="1"/>
  <c r="BI44" i="1"/>
  <c r="BH44" i="1"/>
  <c r="BG44" i="1"/>
  <c r="BF44" i="1"/>
  <c r="BD44" i="1"/>
  <c r="AQ44" i="1"/>
  <c r="AP44" i="1"/>
  <c r="AO44" i="1"/>
  <c r="AN44" i="1"/>
  <c r="AM44" i="1"/>
  <c r="AL44" i="1"/>
  <c r="AK44" i="1"/>
  <c r="AF44" i="1"/>
  <c r="AH20" i="1"/>
  <c r="AE44" i="1"/>
  <c r="AC44" i="1"/>
  <c r="AB44" i="1"/>
  <c r="AA44" i="1"/>
  <c r="Z44" i="1"/>
  <c r="Y44" i="1"/>
  <c r="X44" i="1"/>
  <c r="W44" i="1"/>
  <c r="U44" i="1"/>
  <c r="O44" i="1"/>
  <c r="L44" i="1"/>
  <c r="K44" i="1"/>
  <c r="J44" i="1"/>
  <c r="I44" i="1"/>
  <c r="H44" i="1"/>
  <c r="F44" i="1"/>
  <c r="E44" i="1"/>
  <c r="D44" i="1"/>
  <c r="C44" i="1"/>
  <c r="BL43" i="1"/>
  <c r="BK43" i="1"/>
  <c r="BJ43" i="1"/>
  <c r="BI43" i="1"/>
  <c r="BH43" i="1"/>
  <c r="BG43" i="1"/>
  <c r="BF43" i="1"/>
  <c r="BD43" i="1"/>
  <c r="AQ43" i="1"/>
  <c r="AP43" i="1"/>
  <c r="AO43" i="1"/>
  <c r="AN43" i="1"/>
  <c r="AM43" i="1"/>
  <c r="AL43" i="1"/>
  <c r="AK43" i="1"/>
  <c r="AF43" i="1"/>
  <c r="AH19" i="1"/>
  <c r="AE43" i="1"/>
  <c r="AC43" i="1"/>
  <c r="AB43" i="1"/>
  <c r="AA43" i="1"/>
  <c r="Z43" i="1"/>
  <c r="Y43" i="1"/>
  <c r="X43" i="1"/>
  <c r="W43" i="1"/>
  <c r="U43" i="1"/>
  <c r="O43" i="1"/>
  <c r="L43" i="1"/>
  <c r="K43" i="1"/>
  <c r="J43" i="1"/>
  <c r="I43" i="1"/>
  <c r="H43" i="1"/>
  <c r="F43" i="1"/>
  <c r="E43" i="1"/>
  <c r="D43" i="1"/>
  <c r="C43" i="1"/>
  <c r="BL42" i="1"/>
  <c r="BK42" i="1"/>
  <c r="BJ42" i="1"/>
  <c r="BI42" i="1"/>
  <c r="BH42" i="1"/>
  <c r="BG42" i="1"/>
  <c r="BF42" i="1"/>
  <c r="BD42" i="1"/>
  <c r="AQ42" i="1"/>
  <c r="AP42" i="1"/>
  <c r="AO42" i="1"/>
  <c r="AN42" i="1"/>
  <c r="AM42" i="1"/>
  <c r="AL42" i="1"/>
  <c r="AK42" i="1"/>
  <c r="AF42" i="1"/>
  <c r="AH18" i="1"/>
  <c r="AE42" i="1"/>
  <c r="AC42" i="1"/>
  <c r="AB42" i="1"/>
  <c r="AA42" i="1"/>
  <c r="Z42" i="1"/>
  <c r="Y42" i="1"/>
  <c r="X42" i="1"/>
  <c r="W42" i="1"/>
  <c r="U42" i="1"/>
  <c r="O42" i="1"/>
  <c r="L42" i="1"/>
  <c r="K42" i="1"/>
  <c r="J42" i="1"/>
  <c r="I42" i="1"/>
  <c r="H42" i="1"/>
  <c r="F42" i="1"/>
  <c r="E42" i="1"/>
  <c r="D42" i="1"/>
  <c r="C42" i="1"/>
  <c r="BL41" i="1"/>
  <c r="BK41" i="1"/>
  <c r="BJ41" i="1"/>
  <c r="BI41" i="1"/>
  <c r="BH41" i="1"/>
  <c r="BG41" i="1"/>
  <c r="BF41" i="1"/>
  <c r="BD41" i="1"/>
  <c r="AQ41" i="1"/>
  <c r="AP41" i="1"/>
  <c r="AO41" i="1"/>
  <c r="AN41" i="1"/>
  <c r="AM41" i="1"/>
  <c r="AL41" i="1"/>
  <c r="AK41" i="1"/>
  <c r="AF41" i="1"/>
  <c r="AH17" i="1"/>
  <c r="AE41" i="1"/>
  <c r="AC41" i="1"/>
  <c r="AB41" i="1"/>
  <c r="AA41" i="1"/>
  <c r="Z41" i="1"/>
  <c r="Y41" i="1"/>
  <c r="X41" i="1"/>
  <c r="W41" i="1"/>
  <c r="U41" i="1"/>
  <c r="O41" i="1"/>
  <c r="L41" i="1"/>
  <c r="K41" i="1"/>
  <c r="J41" i="1"/>
  <c r="I41" i="1"/>
  <c r="H41" i="1"/>
  <c r="F41" i="1"/>
  <c r="E41" i="1"/>
  <c r="D41" i="1"/>
  <c r="C41" i="1"/>
  <c r="BL40" i="1"/>
  <c r="BK40" i="1"/>
  <c r="BJ40" i="1"/>
  <c r="BI40" i="1"/>
  <c r="BH40" i="1"/>
  <c r="BG40" i="1"/>
  <c r="BF40" i="1"/>
  <c r="BD40" i="1"/>
  <c r="AQ40" i="1"/>
  <c r="AP40" i="1"/>
  <c r="AO40" i="1"/>
  <c r="AN40" i="1"/>
  <c r="AM40" i="1"/>
  <c r="AL40" i="1"/>
  <c r="AK40" i="1"/>
  <c r="AF40" i="1"/>
  <c r="AH16" i="1"/>
  <c r="AE40" i="1"/>
  <c r="AC40" i="1"/>
  <c r="AB40" i="1"/>
  <c r="AA40" i="1"/>
  <c r="Z40" i="1"/>
  <c r="Y40" i="1"/>
  <c r="X40" i="1"/>
  <c r="W40" i="1"/>
  <c r="U40" i="1"/>
  <c r="O40" i="1"/>
  <c r="L40" i="1"/>
  <c r="K40" i="1"/>
  <c r="J40" i="1"/>
  <c r="I40" i="1"/>
  <c r="H40" i="1"/>
  <c r="F40" i="1"/>
  <c r="E40" i="1"/>
  <c r="D40" i="1"/>
  <c r="C40" i="1"/>
  <c r="BL39" i="1"/>
  <c r="BK39" i="1"/>
  <c r="BJ39" i="1"/>
  <c r="BI39" i="1"/>
  <c r="BH39" i="1"/>
  <c r="BG39" i="1"/>
  <c r="BF39" i="1"/>
  <c r="BD39" i="1"/>
  <c r="AQ39" i="1"/>
  <c r="AP39" i="1"/>
  <c r="AO39" i="1"/>
  <c r="AN39" i="1"/>
  <c r="AM39" i="1"/>
  <c r="AL39" i="1"/>
  <c r="AK39" i="1"/>
  <c r="AF39" i="1"/>
  <c r="AH15" i="1"/>
  <c r="AE39" i="1"/>
  <c r="AC39" i="1"/>
  <c r="AB39" i="1"/>
  <c r="AA39" i="1"/>
  <c r="Z39" i="1"/>
  <c r="Y39" i="1"/>
  <c r="X39" i="1"/>
  <c r="W39" i="1"/>
  <c r="U39" i="1"/>
  <c r="O39" i="1"/>
  <c r="L39" i="1"/>
  <c r="K39" i="1"/>
  <c r="J39" i="1"/>
  <c r="I39" i="1"/>
  <c r="H39" i="1"/>
  <c r="F39" i="1"/>
  <c r="E39" i="1"/>
  <c r="D39" i="1"/>
  <c r="C39" i="1"/>
  <c r="BV38" i="1"/>
  <c r="BL38" i="1"/>
  <c r="BK38" i="1"/>
  <c r="BJ38" i="1"/>
  <c r="BI38" i="1"/>
  <c r="BH38" i="1"/>
  <c r="BG38" i="1"/>
  <c r="BF38" i="1"/>
  <c r="BD38" i="1"/>
  <c r="AQ38" i="1"/>
  <c r="AP38" i="1"/>
  <c r="AO38" i="1"/>
  <c r="AN38" i="1"/>
  <c r="AM38" i="1"/>
  <c r="AL38" i="1"/>
  <c r="AK38" i="1"/>
  <c r="AF38" i="1"/>
  <c r="AH14" i="1"/>
  <c r="AE38" i="1"/>
  <c r="AC38" i="1"/>
  <c r="AB38" i="1"/>
  <c r="AA38" i="1"/>
  <c r="Z38" i="1"/>
  <c r="Y38" i="1"/>
  <c r="X38" i="1"/>
  <c r="W38" i="1"/>
  <c r="U38" i="1"/>
  <c r="O38" i="1"/>
  <c r="L38" i="1"/>
  <c r="K38" i="1"/>
  <c r="J38" i="1"/>
  <c r="I38" i="1"/>
  <c r="H38" i="1"/>
  <c r="F38" i="1"/>
  <c r="E38" i="1"/>
  <c r="D38" i="1"/>
  <c r="C38" i="1"/>
  <c r="BV37" i="1"/>
  <c r="BL37" i="1"/>
  <c r="BK37" i="1"/>
  <c r="BJ37" i="1"/>
  <c r="BI37" i="1"/>
  <c r="BH37" i="1"/>
  <c r="BG37" i="1"/>
  <c r="BF37" i="1"/>
  <c r="BD37" i="1"/>
  <c r="AQ37" i="1"/>
  <c r="AP37" i="1"/>
  <c r="AO37" i="1"/>
  <c r="AN37" i="1"/>
  <c r="AM37" i="1"/>
  <c r="AL37" i="1"/>
  <c r="AK37" i="1"/>
  <c r="AF37" i="1"/>
  <c r="AH13" i="1"/>
  <c r="AE37" i="1"/>
  <c r="AC37" i="1"/>
  <c r="AB37" i="1"/>
  <c r="AA37" i="1"/>
  <c r="Z37" i="1"/>
  <c r="Y37" i="1"/>
  <c r="X37" i="1"/>
  <c r="W37" i="1"/>
  <c r="U37" i="1"/>
  <c r="O28" i="1"/>
  <c r="O29" i="1"/>
  <c r="O30" i="1"/>
  <c r="O31" i="1"/>
  <c r="O32" i="1"/>
  <c r="O33" i="1"/>
  <c r="O34" i="1"/>
  <c r="O35" i="1"/>
  <c r="O36" i="1"/>
  <c r="O37" i="1"/>
  <c r="P37" i="1"/>
  <c r="L37" i="1"/>
  <c r="K37" i="1"/>
  <c r="J37" i="1"/>
  <c r="I37" i="1"/>
  <c r="H37" i="1"/>
  <c r="F37" i="1"/>
  <c r="E37" i="1"/>
  <c r="D37" i="1"/>
  <c r="C37" i="1"/>
  <c r="BV36" i="1"/>
  <c r="BL36" i="1"/>
  <c r="BK36" i="1"/>
  <c r="BJ36" i="1"/>
  <c r="BI36" i="1"/>
  <c r="BH36" i="1"/>
  <c r="BG36" i="1"/>
  <c r="BF36" i="1"/>
  <c r="BD36" i="1"/>
  <c r="AQ36" i="1"/>
  <c r="AP36" i="1"/>
  <c r="AO36" i="1"/>
  <c r="AN36" i="1"/>
  <c r="AM36" i="1"/>
  <c r="AL36" i="1"/>
  <c r="AK36" i="1"/>
  <c r="AF36" i="1"/>
  <c r="AH12" i="1"/>
  <c r="AE36" i="1"/>
  <c r="AC36" i="1"/>
  <c r="AB36" i="1"/>
  <c r="AA36" i="1"/>
  <c r="Z36" i="1"/>
  <c r="Y36" i="1"/>
  <c r="X36" i="1"/>
  <c r="W36" i="1"/>
  <c r="U36" i="1"/>
  <c r="P36" i="1"/>
  <c r="L36" i="1"/>
  <c r="K36" i="1"/>
  <c r="J36" i="1"/>
  <c r="I36" i="1"/>
  <c r="H36" i="1"/>
  <c r="F36" i="1"/>
  <c r="E36" i="1"/>
  <c r="D36" i="1"/>
  <c r="C36" i="1"/>
  <c r="BL35" i="1"/>
  <c r="BK35" i="1"/>
  <c r="BJ35" i="1"/>
  <c r="BI35" i="1"/>
  <c r="BH35" i="1"/>
  <c r="BG35" i="1"/>
  <c r="BF35" i="1"/>
  <c r="BD35" i="1"/>
  <c r="AQ35" i="1"/>
  <c r="AP35" i="1"/>
  <c r="AO35" i="1"/>
  <c r="AN35" i="1"/>
  <c r="AM35" i="1"/>
  <c r="AL35" i="1"/>
  <c r="C9" i="1"/>
  <c r="AK35" i="1"/>
  <c r="AF35" i="1"/>
  <c r="AH11" i="1"/>
  <c r="AE35" i="1"/>
  <c r="I34" i="1"/>
  <c r="J34" i="1"/>
  <c r="K34" i="1"/>
  <c r="AC35" i="1"/>
  <c r="AB35" i="1"/>
  <c r="AJ10" i="1"/>
  <c r="AK10" i="1"/>
  <c r="AL10" i="1"/>
  <c r="AM10" i="1"/>
  <c r="AN10" i="1"/>
  <c r="AO10" i="1"/>
  <c r="AP10" i="1"/>
  <c r="E34" i="1"/>
  <c r="AJ4" i="1"/>
  <c r="AK4" i="1"/>
  <c r="AL4" i="1"/>
  <c r="AM4" i="1"/>
  <c r="AN4" i="1"/>
  <c r="AO4" i="1"/>
  <c r="AP4" i="1"/>
  <c r="E28" i="1"/>
  <c r="AJ5" i="1"/>
  <c r="AK5" i="1"/>
  <c r="AL5" i="1"/>
  <c r="AM5" i="1"/>
  <c r="AN5" i="1"/>
  <c r="AO5" i="1"/>
  <c r="AP5" i="1"/>
  <c r="E29" i="1"/>
  <c r="AJ6" i="1"/>
  <c r="AK6" i="1"/>
  <c r="AL6" i="1"/>
  <c r="AM6" i="1"/>
  <c r="AN6" i="1"/>
  <c r="AO6" i="1"/>
  <c r="AP6" i="1"/>
  <c r="E30" i="1"/>
  <c r="AJ7" i="1"/>
  <c r="AK7" i="1"/>
  <c r="AL7" i="1"/>
  <c r="AM7" i="1"/>
  <c r="AN7" i="1"/>
  <c r="AO7" i="1"/>
  <c r="AP7" i="1"/>
  <c r="E31" i="1"/>
  <c r="AJ8" i="1"/>
  <c r="AK8" i="1"/>
  <c r="AL8" i="1"/>
  <c r="AM8" i="1"/>
  <c r="AN8" i="1"/>
  <c r="AO8" i="1"/>
  <c r="AP8" i="1"/>
  <c r="E32" i="1"/>
  <c r="AJ9" i="1"/>
  <c r="AK9" i="1"/>
  <c r="AL9" i="1"/>
  <c r="AM9" i="1"/>
  <c r="AN9" i="1"/>
  <c r="AO9" i="1"/>
  <c r="AP9" i="1"/>
  <c r="E33" i="1"/>
  <c r="AJ11" i="1"/>
  <c r="AK11" i="1"/>
  <c r="AL11" i="1"/>
  <c r="AM11" i="1"/>
  <c r="AN11" i="1"/>
  <c r="AO11" i="1"/>
  <c r="AP11" i="1"/>
  <c r="E35" i="1"/>
  <c r="F34" i="1"/>
  <c r="AA35" i="1"/>
  <c r="Z35" i="1"/>
  <c r="H34" i="1"/>
  <c r="Y35" i="1"/>
  <c r="D34" i="1"/>
  <c r="X35" i="1"/>
  <c r="W35" i="1"/>
  <c r="U35" i="1"/>
  <c r="P35" i="1"/>
  <c r="I35" i="1"/>
  <c r="J35" i="1"/>
  <c r="K35" i="1"/>
  <c r="H35" i="1"/>
  <c r="F35" i="1"/>
  <c r="D35" i="1"/>
  <c r="BL34" i="1"/>
  <c r="BK34" i="1"/>
  <c r="BJ34" i="1"/>
  <c r="BI34" i="1"/>
  <c r="BH34" i="1"/>
  <c r="BG34" i="1"/>
  <c r="BF34" i="1"/>
  <c r="BD34" i="1"/>
  <c r="AQ34" i="1"/>
  <c r="AP34" i="1"/>
  <c r="AO34" i="1"/>
  <c r="AN34" i="1"/>
  <c r="AM34" i="1"/>
  <c r="AL34" i="1"/>
  <c r="C7" i="1"/>
  <c r="AK34" i="1"/>
  <c r="AF34" i="1"/>
  <c r="AH10" i="1"/>
  <c r="AE34" i="1"/>
  <c r="AC34" i="1"/>
  <c r="AB34" i="1"/>
  <c r="AA34" i="1"/>
  <c r="Z34" i="1"/>
  <c r="Y34" i="1"/>
  <c r="X34" i="1"/>
  <c r="W34" i="1"/>
  <c r="U34" i="1"/>
  <c r="P34" i="1"/>
  <c r="L34" i="1"/>
  <c r="DX5" i="1"/>
  <c r="DX4" i="1"/>
  <c r="DX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Z5" i="1"/>
  <c r="DV5" i="1"/>
  <c r="DV4" i="1"/>
  <c r="DZ4" i="1"/>
  <c r="DW4" i="1"/>
  <c r="DW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Y4" i="1"/>
  <c r="DU4" i="1"/>
  <c r="DT4" i="1"/>
  <c r="DY5" i="1"/>
  <c r="DU5" i="1"/>
  <c r="DT5" i="1"/>
  <c r="DV6" i="1"/>
  <c r="DZ6" i="1"/>
  <c r="DY6" i="1"/>
  <c r="DU6" i="1"/>
  <c r="DT6" i="1"/>
  <c r="DV7" i="1"/>
  <c r="DZ7" i="1"/>
  <c r="DY7" i="1"/>
  <c r="DU7" i="1"/>
  <c r="DT7" i="1"/>
  <c r="DV8" i="1"/>
  <c r="DZ8" i="1"/>
  <c r="DY8" i="1"/>
  <c r="DU8" i="1"/>
  <c r="DT8" i="1"/>
  <c r="DV9" i="1"/>
  <c r="DZ9" i="1"/>
  <c r="DY9" i="1"/>
  <c r="DU9" i="1"/>
  <c r="DT9" i="1"/>
  <c r="DV10" i="1"/>
  <c r="DZ10" i="1"/>
  <c r="DY10" i="1"/>
  <c r="DU10" i="1"/>
  <c r="DT10" i="1"/>
  <c r="DV11" i="1"/>
  <c r="DZ11" i="1"/>
  <c r="DY11" i="1"/>
  <c r="DU11" i="1"/>
  <c r="DT11" i="1"/>
  <c r="DV12" i="1"/>
  <c r="DU12" i="1"/>
  <c r="DT12" i="1"/>
  <c r="DV13" i="1"/>
  <c r="DU13" i="1"/>
  <c r="DT13" i="1"/>
  <c r="DV14" i="1"/>
  <c r="DU14" i="1"/>
  <c r="DT14" i="1"/>
  <c r="DV15" i="1"/>
  <c r="DU15" i="1"/>
  <c r="DT15" i="1"/>
  <c r="DV16" i="1"/>
  <c r="DU16" i="1"/>
  <c r="DT16" i="1"/>
  <c r="DV17" i="1"/>
  <c r="DU17" i="1"/>
  <c r="DT17" i="1"/>
  <c r="DV18" i="1"/>
  <c r="DU18" i="1"/>
  <c r="DT18" i="1"/>
  <c r="DV19" i="1"/>
  <c r="DU19" i="1"/>
  <c r="DT19" i="1"/>
  <c r="DV20" i="1"/>
  <c r="DU20" i="1"/>
  <c r="DT20" i="1"/>
  <c r="DV21" i="1"/>
  <c r="DU21" i="1"/>
  <c r="DT21" i="1"/>
  <c r="DV22" i="1"/>
  <c r="DU22" i="1"/>
  <c r="DT22" i="1"/>
  <c r="DV23" i="1"/>
  <c r="DU23" i="1"/>
  <c r="DT23" i="1"/>
  <c r="EB5" i="1"/>
  <c r="DZ12" i="1"/>
  <c r="DZ13" i="1"/>
  <c r="DZ14" i="1"/>
  <c r="DZ15" i="1"/>
  <c r="EA5" i="1"/>
  <c r="EA6" i="1"/>
  <c r="EB6" i="1"/>
  <c r="EA7" i="1"/>
  <c r="EB7" i="1"/>
  <c r="EA8" i="1"/>
  <c r="EB8" i="1"/>
  <c r="EA9" i="1"/>
  <c r="EB9" i="1"/>
  <c r="EA10" i="1"/>
  <c r="EB10" i="1"/>
  <c r="EA11" i="1"/>
  <c r="EB11" i="1"/>
  <c r="EA12" i="1"/>
  <c r="EB12" i="1"/>
  <c r="EA13" i="1"/>
  <c r="EB13" i="1"/>
  <c r="EA14" i="1"/>
  <c r="EB14" i="1"/>
  <c r="EA15" i="1"/>
  <c r="EB15" i="1"/>
  <c r="DZ16" i="1"/>
  <c r="EA16" i="1"/>
  <c r="EB16" i="1"/>
  <c r="DZ17" i="1"/>
  <c r="EA17" i="1"/>
  <c r="EB17" i="1"/>
  <c r="DZ18" i="1"/>
  <c r="EA18" i="1"/>
  <c r="EB18" i="1"/>
  <c r="DZ19" i="1"/>
  <c r="EA19" i="1"/>
  <c r="EB19" i="1"/>
  <c r="DZ20" i="1"/>
  <c r="EA20" i="1"/>
  <c r="EB20" i="1"/>
  <c r="DZ21" i="1"/>
  <c r="EA21" i="1"/>
  <c r="EB21" i="1"/>
  <c r="DZ22" i="1"/>
  <c r="EA22" i="1"/>
  <c r="EB22" i="1"/>
  <c r="DZ23" i="1"/>
  <c r="EA23" i="1"/>
  <c r="EB23" i="1"/>
  <c r="DZ33" i="1"/>
  <c r="DY12" i="1"/>
  <c r="DY13" i="1"/>
  <c r="DY14" i="1"/>
  <c r="DY15" i="1"/>
  <c r="EA4" i="1"/>
  <c r="EB4" i="1"/>
  <c r="DY16" i="1"/>
  <c r="DY17" i="1"/>
  <c r="DY18" i="1"/>
  <c r="DY19" i="1"/>
  <c r="DY20" i="1"/>
  <c r="DY21" i="1"/>
  <c r="DY22" i="1"/>
  <c r="DY23" i="1"/>
  <c r="DY33" i="1"/>
  <c r="DN5" i="1"/>
  <c r="DN4" i="1"/>
  <c r="DN6" i="1"/>
  <c r="DN7" i="1"/>
  <c r="DN8" i="1"/>
  <c r="DN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P5" i="1"/>
  <c r="DP6" i="1"/>
  <c r="DP7" i="1"/>
  <c r="DP8" i="1"/>
  <c r="BT5" i="1"/>
  <c r="DM5" i="1"/>
  <c r="BT4" i="1"/>
  <c r="DM4" i="1"/>
  <c r="BT6" i="1"/>
  <c r="DM6" i="1"/>
  <c r="BT7" i="1"/>
  <c r="DM7" i="1"/>
  <c r="BT8" i="1"/>
  <c r="DM8" i="1"/>
  <c r="BT9" i="1"/>
  <c r="DM9" i="1"/>
  <c r="BT10" i="1"/>
  <c r="DM10" i="1"/>
  <c r="BT11" i="1"/>
  <c r="DM11" i="1"/>
  <c r="BM12" i="1"/>
  <c r="BT12" i="1"/>
  <c r="DM12" i="1"/>
  <c r="BM13" i="1"/>
  <c r="BT13" i="1"/>
  <c r="DM13" i="1"/>
  <c r="BM14" i="1"/>
  <c r="BT14" i="1"/>
  <c r="DM14" i="1"/>
  <c r="BM15" i="1"/>
  <c r="BT15" i="1"/>
  <c r="DM15" i="1"/>
  <c r="BM16" i="1"/>
  <c r="BT16" i="1"/>
  <c r="DM16" i="1"/>
  <c r="BM17" i="1"/>
  <c r="BT17" i="1"/>
  <c r="DM17" i="1"/>
  <c r="BM18" i="1"/>
  <c r="BT18" i="1"/>
  <c r="DM18" i="1"/>
  <c r="BM19" i="1"/>
  <c r="BT19" i="1"/>
  <c r="DM19" i="1"/>
  <c r="BM20" i="1"/>
  <c r="BT20" i="1"/>
  <c r="DM20" i="1"/>
  <c r="BM21" i="1"/>
  <c r="BT21" i="1"/>
  <c r="DM21" i="1"/>
  <c r="BM22" i="1"/>
  <c r="BT22" i="1"/>
  <c r="DM22" i="1"/>
  <c r="BM23" i="1"/>
  <c r="BT23" i="1"/>
  <c r="DM23" i="1"/>
  <c r="DO5" i="1"/>
  <c r="DQ5" i="1"/>
  <c r="DL5" i="1"/>
  <c r="DL4" i="1"/>
  <c r="DP4" i="1"/>
  <c r="DO4" i="1"/>
  <c r="DK4" i="1"/>
  <c r="DJ4" i="1"/>
  <c r="DK5" i="1"/>
  <c r="DJ5" i="1"/>
  <c r="DL6" i="1"/>
  <c r="DO6" i="1"/>
  <c r="DK6" i="1"/>
  <c r="DJ6" i="1"/>
  <c r="DL7" i="1"/>
  <c r="DO7" i="1"/>
  <c r="DK7" i="1"/>
  <c r="DJ7" i="1"/>
  <c r="DL8" i="1"/>
  <c r="DO8" i="1"/>
  <c r="DK8" i="1"/>
  <c r="DJ8" i="1"/>
  <c r="DL9" i="1"/>
  <c r="DP9" i="1"/>
  <c r="DO9" i="1"/>
  <c r="DK9" i="1"/>
  <c r="DJ9" i="1"/>
  <c r="DL10" i="1"/>
  <c r="DP10" i="1"/>
  <c r="DO10" i="1"/>
  <c r="DK10" i="1"/>
  <c r="DJ10" i="1"/>
  <c r="DL11" i="1"/>
  <c r="DP11" i="1"/>
  <c r="DO11" i="1"/>
  <c r="DK11" i="1"/>
  <c r="DJ11" i="1"/>
  <c r="DL12" i="1"/>
  <c r="DK12" i="1"/>
  <c r="DJ12" i="1"/>
  <c r="DL13" i="1"/>
  <c r="DK13" i="1"/>
  <c r="DJ13" i="1"/>
  <c r="DL14" i="1"/>
  <c r="DK14" i="1"/>
  <c r="DJ14" i="1"/>
  <c r="DL15" i="1"/>
  <c r="DK15" i="1"/>
  <c r="DJ15" i="1"/>
  <c r="DL16" i="1"/>
  <c r="DK16" i="1"/>
  <c r="DJ16" i="1"/>
  <c r="DL17" i="1"/>
  <c r="DK17" i="1"/>
  <c r="DJ17" i="1"/>
  <c r="DL18" i="1"/>
  <c r="DK18" i="1"/>
  <c r="DJ18" i="1"/>
  <c r="DL19" i="1"/>
  <c r="DK19" i="1"/>
  <c r="DJ19" i="1"/>
  <c r="DL20" i="1"/>
  <c r="DK20" i="1"/>
  <c r="DJ20" i="1"/>
  <c r="DL21" i="1"/>
  <c r="DK21" i="1"/>
  <c r="DJ21" i="1"/>
  <c r="DL22" i="1"/>
  <c r="DK22" i="1"/>
  <c r="DJ22" i="1"/>
  <c r="DL23" i="1"/>
  <c r="DK23" i="1"/>
  <c r="DJ23" i="1"/>
  <c r="DR5" i="1"/>
  <c r="DQ6" i="1"/>
  <c r="DR6" i="1"/>
  <c r="DQ7" i="1"/>
  <c r="DR7" i="1"/>
  <c r="DQ8" i="1"/>
  <c r="DR8" i="1"/>
  <c r="DQ9" i="1"/>
  <c r="DR9" i="1"/>
  <c r="DQ10" i="1"/>
  <c r="DR10" i="1"/>
  <c r="DQ11" i="1"/>
  <c r="DR11" i="1"/>
  <c r="DP12" i="1"/>
  <c r="DQ12" i="1"/>
  <c r="DR12" i="1"/>
  <c r="DP13" i="1"/>
  <c r="DQ13" i="1"/>
  <c r="DR13" i="1"/>
  <c r="DP14" i="1"/>
  <c r="DQ14" i="1"/>
  <c r="DR14" i="1"/>
  <c r="DP15" i="1"/>
  <c r="DQ15" i="1"/>
  <c r="DR15" i="1"/>
  <c r="DP16" i="1"/>
  <c r="DQ16" i="1"/>
  <c r="DR16" i="1"/>
  <c r="DP17" i="1"/>
  <c r="DQ17" i="1"/>
  <c r="DR17" i="1"/>
  <c r="DP18" i="1"/>
  <c r="DQ18" i="1"/>
  <c r="DR18" i="1"/>
  <c r="DP19" i="1"/>
  <c r="DQ19" i="1"/>
  <c r="DR19" i="1"/>
  <c r="DP20" i="1"/>
  <c r="DQ20" i="1"/>
  <c r="DR20" i="1"/>
  <c r="DP21" i="1"/>
  <c r="DQ21" i="1"/>
  <c r="DR21" i="1"/>
  <c r="DP22" i="1"/>
  <c r="DQ22" i="1"/>
  <c r="DR22" i="1"/>
  <c r="DP23" i="1"/>
  <c r="DQ23" i="1"/>
  <c r="DR23" i="1"/>
  <c r="DO12" i="1"/>
  <c r="DO13" i="1"/>
  <c r="DO14" i="1"/>
  <c r="DO15" i="1"/>
  <c r="DQ4" i="1"/>
  <c r="DR4" i="1"/>
  <c r="DO16" i="1"/>
  <c r="DO17" i="1"/>
  <c r="DO18" i="1"/>
  <c r="DO19" i="1"/>
  <c r="DO20" i="1"/>
  <c r="DO21" i="1"/>
  <c r="DO22" i="1"/>
  <c r="DO23" i="1"/>
  <c r="CS4" i="1"/>
  <c r="CT4" i="1"/>
  <c r="CT5" i="1"/>
  <c r="CT6" i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V4" i="1"/>
  <c r="CS5" i="1"/>
  <c r="C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U4" i="1"/>
  <c r="CW4" i="1"/>
  <c r="CV5" i="1"/>
  <c r="CU5" i="1"/>
  <c r="CW5" i="1"/>
  <c r="CV6" i="1"/>
  <c r="CU6" i="1"/>
  <c r="CW6" i="1"/>
  <c r="CV7" i="1"/>
  <c r="CU7" i="1"/>
  <c r="CW7" i="1"/>
  <c r="CR4" i="1"/>
  <c r="CQ4" i="1"/>
  <c r="CP4" i="1"/>
  <c r="CR5" i="1"/>
  <c r="CQ5" i="1"/>
  <c r="CP5" i="1"/>
  <c r="CR6" i="1"/>
  <c r="CQ6" i="1"/>
  <c r="CP6" i="1"/>
  <c r="CR7" i="1"/>
  <c r="CQ7" i="1"/>
  <c r="CP7" i="1"/>
  <c r="CR8" i="1"/>
  <c r="CV8" i="1"/>
  <c r="CU8" i="1"/>
  <c r="CQ8" i="1"/>
  <c r="CP8" i="1"/>
  <c r="CR9" i="1"/>
  <c r="CV9" i="1"/>
  <c r="CU9" i="1"/>
  <c r="CQ9" i="1"/>
  <c r="CP9" i="1"/>
  <c r="CR10" i="1"/>
  <c r="CV10" i="1"/>
  <c r="CU10" i="1"/>
  <c r="CQ10" i="1"/>
  <c r="CP10" i="1"/>
  <c r="CR11" i="1"/>
  <c r="CV11" i="1"/>
  <c r="CU11" i="1"/>
  <c r="CQ11" i="1"/>
  <c r="CP11" i="1"/>
  <c r="CR12" i="1"/>
  <c r="CQ12" i="1"/>
  <c r="CP12" i="1"/>
  <c r="CR13" i="1"/>
  <c r="CQ13" i="1"/>
  <c r="CP13" i="1"/>
  <c r="CR14" i="1"/>
  <c r="CQ14" i="1"/>
  <c r="CP14" i="1"/>
  <c r="CR15" i="1"/>
  <c r="CQ15" i="1"/>
  <c r="CP15" i="1"/>
  <c r="CR16" i="1"/>
  <c r="CQ16" i="1"/>
  <c r="CP16" i="1"/>
  <c r="CR17" i="1"/>
  <c r="CQ17" i="1"/>
  <c r="CP17" i="1"/>
  <c r="CR18" i="1"/>
  <c r="CQ18" i="1"/>
  <c r="CP18" i="1"/>
  <c r="CR19" i="1"/>
  <c r="CQ19" i="1"/>
  <c r="CP19" i="1"/>
  <c r="CR20" i="1"/>
  <c r="CQ20" i="1"/>
  <c r="CP20" i="1"/>
  <c r="CR21" i="1"/>
  <c r="CQ21" i="1"/>
  <c r="CP21" i="1"/>
  <c r="CR22" i="1"/>
  <c r="CQ22" i="1"/>
  <c r="CP22" i="1"/>
  <c r="CR23" i="1"/>
  <c r="CQ23" i="1"/>
  <c r="CP23" i="1"/>
  <c r="CX4" i="1"/>
  <c r="CX5" i="1"/>
  <c r="CX6" i="1"/>
  <c r="CX7" i="1"/>
  <c r="CW8" i="1"/>
  <c r="CX8" i="1"/>
  <c r="CW9" i="1"/>
  <c r="CX9" i="1"/>
  <c r="CW10" i="1"/>
  <c r="CX10" i="1"/>
  <c r="CW11" i="1"/>
  <c r="CX11" i="1"/>
  <c r="CW12" i="1"/>
  <c r="CX12" i="1"/>
  <c r="CW13" i="1"/>
  <c r="CX13" i="1"/>
  <c r="CW14" i="1"/>
  <c r="CX14" i="1"/>
  <c r="CW15" i="1"/>
  <c r="CX15" i="1"/>
  <c r="CW16" i="1"/>
  <c r="CX16" i="1"/>
  <c r="CW17" i="1"/>
  <c r="CX17" i="1"/>
  <c r="CW18" i="1"/>
  <c r="CX18" i="1"/>
  <c r="CW19" i="1"/>
  <c r="CX19" i="1"/>
  <c r="CW20" i="1"/>
  <c r="CX20" i="1"/>
  <c r="CW21" i="1"/>
  <c r="CX21" i="1"/>
  <c r="CW22" i="1"/>
  <c r="CX22" i="1"/>
  <c r="CW23" i="1"/>
  <c r="CX23" i="1"/>
  <c r="BL33" i="1"/>
  <c r="BK33" i="1"/>
  <c r="BJ33" i="1"/>
  <c r="BI33" i="1"/>
  <c r="BH33" i="1"/>
  <c r="BG33" i="1"/>
  <c r="BF33" i="1"/>
  <c r="BD33" i="1"/>
  <c r="AQ33" i="1"/>
  <c r="AP33" i="1"/>
  <c r="AO33" i="1"/>
  <c r="AN33" i="1"/>
  <c r="AM33" i="1"/>
  <c r="AL33" i="1"/>
  <c r="C8" i="1"/>
  <c r="AK33" i="1"/>
  <c r="AF33" i="1"/>
  <c r="AH9" i="1"/>
  <c r="AE33" i="1"/>
  <c r="I29" i="1"/>
  <c r="J29" i="1"/>
  <c r="K29" i="1"/>
  <c r="AC33" i="1"/>
  <c r="AB33" i="1"/>
  <c r="F29" i="1"/>
  <c r="AA33" i="1"/>
  <c r="Z33" i="1"/>
  <c r="H29" i="1"/>
  <c r="Y33" i="1"/>
  <c r="D29" i="1"/>
  <c r="X33" i="1"/>
  <c r="W33" i="1"/>
  <c r="U33" i="1"/>
  <c r="P33" i="1"/>
  <c r="L33" i="1"/>
  <c r="I33" i="1"/>
  <c r="J33" i="1"/>
  <c r="K33" i="1"/>
  <c r="H33" i="1"/>
  <c r="F33" i="1"/>
  <c r="D33" i="1"/>
  <c r="DZ32" i="1"/>
  <c r="DY32" i="1"/>
  <c r="DC4" i="1"/>
  <c r="DD4" i="1"/>
  <c r="DD5" i="1"/>
  <c r="DD6" i="1"/>
  <c r="DD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F4" i="1"/>
  <c r="DC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E4" i="1"/>
  <c r="DG4" i="1"/>
  <c r="DF5" i="1"/>
  <c r="DE5" i="1"/>
  <c r="DG5" i="1"/>
  <c r="DF6" i="1"/>
  <c r="DE6" i="1"/>
  <c r="DG6" i="1"/>
  <c r="DF7" i="1"/>
  <c r="DE7" i="1"/>
  <c r="DG7" i="1"/>
  <c r="DB4" i="1"/>
  <c r="DA4" i="1"/>
  <c r="CZ4" i="1"/>
  <c r="DB5" i="1"/>
  <c r="DA5" i="1"/>
  <c r="CZ5" i="1"/>
  <c r="DB6" i="1"/>
  <c r="DA6" i="1"/>
  <c r="CZ6" i="1"/>
  <c r="DB7" i="1"/>
  <c r="DA7" i="1"/>
  <c r="CZ7" i="1"/>
  <c r="DB8" i="1"/>
  <c r="DF8" i="1"/>
  <c r="DE8" i="1"/>
  <c r="DA8" i="1"/>
  <c r="CZ8" i="1"/>
  <c r="DB9" i="1"/>
  <c r="DF9" i="1"/>
  <c r="DE9" i="1"/>
  <c r="DA9" i="1"/>
  <c r="CZ9" i="1"/>
  <c r="DB10" i="1"/>
  <c r="DF10" i="1"/>
  <c r="DE10" i="1"/>
  <c r="DA10" i="1"/>
  <c r="CZ10" i="1"/>
  <c r="DB11" i="1"/>
  <c r="DF11" i="1"/>
  <c r="DE11" i="1"/>
  <c r="DA11" i="1"/>
  <c r="CZ11" i="1"/>
  <c r="DB12" i="1"/>
  <c r="DA12" i="1"/>
  <c r="CZ12" i="1"/>
  <c r="DB13" i="1"/>
  <c r="DA13" i="1"/>
  <c r="CZ13" i="1"/>
  <c r="DB14" i="1"/>
  <c r="DA14" i="1"/>
  <c r="CZ14" i="1"/>
  <c r="DB15" i="1"/>
  <c r="DA15" i="1"/>
  <c r="CZ15" i="1"/>
  <c r="DB16" i="1"/>
  <c r="DA16" i="1"/>
  <c r="CZ16" i="1"/>
  <c r="DB17" i="1"/>
  <c r="DA17" i="1"/>
  <c r="CZ17" i="1"/>
  <c r="DB18" i="1"/>
  <c r="DA18" i="1"/>
  <c r="CZ18" i="1"/>
  <c r="DB19" i="1"/>
  <c r="DA19" i="1"/>
  <c r="CZ19" i="1"/>
  <c r="DB20" i="1"/>
  <c r="DA20" i="1"/>
  <c r="CZ20" i="1"/>
  <c r="DB21" i="1"/>
  <c r="DA21" i="1"/>
  <c r="CZ21" i="1"/>
  <c r="DB22" i="1"/>
  <c r="DA22" i="1"/>
  <c r="CZ22" i="1"/>
  <c r="DB23" i="1"/>
  <c r="DA23" i="1"/>
  <c r="CZ23" i="1"/>
  <c r="DH4" i="1"/>
  <c r="DH5" i="1"/>
  <c r="DH6" i="1"/>
  <c r="DH7" i="1"/>
  <c r="DG8" i="1"/>
  <c r="DH8" i="1"/>
  <c r="DG9" i="1"/>
  <c r="DH9" i="1"/>
  <c r="DG10" i="1"/>
  <c r="DH10" i="1"/>
  <c r="DG11" i="1"/>
  <c r="DH11" i="1"/>
  <c r="DG12" i="1"/>
  <c r="DH12" i="1"/>
  <c r="DG13" i="1"/>
  <c r="DH13" i="1"/>
  <c r="DG14" i="1"/>
  <c r="DH14" i="1"/>
  <c r="DG15" i="1"/>
  <c r="DH15" i="1"/>
  <c r="DG16" i="1"/>
  <c r="DH16" i="1"/>
  <c r="DG17" i="1"/>
  <c r="DH17" i="1"/>
  <c r="DG18" i="1"/>
  <c r="DH18" i="1"/>
  <c r="DG19" i="1"/>
  <c r="DH19" i="1"/>
  <c r="DG20" i="1"/>
  <c r="DH20" i="1"/>
  <c r="DG21" i="1"/>
  <c r="DH21" i="1"/>
  <c r="DG22" i="1"/>
  <c r="DH22" i="1"/>
  <c r="DG23" i="1"/>
  <c r="DH23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BL32" i="1"/>
  <c r="BK32" i="1"/>
  <c r="BJ32" i="1"/>
  <c r="BI32" i="1"/>
  <c r="BH32" i="1"/>
  <c r="BG32" i="1"/>
  <c r="BF32" i="1"/>
  <c r="BD32" i="1"/>
  <c r="AQ32" i="1"/>
  <c r="AP32" i="1"/>
  <c r="AO32" i="1"/>
  <c r="AN32" i="1"/>
  <c r="AM32" i="1"/>
  <c r="AL32" i="1"/>
  <c r="C4" i="1"/>
  <c r="AK32" i="1"/>
  <c r="AF32" i="1"/>
  <c r="AH8" i="1"/>
  <c r="AE32" i="1"/>
  <c r="I30" i="1"/>
  <c r="J30" i="1"/>
  <c r="K30" i="1"/>
  <c r="AC32" i="1"/>
  <c r="AB32" i="1"/>
  <c r="F30" i="1"/>
  <c r="AA32" i="1"/>
  <c r="Z32" i="1"/>
  <c r="H30" i="1"/>
  <c r="Y32" i="1"/>
  <c r="D30" i="1"/>
  <c r="X32" i="1"/>
  <c r="W32" i="1"/>
  <c r="U32" i="1"/>
  <c r="P32" i="1"/>
  <c r="L32" i="1"/>
  <c r="I32" i="1"/>
  <c r="J32" i="1"/>
  <c r="K32" i="1"/>
  <c r="H32" i="1"/>
  <c r="F32" i="1"/>
  <c r="D32" i="1"/>
  <c r="BL31" i="1"/>
  <c r="BK31" i="1"/>
  <c r="BJ31" i="1"/>
  <c r="BI31" i="1"/>
  <c r="BH31" i="1"/>
  <c r="BG31" i="1"/>
  <c r="BF31" i="1"/>
  <c r="BD31" i="1"/>
  <c r="AQ31" i="1"/>
  <c r="AP31" i="1"/>
  <c r="AO31" i="1"/>
  <c r="AN31" i="1"/>
  <c r="AM31" i="1"/>
  <c r="AL31" i="1"/>
  <c r="C6" i="1"/>
  <c r="AK31" i="1"/>
  <c r="AF31" i="1"/>
  <c r="AH7" i="1"/>
  <c r="AE31" i="1"/>
  <c r="I28" i="1"/>
  <c r="J28" i="1"/>
  <c r="K28" i="1"/>
  <c r="AC31" i="1"/>
  <c r="AB31" i="1"/>
  <c r="F28" i="1"/>
  <c r="AA31" i="1"/>
  <c r="Z31" i="1"/>
  <c r="H28" i="1"/>
  <c r="Y31" i="1"/>
  <c r="D28" i="1"/>
  <c r="X31" i="1"/>
  <c r="W31" i="1"/>
  <c r="U31" i="1"/>
  <c r="P31" i="1"/>
  <c r="L31" i="1"/>
  <c r="I31" i="1"/>
  <c r="J31" i="1"/>
  <c r="K31" i="1"/>
  <c r="H31" i="1"/>
  <c r="F31" i="1"/>
  <c r="D31" i="1"/>
  <c r="BJ28" i="1"/>
  <c r="BJ29" i="1"/>
  <c r="BJ30" i="1"/>
  <c r="BL30" i="1"/>
  <c r="BT30" i="1"/>
  <c r="BS30" i="1"/>
  <c r="BI28" i="1"/>
  <c r="BI29" i="1"/>
  <c r="BI30" i="1"/>
  <c r="BR30" i="1"/>
  <c r="BH28" i="1"/>
  <c r="BH29" i="1"/>
  <c r="BH30" i="1"/>
  <c r="BQ30" i="1"/>
  <c r="BG28" i="1"/>
  <c r="BG29" i="1"/>
  <c r="BG30" i="1"/>
  <c r="BP30" i="1"/>
  <c r="BF28" i="1"/>
  <c r="BF29" i="1"/>
  <c r="BF30" i="1"/>
  <c r="BO30" i="1"/>
  <c r="BD28" i="1"/>
  <c r="BD29" i="1"/>
  <c r="BD30" i="1"/>
  <c r="BM30" i="1"/>
  <c r="BK30" i="1"/>
  <c r="AQ30" i="1"/>
  <c r="AP30" i="1"/>
  <c r="AO30" i="1"/>
  <c r="AN30" i="1"/>
  <c r="AM30" i="1"/>
  <c r="AL30" i="1"/>
  <c r="C5" i="1"/>
  <c r="AK30" i="1"/>
  <c r="AF30" i="1"/>
  <c r="AH6" i="1"/>
  <c r="AE30" i="1"/>
  <c r="AC30" i="1"/>
  <c r="AB30" i="1"/>
  <c r="AA30" i="1"/>
  <c r="Z30" i="1"/>
  <c r="Y30" i="1"/>
  <c r="X30" i="1"/>
  <c r="W30" i="1"/>
  <c r="U30" i="1"/>
  <c r="P30" i="1"/>
  <c r="L30" i="1"/>
  <c r="BL29" i="1"/>
  <c r="BT29" i="1"/>
  <c r="BS29" i="1"/>
  <c r="BL28" i="1"/>
  <c r="BR29" i="1"/>
  <c r="BQ29" i="1"/>
  <c r="BP29" i="1"/>
  <c r="BO29" i="1"/>
  <c r="BM29" i="1"/>
  <c r="BK29" i="1"/>
  <c r="AQ29" i="1"/>
  <c r="AP29" i="1"/>
  <c r="AO29" i="1"/>
  <c r="AN29" i="1"/>
  <c r="AM29" i="1"/>
  <c r="AL29" i="1"/>
  <c r="C11" i="1"/>
  <c r="AK29" i="1"/>
  <c r="AF29" i="1"/>
  <c r="AH5" i="1"/>
  <c r="AE29" i="1"/>
  <c r="AC29" i="1"/>
  <c r="AB29" i="1"/>
  <c r="AA29" i="1"/>
  <c r="Z29" i="1"/>
  <c r="Y29" i="1"/>
  <c r="X29" i="1"/>
  <c r="W29" i="1"/>
  <c r="U29" i="1"/>
  <c r="P29" i="1"/>
  <c r="L29" i="1"/>
  <c r="BT28" i="1"/>
  <c r="BS28" i="1"/>
  <c r="BR28" i="1"/>
  <c r="BQ28" i="1"/>
  <c r="BP28" i="1"/>
  <c r="BO28" i="1"/>
  <c r="BM28" i="1"/>
  <c r="BK28" i="1"/>
  <c r="AQ28" i="1"/>
  <c r="AP28" i="1"/>
  <c r="AO28" i="1"/>
  <c r="AN28" i="1"/>
  <c r="AM28" i="1"/>
  <c r="AL28" i="1"/>
  <c r="C10" i="1"/>
  <c r="AK28" i="1"/>
  <c r="AF28" i="1"/>
  <c r="AH4" i="1"/>
  <c r="AE28" i="1"/>
  <c r="AC28" i="1"/>
  <c r="AB28" i="1"/>
  <c r="AA28" i="1"/>
  <c r="Z28" i="1"/>
  <c r="Y28" i="1"/>
  <c r="X28" i="1"/>
  <c r="W28" i="1"/>
  <c r="U28" i="1"/>
  <c r="P28" i="1"/>
  <c r="L28" i="1"/>
  <c r="DY27" i="1"/>
  <c r="DY26" i="1"/>
  <c r="DY25" i="1"/>
  <c r="CF25" i="1" a="1"/>
  <c r="CF25" i="1"/>
  <c r="CD4" i="1"/>
  <c r="CD5" i="1"/>
  <c r="BT24" i="1"/>
  <c r="BT25" i="1" a="1"/>
  <c r="BT25" i="1"/>
  <c r="BS24" i="1"/>
  <c r="BS25" i="1" a="1"/>
  <c r="BS25" i="1"/>
  <c r="BP24" i="1"/>
  <c r="BP25" i="1" a="1"/>
  <c r="BP25" i="1"/>
  <c r="BO24" i="1"/>
  <c r="BO25" i="1" a="1"/>
  <c r="BO25" i="1"/>
  <c r="AI24" i="1"/>
  <c r="AI25" i="1" a="1"/>
  <c r="AI25" i="1"/>
  <c r="AH24" i="1"/>
  <c r="AH25" i="1" a="1"/>
  <c r="AH25" i="1"/>
  <c r="DX24" i="1"/>
  <c r="BZ24" i="1"/>
  <c r="BR4" i="1"/>
  <c r="BR5" i="1"/>
  <c r="BR6" i="1"/>
  <c r="BR7" i="1"/>
  <c r="BR8" i="1"/>
  <c r="BR9" i="1"/>
  <c r="BR10" i="1"/>
  <c r="BR11" i="1"/>
  <c r="BD12" i="1"/>
  <c r="BR12" i="1"/>
  <c r="BD13" i="1"/>
  <c r="BR13" i="1"/>
  <c r="BD14" i="1"/>
  <c r="BR14" i="1"/>
  <c r="BD15" i="1"/>
  <c r="BR15" i="1"/>
  <c r="BD16" i="1"/>
  <c r="BR16" i="1"/>
  <c r="BD17" i="1"/>
  <c r="BR17" i="1"/>
  <c r="BD18" i="1"/>
  <c r="BR18" i="1"/>
  <c r="BD19" i="1"/>
  <c r="BR19" i="1"/>
  <c r="BD20" i="1"/>
  <c r="BR20" i="1"/>
  <c r="BD21" i="1"/>
  <c r="BR21" i="1"/>
  <c r="BD22" i="1"/>
  <c r="BR22" i="1"/>
  <c r="BD23" i="1"/>
  <c r="BR23" i="1"/>
  <c r="BR24" i="1"/>
  <c r="BQ4" i="1"/>
  <c r="BQ5" i="1"/>
  <c r="BQ6" i="1"/>
  <c r="BQ7" i="1"/>
  <c r="BQ8" i="1"/>
  <c r="BQ9" i="1"/>
  <c r="BQ10" i="1"/>
  <c r="BQ11" i="1"/>
  <c r="BC12" i="1"/>
  <c r="BQ12" i="1"/>
  <c r="BC13" i="1"/>
  <c r="BQ13" i="1"/>
  <c r="BC14" i="1"/>
  <c r="BQ14" i="1"/>
  <c r="BC15" i="1"/>
  <c r="BQ15" i="1"/>
  <c r="BC16" i="1"/>
  <c r="BQ16" i="1"/>
  <c r="BC17" i="1"/>
  <c r="BQ17" i="1"/>
  <c r="BC18" i="1"/>
  <c r="BQ18" i="1"/>
  <c r="BC19" i="1"/>
  <c r="BQ19" i="1"/>
  <c r="BC20" i="1"/>
  <c r="BQ20" i="1"/>
  <c r="BC21" i="1"/>
  <c r="BQ21" i="1"/>
  <c r="BC22" i="1"/>
  <c r="BQ22" i="1"/>
  <c r="BC23" i="1"/>
  <c r="BQ23" i="1"/>
  <c r="BQ24" i="1"/>
  <c r="CN23" i="1"/>
  <c r="CM23" i="1"/>
  <c r="CL23" i="1"/>
  <c r="CK23" i="1"/>
  <c r="CD23" i="1"/>
  <c r="CC23" i="1"/>
  <c r="CB23" i="1"/>
  <c r="CA23" i="1"/>
  <c r="BK23" i="1"/>
  <c r="BJ23" i="1"/>
  <c r="BI23" i="1"/>
  <c r="BH23" i="1"/>
  <c r="BG3" i="1"/>
  <c r="BG23" i="1"/>
  <c r="BF3" i="1"/>
  <c r="BF23" i="1"/>
  <c r="BE3" i="1"/>
  <c r="BE23" i="1"/>
  <c r="BB23" i="1"/>
  <c r="BA23" i="1"/>
  <c r="AZ23" i="1"/>
  <c r="AW23" i="1"/>
  <c r="AU23" i="1"/>
  <c r="AT23" i="1"/>
  <c r="AS23" i="1"/>
  <c r="AR23" i="1"/>
  <c r="AP23" i="1"/>
  <c r="AO23" i="1"/>
  <c r="AN23" i="1"/>
  <c r="AM23" i="1"/>
  <c r="AL23" i="1"/>
  <c r="AK23" i="1"/>
  <c r="AJ23" i="1"/>
  <c r="AG23" i="1"/>
  <c r="AF23" i="1"/>
  <c r="AE23" i="1"/>
  <c r="AD23" i="1"/>
  <c r="AC23" i="1"/>
  <c r="AB23" i="1"/>
  <c r="H23" i="1"/>
  <c r="L23" i="1"/>
  <c r="AA23" i="1"/>
  <c r="Z23" i="1"/>
  <c r="R23" i="1"/>
  <c r="Q23" i="1"/>
  <c r="P23" i="1"/>
  <c r="O23" i="1"/>
  <c r="N23" i="1"/>
  <c r="M23" i="1"/>
  <c r="K23" i="1"/>
  <c r="J23" i="1"/>
  <c r="I23" i="1"/>
  <c r="G23" i="1"/>
  <c r="F23" i="1"/>
  <c r="E23" i="1"/>
  <c r="D23" i="1"/>
  <c r="C23" i="1"/>
  <c r="CN22" i="1"/>
  <c r="CM22" i="1"/>
  <c r="CL22" i="1"/>
  <c r="CK22" i="1"/>
  <c r="CD22" i="1"/>
  <c r="CC22" i="1"/>
  <c r="CB22" i="1"/>
  <c r="CA22" i="1"/>
  <c r="BK22" i="1"/>
  <c r="BJ22" i="1"/>
  <c r="BI22" i="1"/>
  <c r="BH22" i="1"/>
  <c r="BG22" i="1"/>
  <c r="BF22" i="1"/>
  <c r="BE22" i="1"/>
  <c r="BB22" i="1"/>
  <c r="BA22" i="1"/>
  <c r="AZ22" i="1"/>
  <c r="AW22" i="1"/>
  <c r="AU22" i="1"/>
  <c r="AT22" i="1"/>
  <c r="AS22" i="1"/>
  <c r="AR22" i="1"/>
  <c r="AP22" i="1"/>
  <c r="AO22" i="1"/>
  <c r="AN22" i="1"/>
  <c r="AM22" i="1"/>
  <c r="AL22" i="1"/>
  <c r="AK22" i="1"/>
  <c r="AJ22" i="1"/>
  <c r="AG22" i="1"/>
  <c r="AF22" i="1"/>
  <c r="AE22" i="1"/>
  <c r="AD22" i="1"/>
  <c r="AC22" i="1"/>
  <c r="AB22" i="1"/>
  <c r="H22" i="1"/>
  <c r="L22" i="1"/>
  <c r="AA22" i="1"/>
  <c r="Z22" i="1"/>
  <c r="R22" i="1"/>
  <c r="Q22" i="1"/>
  <c r="P22" i="1"/>
  <c r="O22" i="1"/>
  <c r="N22" i="1"/>
  <c r="M22" i="1"/>
  <c r="K22" i="1"/>
  <c r="J22" i="1"/>
  <c r="I22" i="1"/>
  <c r="G22" i="1"/>
  <c r="F22" i="1"/>
  <c r="E22" i="1"/>
  <c r="D22" i="1"/>
  <c r="C22" i="1"/>
  <c r="CN21" i="1"/>
  <c r="CM21" i="1"/>
  <c r="CL21" i="1"/>
  <c r="CK21" i="1"/>
  <c r="CD21" i="1"/>
  <c r="CC21" i="1"/>
  <c r="CB21" i="1"/>
  <c r="CA21" i="1"/>
  <c r="BK21" i="1"/>
  <c r="BJ21" i="1"/>
  <c r="BI21" i="1"/>
  <c r="BH21" i="1"/>
  <c r="BG21" i="1"/>
  <c r="BF21" i="1"/>
  <c r="BE21" i="1"/>
  <c r="BB21" i="1"/>
  <c r="BA21" i="1"/>
  <c r="AZ21" i="1"/>
  <c r="AW21" i="1"/>
  <c r="AU21" i="1"/>
  <c r="AT21" i="1"/>
  <c r="AS21" i="1"/>
  <c r="AR21" i="1"/>
  <c r="AP21" i="1"/>
  <c r="AO21" i="1"/>
  <c r="AN21" i="1"/>
  <c r="AM21" i="1"/>
  <c r="AL21" i="1"/>
  <c r="AK21" i="1"/>
  <c r="AJ21" i="1"/>
  <c r="AG21" i="1"/>
  <c r="AF21" i="1"/>
  <c r="AE21" i="1"/>
  <c r="AD21" i="1"/>
  <c r="AC21" i="1"/>
  <c r="AB21" i="1"/>
  <c r="H21" i="1"/>
  <c r="L21" i="1"/>
  <c r="AA21" i="1"/>
  <c r="Z21" i="1"/>
  <c r="R21" i="1"/>
  <c r="Q21" i="1"/>
  <c r="P21" i="1"/>
  <c r="O21" i="1"/>
  <c r="N21" i="1"/>
  <c r="M21" i="1"/>
  <c r="K21" i="1"/>
  <c r="J21" i="1"/>
  <c r="I21" i="1"/>
  <c r="G21" i="1"/>
  <c r="F21" i="1"/>
  <c r="E21" i="1"/>
  <c r="D21" i="1"/>
  <c r="C21" i="1"/>
  <c r="CN20" i="1"/>
  <c r="CM20" i="1"/>
  <c r="CL20" i="1"/>
  <c r="CK20" i="1"/>
  <c r="CD20" i="1"/>
  <c r="CC20" i="1"/>
  <c r="CB20" i="1"/>
  <c r="CA20" i="1"/>
  <c r="BK20" i="1"/>
  <c r="BJ20" i="1"/>
  <c r="BI20" i="1"/>
  <c r="BH20" i="1"/>
  <c r="BG20" i="1"/>
  <c r="BF20" i="1"/>
  <c r="BE20" i="1"/>
  <c r="BB20" i="1"/>
  <c r="BA20" i="1"/>
  <c r="AZ20" i="1"/>
  <c r="AW20" i="1"/>
  <c r="AU20" i="1"/>
  <c r="AT20" i="1"/>
  <c r="AS20" i="1"/>
  <c r="AR20" i="1"/>
  <c r="AP20" i="1"/>
  <c r="AO20" i="1"/>
  <c r="AN20" i="1"/>
  <c r="AM20" i="1"/>
  <c r="AL20" i="1"/>
  <c r="AK20" i="1"/>
  <c r="AJ20" i="1"/>
  <c r="AG20" i="1"/>
  <c r="AF20" i="1"/>
  <c r="AE20" i="1"/>
  <c r="AD20" i="1"/>
  <c r="AC20" i="1"/>
  <c r="AB20" i="1"/>
  <c r="H20" i="1"/>
  <c r="L20" i="1"/>
  <c r="AA20" i="1"/>
  <c r="Z20" i="1"/>
  <c r="R20" i="1"/>
  <c r="Q20" i="1"/>
  <c r="P20" i="1"/>
  <c r="O20" i="1"/>
  <c r="N20" i="1"/>
  <c r="M20" i="1"/>
  <c r="K20" i="1"/>
  <c r="J20" i="1"/>
  <c r="I20" i="1"/>
  <c r="G20" i="1"/>
  <c r="F20" i="1"/>
  <c r="E20" i="1"/>
  <c r="D20" i="1"/>
  <c r="C20" i="1"/>
  <c r="CN19" i="1"/>
  <c r="CM19" i="1"/>
  <c r="CL19" i="1"/>
  <c r="CK19" i="1"/>
  <c r="CD19" i="1"/>
  <c r="CC19" i="1"/>
  <c r="CB19" i="1"/>
  <c r="CA19" i="1"/>
  <c r="BK19" i="1"/>
  <c r="BJ19" i="1"/>
  <c r="BI19" i="1"/>
  <c r="BH19" i="1"/>
  <c r="BG19" i="1"/>
  <c r="BF19" i="1"/>
  <c r="BE19" i="1"/>
  <c r="BB19" i="1"/>
  <c r="BA19" i="1"/>
  <c r="AZ19" i="1"/>
  <c r="AW19" i="1"/>
  <c r="AU19" i="1"/>
  <c r="AT19" i="1"/>
  <c r="AS19" i="1"/>
  <c r="AR19" i="1"/>
  <c r="AP19" i="1"/>
  <c r="AO19" i="1"/>
  <c r="AN19" i="1"/>
  <c r="AM19" i="1"/>
  <c r="AL19" i="1"/>
  <c r="AK19" i="1"/>
  <c r="AJ19" i="1"/>
  <c r="AG19" i="1"/>
  <c r="AF19" i="1"/>
  <c r="AE19" i="1"/>
  <c r="AD19" i="1"/>
  <c r="AC19" i="1"/>
  <c r="AB19" i="1"/>
  <c r="H19" i="1"/>
  <c r="L19" i="1"/>
  <c r="AA19" i="1"/>
  <c r="Z19" i="1"/>
  <c r="R19" i="1"/>
  <c r="Q19" i="1"/>
  <c r="P19" i="1"/>
  <c r="O19" i="1"/>
  <c r="N19" i="1"/>
  <c r="M19" i="1"/>
  <c r="K19" i="1"/>
  <c r="J19" i="1"/>
  <c r="I19" i="1"/>
  <c r="G19" i="1"/>
  <c r="F19" i="1"/>
  <c r="E19" i="1"/>
  <c r="D19" i="1"/>
  <c r="C19" i="1"/>
  <c r="CN18" i="1"/>
  <c r="CM18" i="1"/>
  <c r="CL18" i="1"/>
  <c r="CK18" i="1"/>
  <c r="CD18" i="1"/>
  <c r="CC18" i="1"/>
  <c r="CB18" i="1"/>
  <c r="CA18" i="1"/>
  <c r="BK18" i="1"/>
  <c r="BJ18" i="1"/>
  <c r="BI18" i="1"/>
  <c r="BH18" i="1"/>
  <c r="BG18" i="1"/>
  <c r="BF18" i="1"/>
  <c r="BE18" i="1"/>
  <c r="BB18" i="1"/>
  <c r="BA18" i="1"/>
  <c r="AZ18" i="1"/>
  <c r="AW18" i="1"/>
  <c r="AU18" i="1"/>
  <c r="AT18" i="1"/>
  <c r="AS18" i="1"/>
  <c r="AR18" i="1"/>
  <c r="AP18" i="1"/>
  <c r="AO18" i="1"/>
  <c r="AN18" i="1"/>
  <c r="AM18" i="1"/>
  <c r="AL18" i="1"/>
  <c r="AK18" i="1"/>
  <c r="AJ18" i="1"/>
  <c r="AG18" i="1"/>
  <c r="AF18" i="1"/>
  <c r="AE18" i="1"/>
  <c r="AD18" i="1"/>
  <c r="AC18" i="1"/>
  <c r="AB18" i="1"/>
  <c r="H18" i="1"/>
  <c r="L18" i="1"/>
  <c r="AA18" i="1"/>
  <c r="Z18" i="1"/>
  <c r="R18" i="1"/>
  <c r="Q18" i="1"/>
  <c r="P18" i="1"/>
  <c r="O18" i="1"/>
  <c r="N18" i="1"/>
  <c r="M18" i="1"/>
  <c r="K18" i="1"/>
  <c r="J18" i="1"/>
  <c r="I18" i="1"/>
  <c r="G18" i="1"/>
  <c r="F18" i="1"/>
  <c r="E18" i="1"/>
  <c r="D18" i="1"/>
  <c r="C18" i="1"/>
  <c r="CN17" i="1"/>
  <c r="CM17" i="1"/>
  <c r="CL17" i="1"/>
  <c r="CK17" i="1"/>
  <c r="CD17" i="1"/>
  <c r="CC17" i="1"/>
  <c r="CB17" i="1"/>
  <c r="CA17" i="1"/>
  <c r="BK17" i="1"/>
  <c r="BJ17" i="1"/>
  <c r="BI17" i="1"/>
  <c r="BH17" i="1"/>
  <c r="BG17" i="1"/>
  <c r="BF17" i="1"/>
  <c r="BE17" i="1"/>
  <c r="BB17" i="1"/>
  <c r="BA17" i="1"/>
  <c r="AZ17" i="1"/>
  <c r="AW17" i="1"/>
  <c r="AU17" i="1"/>
  <c r="AT17" i="1"/>
  <c r="AS17" i="1"/>
  <c r="AR17" i="1"/>
  <c r="AP17" i="1"/>
  <c r="AO17" i="1"/>
  <c r="AN17" i="1"/>
  <c r="AM17" i="1"/>
  <c r="AL17" i="1"/>
  <c r="AK17" i="1"/>
  <c r="AJ17" i="1"/>
  <c r="AG17" i="1"/>
  <c r="AF17" i="1"/>
  <c r="AE17" i="1"/>
  <c r="AD17" i="1"/>
  <c r="AC17" i="1"/>
  <c r="AB17" i="1"/>
  <c r="H17" i="1"/>
  <c r="L17" i="1"/>
  <c r="AA17" i="1"/>
  <c r="Z17" i="1"/>
  <c r="R17" i="1"/>
  <c r="Q17" i="1"/>
  <c r="P17" i="1"/>
  <c r="O17" i="1"/>
  <c r="N17" i="1"/>
  <c r="M17" i="1"/>
  <c r="K17" i="1"/>
  <c r="J17" i="1"/>
  <c r="I17" i="1"/>
  <c r="G17" i="1"/>
  <c r="F17" i="1"/>
  <c r="E17" i="1"/>
  <c r="D17" i="1"/>
  <c r="C17" i="1"/>
  <c r="CN16" i="1"/>
  <c r="CM16" i="1"/>
  <c r="CL16" i="1"/>
  <c r="CK16" i="1"/>
  <c r="CD16" i="1"/>
  <c r="CC16" i="1"/>
  <c r="CB16" i="1"/>
  <c r="CA16" i="1"/>
  <c r="BK16" i="1"/>
  <c r="BJ16" i="1"/>
  <c r="BI16" i="1"/>
  <c r="BH16" i="1"/>
  <c r="BG16" i="1"/>
  <c r="BF16" i="1"/>
  <c r="BE16" i="1"/>
  <c r="BB16" i="1"/>
  <c r="BA16" i="1"/>
  <c r="AZ16" i="1"/>
  <c r="AW16" i="1"/>
  <c r="AU16" i="1"/>
  <c r="AT16" i="1"/>
  <c r="AS16" i="1"/>
  <c r="AR16" i="1"/>
  <c r="AP16" i="1"/>
  <c r="AO16" i="1"/>
  <c r="AN16" i="1"/>
  <c r="AM16" i="1"/>
  <c r="AL16" i="1"/>
  <c r="AK16" i="1"/>
  <c r="AJ16" i="1"/>
  <c r="AG16" i="1"/>
  <c r="AF16" i="1"/>
  <c r="AE16" i="1"/>
  <c r="AD16" i="1"/>
  <c r="AC16" i="1"/>
  <c r="AB16" i="1"/>
  <c r="H16" i="1"/>
  <c r="L16" i="1"/>
  <c r="AA16" i="1"/>
  <c r="Z16" i="1"/>
  <c r="R16" i="1"/>
  <c r="Q16" i="1"/>
  <c r="P16" i="1"/>
  <c r="O16" i="1"/>
  <c r="N16" i="1"/>
  <c r="M16" i="1"/>
  <c r="K16" i="1"/>
  <c r="J16" i="1"/>
  <c r="I16" i="1"/>
  <c r="G16" i="1"/>
  <c r="F16" i="1"/>
  <c r="E16" i="1"/>
  <c r="D16" i="1"/>
  <c r="C16" i="1"/>
  <c r="CN15" i="1"/>
  <c r="CM15" i="1"/>
  <c r="CL15" i="1"/>
  <c r="CK15" i="1"/>
  <c r="CD15" i="1"/>
  <c r="CC15" i="1"/>
  <c r="CB15" i="1"/>
  <c r="CA15" i="1"/>
  <c r="BK15" i="1"/>
  <c r="BJ15" i="1"/>
  <c r="BI15" i="1"/>
  <c r="BH15" i="1"/>
  <c r="BG15" i="1"/>
  <c r="BF15" i="1"/>
  <c r="BE15" i="1"/>
  <c r="BB15" i="1"/>
  <c r="BA15" i="1"/>
  <c r="AZ15" i="1"/>
  <c r="AW15" i="1"/>
  <c r="AU15" i="1"/>
  <c r="AT15" i="1"/>
  <c r="AS15" i="1"/>
  <c r="AR15" i="1"/>
  <c r="AP15" i="1"/>
  <c r="AO15" i="1"/>
  <c r="AN15" i="1"/>
  <c r="AM15" i="1"/>
  <c r="AL15" i="1"/>
  <c r="AK15" i="1"/>
  <c r="AJ15" i="1"/>
  <c r="AG15" i="1"/>
  <c r="AF15" i="1"/>
  <c r="AE15" i="1"/>
  <c r="AD15" i="1"/>
  <c r="AC15" i="1"/>
  <c r="AB15" i="1"/>
  <c r="H15" i="1"/>
  <c r="L15" i="1"/>
  <c r="AA15" i="1"/>
  <c r="Z15" i="1"/>
  <c r="R15" i="1"/>
  <c r="Q15" i="1"/>
  <c r="P15" i="1"/>
  <c r="O15" i="1"/>
  <c r="N15" i="1"/>
  <c r="M15" i="1"/>
  <c r="K15" i="1"/>
  <c r="J15" i="1"/>
  <c r="I15" i="1"/>
  <c r="G15" i="1"/>
  <c r="F15" i="1"/>
  <c r="E15" i="1"/>
  <c r="D15" i="1"/>
  <c r="C15" i="1"/>
  <c r="CN14" i="1"/>
  <c r="CM14" i="1"/>
  <c r="CL14" i="1"/>
  <c r="CK14" i="1"/>
  <c r="CD14" i="1"/>
  <c r="CC14" i="1"/>
  <c r="CB14" i="1"/>
  <c r="CA14" i="1"/>
  <c r="BK14" i="1"/>
  <c r="BJ14" i="1"/>
  <c r="BI14" i="1"/>
  <c r="BH14" i="1"/>
  <c r="BG14" i="1"/>
  <c r="BF14" i="1"/>
  <c r="BE14" i="1"/>
  <c r="BB14" i="1"/>
  <c r="BA14" i="1"/>
  <c r="AZ14" i="1"/>
  <c r="AW14" i="1"/>
  <c r="AU14" i="1"/>
  <c r="AT14" i="1"/>
  <c r="AS14" i="1"/>
  <c r="AR14" i="1"/>
  <c r="AP14" i="1"/>
  <c r="AO14" i="1"/>
  <c r="AN14" i="1"/>
  <c r="AM14" i="1"/>
  <c r="AL14" i="1"/>
  <c r="AK14" i="1"/>
  <c r="AJ14" i="1"/>
  <c r="AG14" i="1"/>
  <c r="AF14" i="1"/>
  <c r="AE14" i="1"/>
  <c r="AD14" i="1"/>
  <c r="AC14" i="1"/>
  <c r="AB14" i="1"/>
  <c r="H14" i="1"/>
  <c r="L14" i="1"/>
  <c r="AA14" i="1"/>
  <c r="Z14" i="1"/>
  <c r="R14" i="1"/>
  <c r="Q14" i="1"/>
  <c r="P14" i="1"/>
  <c r="O14" i="1"/>
  <c r="N14" i="1"/>
  <c r="M14" i="1"/>
  <c r="K14" i="1"/>
  <c r="J14" i="1"/>
  <c r="I14" i="1"/>
  <c r="G14" i="1"/>
  <c r="F14" i="1"/>
  <c r="E14" i="1"/>
  <c r="D14" i="1"/>
  <c r="C14" i="1"/>
  <c r="CN13" i="1"/>
  <c r="CM13" i="1"/>
  <c r="CL13" i="1"/>
  <c r="CK13" i="1"/>
  <c r="CD13" i="1"/>
  <c r="CC13" i="1"/>
  <c r="CB13" i="1"/>
  <c r="CA13" i="1"/>
  <c r="BK13" i="1"/>
  <c r="BJ13" i="1"/>
  <c r="BI13" i="1"/>
  <c r="BH13" i="1"/>
  <c r="BG13" i="1"/>
  <c r="BF13" i="1"/>
  <c r="BE13" i="1"/>
  <c r="BB13" i="1"/>
  <c r="BA13" i="1"/>
  <c r="AZ13" i="1"/>
  <c r="AW13" i="1"/>
  <c r="AU13" i="1"/>
  <c r="AT13" i="1"/>
  <c r="AS13" i="1"/>
  <c r="AR13" i="1"/>
  <c r="AP13" i="1"/>
  <c r="AO13" i="1"/>
  <c r="AN13" i="1"/>
  <c r="AM13" i="1"/>
  <c r="AL13" i="1"/>
  <c r="AK13" i="1"/>
  <c r="AJ13" i="1"/>
  <c r="AG13" i="1"/>
  <c r="AF13" i="1"/>
  <c r="AE13" i="1"/>
  <c r="AD13" i="1"/>
  <c r="AC13" i="1"/>
  <c r="AB13" i="1"/>
  <c r="H13" i="1"/>
  <c r="AA13" i="1"/>
  <c r="Z13" i="1"/>
  <c r="K13" i="1"/>
  <c r="J13" i="1"/>
  <c r="I13" i="1"/>
  <c r="G13" i="1"/>
  <c r="F13" i="1"/>
  <c r="E13" i="1"/>
  <c r="D13" i="1"/>
  <c r="C13" i="1"/>
  <c r="CN12" i="1"/>
  <c r="CM12" i="1"/>
  <c r="CL12" i="1"/>
  <c r="CK12" i="1"/>
  <c r="CD12" i="1"/>
  <c r="CC12" i="1"/>
  <c r="CB12" i="1"/>
  <c r="CA12" i="1"/>
  <c r="BK12" i="1"/>
  <c r="BJ12" i="1"/>
  <c r="BI12" i="1"/>
  <c r="BH12" i="1"/>
  <c r="BG12" i="1"/>
  <c r="BF12" i="1"/>
  <c r="BE12" i="1"/>
  <c r="BB12" i="1"/>
  <c r="BA12" i="1"/>
  <c r="AZ12" i="1"/>
  <c r="AW12" i="1"/>
  <c r="AU12" i="1"/>
  <c r="AT12" i="1"/>
  <c r="AS12" i="1"/>
  <c r="AR12" i="1"/>
  <c r="AP12" i="1"/>
  <c r="AO12" i="1"/>
  <c r="AN12" i="1"/>
  <c r="AM12" i="1"/>
  <c r="AL12" i="1"/>
  <c r="AK12" i="1"/>
  <c r="AJ12" i="1"/>
  <c r="AG12" i="1"/>
  <c r="AF12" i="1"/>
  <c r="AE12" i="1"/>
  <c r="AD12" i="1"/>
  <c r="AC12" i="1"/>
  <c r="AB12" i="1"/>
  <c r="H12" i="1"/>
  <c r="AA12" i="1"/>
  <c r="Z12" i="1"/>
  <c r="K12" i="1"/>
  <c r="J12" i="1"/>
  <c r="I12" i="1"/>
  <c r="G12" i="1"/>
  <c r="F12" i="1"/>
  <c r="E12" i="1"/>
  <c r="D12" i="1"/>
  <c r="C12" i="1"/>
  <c r="CN11" i="1"/>
  <c r="CM11" i="1"/>
  <c r="CD11" i="1"/>
  <c r="CC11" i="1"/>
  <c r="AA11" i="1"/>
  <c r="D11" i="1"/>
  <c r="CN10" i="1"/>
  <c r="CM10" i="1"/>
  <c r="CD10" i="1"/>
  <c r="CC10" i="1"/>
  <c r="AA10" i="1"/>
  <c r="D10" i="1"/>
  <c r="CN9" i="1"/>
  <c r="CM9" i="1"/>
  <c r="CD9" i="1"/>
  <c r="CC9" i="1"/>
  <c r="AA9" i="1"/>
  <c r="D9" i="1"/>
  <c r="CN8" i="1"/>
  <c r="CM8" i="1"/>
  <c r="CD8" i="1"/>
  <c r="CC8" i="1"/>
  <c r="AA8" i="1"/>
  <c r="D8" i="1"/>
  <c r="CN7" i="1"/>
  <c r="CM7" i="1"/>
  <c r="CD7" i="1"/>
  <c r="CC7" i="1"/>
  <c r="AA7" i="1"/>
  <c r="D7" i="1"/>
  <c r="CN6" i="1"/>
  <c r="CM6" i="1"/>
  <c r="CD6" i="1"/>
  <c r="CC6" i="1"/>
  <c r="AA6" i="1"/>
  <c r="D6" i="1"/>
  <c r="CN5" i="1"/>
  <c r="CM5" i="1"/>
  <c r="CC5" i="1"/>
  <c r="AA5" i="1"/>
  <c r="D5" i="1"/>
  <c r="ED4" i="1"/>
  <c r="CN4" i="1"/>
  <c r="CM4" i="1"/>
  <c r="CC4" i="1"/>
  <c r="D4" i="1"/>
  <c r="AH3" i="1"/>
  <c r="BT2" i="1"/>
  <c r="BS2" i="1"/>
  <c r="BP2" i="1"/>
  <c r="BO2" i="1"/>
  <c r="AI2" i="1"/>
  <c r="BQ25" i="1" a="1"/>
  <c r="BQ25" i="1"/>
  <c r="BQ2" i="1"/>
  <c r="BR25" i="1" a="1"/>
  <c r="BR25" i="1"/>
  <c r="BR2" i="1"/>
  <c r="AR49" i="1" a="1"/>
  <c r="AR49" i="1"/>
  <c r="AR26" i="1"/>
  <c r="AT49" i="1" a="1"/>
  <c r="AT49" i="1"/>
  <c r="AT26" i="1"/>
  <c r="AU49" i="1" a="1"/>
  <c r="AU49" i="1"/>
  <c r="AU26" i="1"/>
  <c r="AV49" i="1" a="1"/>
  <c r="AV49" i="1"/>
  <c r="AV26" i="1"/>
  <c r="AW49" i="1" a="1"/>
  <c r="AW49" i="1"/>
  <c r="AW26" i="1"/>
  <c r="AX49" i="1" a="1"/>
  <c r="AX49" i="1"/>
  <c r="AX26" i="1"/>
  <c r="AY49" i="1" a="1"/>
  <c r="AY49" i="1"/>
  <c r="AY26" i="1"/>
  <c r="N49" i="1" a="1"/>
  <c r="N49" i="1"/>
  <c r="N27" i="1"/>
  <c r="AE48" i="1" a="1"/>
  <c r="AE48" i="1"/>
  <c r="AE49" i="1" a="1"/>
  <c r="AE49" i="1"/>
  <c r="AE27" i="1"/>
  <c r="AF48" i="1" a="1"/>
  <c r="AF48" i="1"/>
  <c r="AF49" i="1" a="1"/>
  <c r="AF49" i="1"/>
  <c r="AF27" i="1"/>
  <c r="L35" i="1"/>
  <c r="AQ10" i="1"/>
  <c r="E55" i="1"/>
  <c r="S55" i="1"/>
  <c r="AS28" i="1"/>
  <c r="AI28" i="1"/>
  <c r="AQ11" i="1"/>
  <c r="AS29" i="1"/>
  <c r="AI29" i="1"/>
  <c r="AQ5" i="1"/>
  <c r="AS30" i="1"/>
  <c r="AI30" i="1"/>
  <c r="AQ6" i="1"/>
  <c r="AS31" i="1"/>
  <c r="AI31" i="1"/>
  <c r="AQ4" i="1"/>
  <c r="AS32" i="1"/>
  <c r="AI32" i="1"/>
  <c r="AQ8" i="1"/>
  <c r="AS33" i="1"/>
  <c r="AI33" i="1"/>
  <c r="AQ7" i="1"/>
  <c r="AS34" i="1"/>
  <c r="AI34" i="1"/>
  <c r="AQ9" i="1"/>
  <c r="AS35" i="1"/>
  <c r="AI35" i="1"/>
  <c r="BA28" i="1"/>
  <c r="BB28" i="1"/>
  <c r="BA29" i="1"/>
  <c r="BB29" i="1"/>
  <c r="BA30" i="1"/>
  <c r="BB30" i="1"/>
  <c r="BA31" i="1"/>
  <c r="BB31" i="1"/>
  <c r="BA32" i="1"/>
  <c r="BB32" i="1"/>
  <c r="BA33" i="1"/>
  <c r="BB33" i="1"/>
  <c r="BA34" i="1"/>
  <c r="BB34" i="1"/>
  <c r="BA35" i="1"/>
  <c r="BB35" i="1"/>
  <c r="BA36" i="1"/>
  <c r="BB36" i="1"/>
  <c r="BA37" i="1"/>
  <c r="BB37" i="1"/>
  <c r="AZ28" i="1"/>
  <c r="AH28" i="1"/>
  <c r="AZ29" i="1"/>
  <c r="AH29" i="1"/>
  <c r="AZ30" i="1"/>
  <c r="AH30" i="1"/>
  <c r="AZ31" i="1"/>
  <c r="AH31" i="1"/>
  <c r="AZ32" i="1"/>
  <c r="AH32" i="1"/>
  <c r="AZ33" i="1"/>
  <c r="AH33" i="1"/>
  <c r="AZ34" i="1"/>
  <c r="AH34" i="1"/>
  <c r="AZ35" i="1"/>
  <c r="AH35" i="1"/>
  <c r="AZ36" i="1"/>
  <c r="AH36" i="1"/>
  <c r="AZ37" i="1"/>
  <c r="AH37" i="1"/>
  <c r="BC28" i="1"/>
  <c r="BC29" i="1"/>
  <c r="BC30" i="1"/>
  <c r="BC31" i="1"/>
  <c r="BC32" i="1"/>
  <c r="BC48" i="1" a="1"/>
  <c r="BC48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N30" i="1"/>
  <c r="BN29" i="1"/>
  <c r="BN28" i="1"/>
  <c r="AS48" i="1" a="1"/>
  <c r="AS48" i="1"/>
  <c r="AS49" i="1" a="1"/>
  <c r="AS49" i="1"/>
  <c r="AS26" i="1"/>
  <c r="BB48" i="1"/>
  <c r="BB49" i="1" a="1"/>
  <c r="BB49" i="1"/>
  <c r="BB26" i="1"/>
  <c r="E49" i="1"/>
  <c r="E50" i="1"/>
  <c r="E51" i="1"/>
  <c r="E52" i="1"/>
  <c r="E53" i="1"/>
  <c r="E54" i="1"/>
  <c r="E56" i="1"/>
  <c r="G49" i="1"/>
  <c r="S49" i="1"/>
  <c r="G50" i="1"/>
  <c r="G51" i="1"/>
  <c r="G52" i="1"/>
  <c r="G53" i="1"/>
  <c r="S56" i="1"/>
  <c r="S54" i="1"/>
  <c r="S53" i="1"/>
  <c r="S52" i="1"/>
  <c r="S51" i="1"/>
  <c r="S50" i="1"/>
  <c r="CM25" i="1" a="1"/>
  <c r="CM25" i="1"/>
</calcChain>
</file>

<file path=xl/sharedStrings.xml><?xml version="1.0" encoding="utf-8"?>
<sst xmlns="http://schemas.openxmlformats.org/spreadsheetml/2006/main" count="201" uniqueCount="63">
  <si>
    <t>EPUREE 10</t>
  </si>
  <si>
    <t>0 POUR VIDE</t>
  </si>
  <si>
    <t>NP</t>
  </si>
  <si>
    <t>N°</t>
  </si>
  <si>
    <t>CHEVAL</t>
  </si>
  <si>
    <t>MUSIQUE</t>
  </si>
  <si>
    <t>M épurée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</si>
  <si>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</si>
  <si>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</si>
  <si>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</si>
  <si>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</si>
  <si>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</si>
  <si>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</si>
  <si>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</si>
  <si>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</si>
  <si>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</si>
  <si>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</si>
  <si>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</si>
  <si>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</si>
  <si>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Nb</t>
  </si>
  <si>
    <t>MW</t>
  </si>
  <si>
    <t>MANQUE</t>
  </si>
  <si>
    <t>VB%</t>
  </si>
  <si>
    <t>LS</t>
  </si>
  <si>
    <t>PW</t>
  </si>
  <si>
    <t>Chaos</t>
  </si>
  <si>
    <t>Aot</t>
  </si>
  <si>
    <t>Ok</t>
  </si>
  <si>
    <t>OA</t>
  </si>
  <si>
    <t>Pwsé</t>
  </si>
  <si>
    <t>K</t>
  </si>
  <si>
    <t>A</t>
  </si>
  <si>
    <t>di^2</t>
  </si>
  <si>
    <t>yi-xi</t>
  </si>
  <si>
    <t>AOT</t>
  </si>
  <si>
    <t>*</t>
  </si>
  <si>
    <t>RODNEY</t>
  </si>
  <si>
    <t>PK</t>
  </si>
  <si>
    <t>FHC</t>
  </si>
  <si>
    <t>ID</t>
  </si>
  <si>
    <t>RH</t>
  </si>
  <si>
    <t>Vgap</t>
  </si>
  <si>
    <t>BIN</t>
  </si>
  <si>
    <t>OK</t>
  </si>
  <si>
    <t>Manque</t>
  </si>
  <si>
    <t>FHC Rod</t>
  </si>
  <si>
    <t>FVE</t>
  </si>
  <si>
    <t>FBS</t>
  </si>
  <si>
    <t>OFB_2</t>
  </si>
  <si>
    <t>FOF_1</t>
  </si>
  <si>
    <t>FAV</t>
  </si>
  <si>
    <t>OFV</t>
  </si>
  <si>
    <t>FBB</t>
  </si>
  <si>
    <t>FGO_1</t>
  </si>
  <si>
    <t>FOF_2</t>
  </si>
  <si>
    <t>OFB_1</t>
  </si>
  <si>
    <t>OGO_2</t>
  </si>
  <si>
    <t>ODE_1</t>
  </si>
  <si>
    <t>ODE_3</t>
  </si>
  <si>
    <t>FGO_2</t>
  </si>
  <si>
    <t>OGO_1</t>
  </si>
  <si>
    <t>ODE_2</t>
  </si>
  <si>
    <t>OGO_0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</si>
</sst>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30303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Calibri"/>
      <family val="2"/>
      <scheme val="minor"/>
    </font>
    <font>
      <b/>
      <sz val="8"/>
      <name val="Arial"/>
      <family val="2"/>
    </font>
    <font>
      <sz val="7"/>
      <color rgb="FF333333"/>
      <name val="Courier New"/>
      <family val="3"/>
    </font>
    <font>
      <b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2" fontId="2" fillId="0" borderId="0" xfId="0" applyNumberFormat="1" applyFont="1" applyBorder="1" applyAlignment="1" applyProtection="1">
      <alignment vertical="center"/>
      <protection hidden="1"/>
    </xf>
    <xf numFmtId="164" fontId="2" fillId="0" borderId="8" xfId="0" applyNumberFormat="1" applyFont="1" applyBorder="1" applyAlignment="1" applyProtection="1">
      <alignment horizontal="center" vertical="center"/>
      <protection hidden="1"/>
    </xf>
    <xf numFmtId="9" fontId="2" fillId="0" borderId="3" xfId="1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 applyProtection="1">
      <alignment horizontal="center" vertical="center"/>
      <protection hidden="1"/>
    </xf>
    <xf numFmtId="1" fontId="2" fillId="0" borderId="4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9" fontId="2" fillId="0" borderId="9" xfId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8" xfId="0" applyNumberFormat="1" applyFont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164" fontId="2" fillId="0" borderId="14" xfId="0" applyNumberFormat="1" applyFont="1" applyBorder="1" applyAlignment="1" applyProtection="1">
      <alignment horizontal="center" vertical="center"/>
      <protection hidden="1"/>
    </xf>
    <xf numFmtId="9" fontId="2" fillId="0" borderId="11" xfId="1" applyFont="1" applyBorder="1" applyAlignment="1" applyProtection="1">
      <alignment horizontal="center" vertical="center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1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0" fontId="2" fillId="0" borderId="13" xfId="0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6" borderId="11" xfId="0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6" fillId="7" borderId="0" xfId="0" applyFont="1" applyFill="1" applyAlignment="1" applyProtection="1">
      <alignment vertical="center"/>
      <protection hidden="1"/>
    </xf>
    <xf numFmtId="0" fontId="2" fillId="7" borderId="0" xfId="0" applyFont="1" applyFill="1" applyAlignment="1" applyProtection="1">
      <alignment vertical="center"/>
      <protection hidden="1"/>
    </xf>
    <xf numFmtId="2" fontId="7" fillId="0" borderId="0" xfId="0" applyNumberFormat="1" applyFont="1"/>
    <xf numFmtId="164" fontId="7" fillId="0" borderId="0" xfId="0" applyNumberFormat="1" applyFont="1"/>
    <xf numFmtId="1" fontId="2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/>
    <xf numFmtId="164" fontId="2" fillId="8" borderId="0" xfId="0" applyNumberFormat="1" applyFont="1" applyFill="1" applyAlignment="1" applyProtection="1">
      <alignment vertical="center"/>
      <protection hidden="1"/>
    </xf>
    <xf numFmtId="2" fontId="2" fillId="0" borderId="3" xfId="0" applyNumberFormat="1" applyFont="1" applyBorder="1" applyAlignment="1" applyProtection="1">
      <alignment horizontal="center" vertical="center"/>
      <protection hidden="1"/>
    </xf>
    <xf numFmtId="1" fontId="10" fillId="0" borderId="0" xfId="0" applyNumberFormat="1" applyFont="1"/>
    <xf numFmtId="0" fontId="11" fillId="0" borderId="0" xfId="0" applyFont="1" applyAlignment="1" applyProtection="1">
      <alignment horizontal="center" vertical="center"/>
      <protection hidden="1"/>
    </xf>
    <xf numFmtId="1" fontId="12" fillId="0" borderId="0" xfId="0" applyNumberFormat="1" applyFont="1"/>
    <xf numFmtId="2" fontId="2" fillId="0" borderId="9" xfId="0" applyNumberFormat="1" applyFont="1" applyBorder="1" applyAlignment="1" applyProtection="1">
      <alignment horizontal="center" vertical="center"/>
      <protection hidden="1"/>
    </xf>
    <xf numFmtId="164" fontId="2" fillId="3" borderId="0" xfId="0" applyNumberFormat="1" applyFont="1" applyFill="1" applyAlignment="1" applyProtection="1">
      <alignment vertical="center"/>
      <protection hidden="1"/>
    </xf>
    <xf numFmtId="2" fontId="2" fillId="3" borderId="0" xfId="0" applyNumberFormat="1" applyFont="1" applyFill="1" applyAlignment="1" applyProtection="1">
      <alignment vertical="center"/>
      <protection hidden="1"/>
    </xf>
    <xf numFmtId="9" fontId="2" fillId="0" borderId="0" xfId="0" applyNumberFormat="1" applyFont="1" applyAlignment="1" applyProtection="1">
      <alignment vertical="center"/>
      <protection hidden="1"/>
    </xf>
    <xf numFmtId="0" fontId="2" fillId="9" borderId="0" xfId="0" applyFont="1" applyFill="1" applyAlignment="1" applyProtection="1">
      <alignment vertical="center"/>
      <protection hidden="1"/>
    </xf>
    <xf numFmtId="0" fontId="2" fillId="10" borderId="0" xfId="0" applyFont="1" applyFill="1" applyAlignment="1" applyProtection="1">
      <alignment vertical="center"/>
      <protection hidden="1"/>
    </xf>
    <xf numFmtId="164" fontId="13" fillId="0" borderId="0" xfId="0" applyNumberFormat="1" applyFont="1" applyBorder="1" applyAlignment="1">
      <alignment horizontal="left" vertical="center" readingOrder="1"/>
    </xf>
    <xf numFmtId="0" fontId="14" fillId="11" borderId="0" xfId="0" applyFont="1" applyFill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10" borderId="0" xfId="0" applyFont="1" applyFill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il\Downloads\PROTO_V3%20tierc&#233;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es"/>
      <sheetName val="WebQuery"/>
      <sheetName val="Partants"/>
      <sheetName val="Calcul"/>
      <sheetName val="Accueil"/>
      <sheetName val="Chaos_Aot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a Jouer"/>
      <sheetName val="BASES"/>
      <sheetName val="Stats"/>
      <sheetName val="BILAN B1 PERSO MENSUEL"/>
      <sheetName val="BILAN B1 PERSO"/>
      <sheetName val="Arrivée"/>
      <sheetName val="Data"/>
      <sheetName val="LES  COTES  LIVE"/>
    </sheetNames>
    <sheetDataSet>
      <sheetData sheetId="0"/>
      <sheetData sheetId="1"/>
      <sheetData sheetId="2">
        <row r="2">
          <cell r="A2">
            <v>1</v>
          </cell>
          <cell r="B2" t="str">
            <v>EL PATRON</v>
          </cell>
          <cell r="E2" t="str">
            <v>4p 5p 6p (17) 1p 3p 7p</v>
          </cell>
        </row>
        <row r="3">
          <cell r="A3">
            <v>2</v>
          </cell>
          <cell r="B3" t="str">
            <v>ASCOT SPIRIT</v>
          </cell>
          <cell r="E3" t="str">
            <v>2p 0p 1p 4p 6p 6p 3p 4p</v>
          </cell>
        </row>
        <row r="4">
          <cell r="A4">
            <v>3</v>
          </cell>
          <cell r="B4" t="str">
            <v>DANCE COLONY</v>
          </cell>
          <cell r="E4" t="str">
            <v>6p 0p 3p 3p 1p 4p 4p 5p (17) 5p 3p 1p 8p</v>
          </cell>
        </row>
        <row r="5">
          <cell r="A5">
            <v>4</v>
          </cell>
          <cell r="B5" t="str">
            <v>VILLABONA</v>
          </cell>
          <cell r="E5" t="str">
            <v>0p 1p 4p 4p 9p 7p</v>
          </cell>
        </row>
        <row r="6">
          <cell r="A6">
            <v>5</v>
          </cell>
          <cell r="B6" t="str">
            <v>ALETS</v>
          </cell>
          <cell r="E6" t="str">
            <v>4p 3p 3p 3p 2p 2p 2p (17) 1p 5p 2p 0p 1p</v>
          </cell>
        </row>
        <row r="7">
          <cell r="A7">
            <v>6</v>
          </cell>
          <cell r="B7" t="str">
            <v>ALL THIS TIME</v>
          </cell>
          <cell r="E7" t="str">
            <v>5p 3p 7p 8p (17) 3p 4p 2p 4p 2p 3p 1p</v>
          </cell>
        </row>
        <row r="8">
          <cell r="A8">
            <v>7</v>
          </cell>
          <cell r="B8" t="str">
            <v>MOUT</v>
          </cell>
          <cell r="E8" t="str">
            <v>1p 5p 2p (17) 2p</v>
          </cell>
        </row>
        <row r="9">
          <cell r="A9">
            <v>8</v>
          </cell>
          <cell r="B9" t="str">
            <v>FARADAY LE DUN</v>
          </cell>
          <cell r="E9" t="str">
            <v>1p 3p 3p 8p 6p 3p 2p</v>
          </cell>
        </row>
        <row r="10">
          <cell r="A10">
            <v>0</v>
          </cell>
          <cell r="B10">
            <v>0</v>
          </cell>
          <cell r="E10">
            <v>0</v>
          </cell>
        </row>
        <row r="11">
          <cell r="A11">
            <v>0</v>
          </cell>
          <cell r="B11">
            <v>0</v>
          </cell>
          <cell r="E11">
            <v>0</v>
          </cell>
        </row>
        <row r="12">
          <cell r="A12">
            <v>0</v>
          </cell>
          <cell r="B12">
            <v>0</v>
          </cell>
          <cell r="E12">
            <v>0</v>
          </cell>
        </row>
        <row r="13">
          <cell r="A13">
            <v>0</v>
          </cell>
          <cell r="B13">
            <v>0</v>
          </cell>
          <cell r="E13">
            <v>0</v>
          </cell>
        </row>
        <row r="14">
          <cell r="A14">
            <v>0</v>
          </cell>
          <cell r="B14">
            <v>0</v>
          </cell>
          <cell r="E14">
            <v>0</v>
          </cell>
        </row>
        <row r="15">
          <cell r="A15">
            <v>0</v>
          </cell>
          <cell r="B15">
            <v>0</v>
          </cell>
          <cell r="E15">
            <v>0</v>
          </cell>
        </row>
        <row r="16">
          <cell r="A16">
            <v>0</v>
          </cell>
          <cell r="B16">
            <v>0</v>
          </cell>
          <cell r="E16">
            <v>0</v>
          </cell>
        </row>
        <row r="17">
          <cell r="A17">
            <v>0</v>
          </cell>
          <cell r="B17">
            <v>0</v>
          </cell>
          <cell r="E17">
            <v>0</v>
          </cell>
        </row>
        <row r="18">
          <cell r="A18">
            <v>0</v>
          </cell>
          <cell r="B18">
            <v>0</v>
          </cell>
          <cell r="E18">
            <v>0</v>
          </cell>
        </row>
        <row r="19">
          <cell r="A19">
            <v>0</v>
          </cell>
          <cell r="B19">
            <v>0</v>
          </cell>
          <cell r="E19">
            <v>0</v>
          </cell>
        </row>
        <row r="20">
          <cell r="A20">
            <v>0</v>
          </cell>
          <cell r="B20">
            <v>0</v>
          </cell>
          <cell r="E20">
            <v>0</v>
          </cell>
        </row>
        <row r="21">
          <cell r="A21">
            <v>0</v>
          </cell>
          <cell r="B21">
            <v>0</v>
          </cell>
          <cell r="E21">
            <v>0</v>
          </cell>
        </row>
      </sheetData>
      <sheetData sheetId="3"/>
      <sheetData sheetId="4"/>
      <sheetData sheetId="5">
        <row r="5">
          <cell r="Z5" t="str">
            <v>m1</v>
          </cell>
          <cell r="AA5" t="str">
            <v>m2</v>
          </cell>
          <cell r="AB5" t="str">
            <v>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A2CF-9550-46EC-A001-819F5D1DD45E}">
  <dimension ref="A1:EW113"/>
  <sheetViews>
    <sheetView tabSelected="1" topLeftCell="BP1" workbookViewId="0">
      <selection activeCell="CD25" sqref="CD25"/>
    </sheetView>
  </sheetViews>
  <sheetFormatPr baseColWidth="10" defaultColWidth="11.44140625" defaultRowHeight="10.199999999999999" x14ac:dyDescent="0.3"/>
  <cols>
    <col min="1" max="1" width="3.88671875" style="1" bestFit="1" customWidth="1"/>
    <col min="2" max="2" width="5.6640625" style="1" bestFit="1" customWidth="1"/>
    <col min="3" max="3" width="14.109375" style="1" bestFit="1" customWidth="1"/>
    <col min="4" max="4" width="25.109375" style="1" bestFit="1" customWidth="1"/>
    <col min="5" max="5" width="11.21875" style="1" customWidth="1"/>
    <col min="6" max="6" width="6.33203125" style="1" bestFit="1" customWidth="1"/>
    <col min="7" max="8" width="4.77734375" style="1" customWidth="1"/>
    <col min="9" max="9" width="3.44140625" style="1" bestFit="1" customWidth="1"/>
    <col min="10" max="10" width="2.44140625" style="1" bestFit="1" customWidth="1"/>
    <col min="11" max="11" width="3.6640625" style="1" bestFit="1" customWidth="1"/>
    <col min="12" max="12" width="2.88671875" style="1" bestFit="1" customWidth="1"/>
    <col min="13" max="13" width="3.109375" style="1" bestFit="1" customWidth="1"/>
    <col min="14" max="14" width="4.44140625" style="1" customWidth="1"/>
    <col min="15" max="15" width="3.109375" style="1" bestFit="1" customWidth="1"/>
    <col min="16" max="16" width="6.33203125" style="1" bestFit="1" customWidth="1"/>
    <col min="17" max="17" width="3.109375" style="1" bestFit="1" customWidth="1"/>
    <col min="18" max="18" width="2.44140625" style="1" bestFit="1" customWidth="1"/>
    <col min="19" max="20" width="6.33203125" style="1" bestFit="1" customWidth="1"/>
    <col min="21" max="21" width="6.88671875" style="1" bestFit="1" customWidth="1"/>
    <col min="22" max="23" width="2.44140625" style="1" bestFit="1" customWidth="1"/>
    <col min="24" max="24" width="3" style="1" bestFit="1" customWidth="1"/>
    <col min="25" max="26" width="7.33203125" style="1" bestFit="1" customWidth="1"/>
    <col min="27" max="27" width="6.33203125" style="1" bestFit="1" customWidth="1"/>
    <col min="28" max="28" width="8" style="1" bestFit="1" customWidth="1"/>
    <col min="29" max="29" width="3.6640625" style="1" bestFit="1" customWidth="1"/>
    <col min="30" max="30" width="2.44140625" style="1" bestFit="1" customWidth="1"/>
    <col min="31" max="31" width="9.6640625" style="1" bestFit="1" customWidth="1"/>
    <col min="32" max="32" width="6" style="1" customWidth="1"/>
    <col min="33" max="33" width="6.33203125" style="1" bestFit="1" customWidth="1"/>
    <col min="34" max="34" width="4.77734375" style="1" customWidth="1"/>
    <col min="35" max="35" width="5.44140625" style="1" customWidth="1"/>
    <col min="36" max="36" width="6" style="1" bestFit="1" customWidth="1"/>
    <col min="37" max="37" width="14.109375" style="1" bestFit="1" customWidth="1"/>
    <col min="38" max="41" width="2.44140625" style="1" bestFit="1" customWidth="1"/>
    <col min="42" max="42" width="5.5546875" style="1" customWidth="1"/>
    <col min="43" max="43" width="3.44140625" style="1" bestFit="1" customWidth="1"/>
    <col min="44" max="49" width="5.6640625" style="1" customWidth="1"/>
    <col min="50" max="50" width="7.33203125" style="1" customWidth="1"/>
    <col min="51" max="51" width="6.88671875" style="1" customWidth="1"/>
    <col min="52" max="52" width="2.44140625" style="1" bestFit="1" customWidth="1"/>
    <col min="53" max="53" width="3.6640625" style="1" bestFit="1" customWidth="1"/>
    <col min="54" max="54" width="5" style="1" bestFit="1" customWidth="1"/>
    <col min="55" max="55" width="6.33203125" style="1" bestFit="1" customWidth="1"/>
    <col min="56" max="56" width="5.21875" style="1" bestFit="1" customWidth="1"/>
    <col min="57" max="57" width="5" style="1" bestFit="1" customWidth="1"/>
    <col min="58" max="59" width="2.6640625" style="1" bestFit="1" customWidth="1"/>
    <col min="60" max="62" width="2.44140625" style="1" bestFit="1" customWidth="1"/>
    <col min="63" max="63" width="4" style="1" bestFit="1" customWidth="1"/>
    <col min="64" max="64" width="6.44140625" style="1" bestFit="1" customWidth="1"/>
    <col min="65" max="65" width="3.109375" style="1" bestFit="1" customWidth="1"/>
    <col min="66" max="66" width="2.44140625" style="1" bestFit="1" customWidth="1"/>
    <col min="67" max="72" width="4.77734375" style="1" customWidth="1"/>
    <col min="73" max="73" width="2.44140625" style="1" bestFit="1" customWidth="1"/>
    <col min="74" max="74" width="8.33203125" style="1" bestFit="1" customWidth="1"/>
    <col min="75" max="75" width="4.33203125" style="1" bestFit="1" customWidth="1"/>
    <col min="76" max="76" width="2.44140625" style="1" bestFit="1" customWidth="1"/>
    <col min="77" max="77" width="3.109375" style="1" bestFit="1" customWidth="1"/>
    <col min="78" max="78" width="4.44140625" style="1" bestFit="1" customWidth="1"/>
    <col min="79" max="81" width="2.44140625" style="1" bestFit="1" customWidth="1"/>
    <col min="82" max="82" width="8.33203125" style="1" bestFit="1" customWidth="1"/>
    <col min="83" max="83" width="2.44140625" style="1" bestFit="1" customWidth="1"/>
    <col min="84" max="84" width="3.44140625" style="1" bestFit="1" customWidth="1"/>
    <col min="85" max="85" width="3.33203125" style="1" bestFit="1" customWidth="1"/>
    <col min="86" max="86" width="2.44140625" style="1" bestFit="1" customWidth="1"/>
    <col min="87" max="88" width="3.109375" style="1" bestFit="1" customWidth="1"/>
    <col min="89" max="90" width="2.44140625" style="1" bestFit="1" customWidth="1"/>
    <col min="91" max="91" width="6.33203125" style="1" bestFit="1" customWidth="1"/>
    <col min="92" max="93" width="2.44140625" style="1" bestFit="1" customWidth="1"/>
    <col min="94" max="94" width="3.44140625" style="1" bestFit="1" customWidth="1"/>
    <col min="95" max="95" width="3.33203125" style="1" bestFit="1" customWidth="1"/>
    <col min="96" max="96" width="2.44140625" style="1" bestFit="1" customWidth="1"/>
    <col min="97" max="98" width="3.109375" style="1" bestFit="1" customWidth="1"/>
    <col min="99" max="100" width="2.44140625" style="1" bestFit="1" customWidth="1"/>
    <col min="101" max="103" width="3.109375" style="1" bestFit="1" customWidth="1"/>
    <col min="104" max="104" width="3.44140625" style="1" bestFit="1" customWidth="1"/>
    <col min="105" max="105" width="3.33203125" style="1" bestFit="1" customWidth="1"/>
    <col min="106" max="107" width="3.109375" style="1" bestFit="1" customWidth="1"/>
    <col min="108" max="108" width="4.44140625" style="1" bestFit="1" customWidth="1"/>
    <col min="109" max="109" width="3.109375" style="1" bestFit="1" customWidth="1"/>
    <col min="110" max="110" width="3.6640625" style="1" bestFit="1" customWidth="1"/>
    <col min="111" max="111" width="3.109375" style="1" bestFit="1" customWidth="1"/>
    <col min="112" max="112" width="6.33203125" style="1" bestFit="1" customWidth="1"/>
    <col min="113" max="113" width="3.109375" style="1" bestFit="1" customWidth="1"/>
    <col min="114" max="114" width="3.44140625" style="1" bestFit="1" customWidth="1"/>
    <col min="115" max="115" width="3.33203125" style="1" bestFit="1" customWidth="1"/>
    <col min="116" max="119" width="3.109375" style="1" bestFit="1" customWidth="1"/>
    <col min="120" max="120" width="4.5546875" style="1" bestFit="1" customWidth="1"/>
    <col min="121" max="123" width="3.109375" style="1" bestFit="1" customWidth="1"/>
    <col min="124" max="124" width="4.77734375" style="1" customWidth="1"/>
    <col min="125" max="125" width="3.33203125" style="1" bestFit="1" customWidth="1"/>
    <col min="126" max="127" width="3.109375" style="1" bestFit="1" customWidth="1"/>
    <col min="128" max="128" width="4.44140625" style="1" bestFit="1" customWidth="1"/>
    <col min="129" max="153" width="3.109375" style="1" bestFit="1" customWidth="1"/>
    <col min="154" max="154" width="5.6640625" style="1" customWidth="1"/>
    <col min="155" max="304" width="3.6640625" style="1" customWidth="1"/>
    <col min="305" max="16384" width="11.44140625" style="1"/>
  </cols>
  <sheetData>
    <row r="1" spans="1:153" x14ac:dyDescent="0.3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J1" s="2">
        <v>61</v>
      </c>
      <c r="BK1" s="2">
        <v>62</v>
      </c>
      <c r="BL1" s="2">
        <v>63</v>
      </c>
      <c r="BM1" s="2">
        <v>64</v>
      </c>
      <c r="BN1" s="2">
        <v>65</v>
      </c>
      <c r="BO1" s="2">
        <v>66</v>
      </c>
      <c r="BP1" s="2">
        <v>67</v>
      </c>
      <c r="BQ1" s="2">
        <v>68</v>
      </c>
      <c r="BR1" s="2">
        <v>69</v>
      </c>
      <c r="BS1" s="2">
        <v>70</v>
      </c>
      <c r="BT1" s="2">
        <v>71</v>
      </c>
      <c r="BU1" s="2">
        <v>72</v>
      </c>
      <c r="BV1" s="2">
        <v>73</v>
      </c>
      <c r="BW1" s="2">
        <v>74</v>
      </c>
      <c r="BX1" s="2">
        <v>75</v>
      </c>
      <c r="BY1" s="2">
        <v>76</v>
      </c>
      <c r="BZ1" s="2">
        <v>77</v>
      </c>
      <c r="CA1" s="2">
        <v>78</v>
      </c>
      <c r="CB1" s="2">
        <v>79</v>
      </c>
      <c r="CC1" s="2">
        <v>80</v>
      </c>
      <c r="CD1" s="2">
        <v>81</v>
      </c>
      <c r="CE1" s="2">
        <v>82</v>
      </c>
      <c r="CF1" s="2">
        <v>83</v>
      </c>
      <c r="CG1" s="2">
        <v>84</v>
      </c>
      <c r="CH1" s="2">
        <v>85</v>
      </c>
      <c r="CI1" s="2">
        <v>86</v>
      </c>
      <c r="CJ1" s="2">
        <v>87</v>
      </c>
      <c r="CK1" s="2">
        <v>88</v>
      </c>
      <c r="CL1" s="2">
        <v>89</v>
      </c>
      <c r="CM1" s="2">
        <v>90</v>
      </c>
      <c r="CN1" s="2">
        <v>91</v>
      </c>
      <c r="CO1" s="2">
        <v>92</v>
      </c>
      <c r="CP1" s="2">
        <v>93</v>
      </c>
      <c r="CQ1" s="2">
        <v>94</v>
      </c>
      <c r="CR1" s="2">
        <v>95</v>
      </c>
      <c r="CS1" s="2">
        <v>96</v>
      </c>
      <c r="CT1" s="2">
        <v>97</v>
      </c>
      <c r="CU1" s="2">
        <v>98</v>
      </c>
      <c r="CV1" s="2">
        <v>99</v>
      </c>
      <c r="CW1" s="2">
        <v>100</v>
      </c>
      <c r="CX1" s="2">
        <v>101</v>
      </c>
      <c r="CY1" s="2">
        <v>102</v>
      </c>
      <c r="CZ1" s="2">
        <v>103</v>
      </c>
      <c r="DA1" s="2">
        <v>104</v>
      </c>
      <c r="DB1" s="2">
        <v>105</v>
      </c>
      <c r="DC1" s="2">
        <v>106</v>
      </c>
      <c r="DD1" s="2">
        <v>107</v>
      </c>
      <c r="DE1" s="2">
        <v>108</v>
      </c>
      <c r="DF1" s="2">
        <v>109</v>
      </c>
      <c r="DG1" s="2">
        <v>110</v>
      </c>
      <c r="DH1" s="2">
        <v>111</v>
      </c>
      <c r="DI1" s="2">
        <v>112</v>
      </c>
      <c r="DJ1" s="2">
        <v>113</v>
      </c>
      <c r="DK1" s="2">
        <v>114</v>
      </c>
      <c r="DL1" s="2">
        <v>115</v>
      </c>
      <c r="DM1" s="2">
        <v>116</v>
      </c>
      <c r="DN1" s="2">
        <v>117</v>
      </c>
      <c r="DO1" s="2">
        <v>118</v>
      </c>
      <c r="DP1" s="2">
        <v>119</v>
      </c>
      <c r="DQ1" s="2">
        <v>120</v>
      </c>
      <c r="DR1" s="2">
        <v>121</v>
      </c>
      <c r="DS1" s="2">
        <v>122</v>
      </c>
      <c r="DT1" s="2">
        <v>123</v>
      </c>
      <c r="DU1" s="2">
        <v>124</v>
      </c>
      <c r="DV1" s="2">
        <v>125</v>
      </c>
      <c r="DW1" s="2">
        <v>126</v>
      </c>
      <c r="DX1" s="2">
        <v>127</v>
      </c>
      <c r="DY1" s="2">
        <v>128</v>
      </c>
      <c r="DZ1" s="2">
        <v>129</v>
      </c>
      <c r="EA1" s="2">
        <v>130</v>
      </c>
      <c r="EB1" s="2">
        <v>131</v>
      </c>
      <c r="EC1" s="2">
        <v>132</v>
      </c>
      <c r="ED1" s="2">
        <v>133</v>
      </c>
      <c r="EE1" s="2">
        <v>134</v>
      </c>
      <c r="EF1" s="2">
        <v>135</v>
      </c>
      <c r="EG1" s="2">
        <v>136</v>
      </c>
      <c r="EH1" s="2">
        <v>137</v>
      </c>
      <c r="EI1" s="2">
        <v>138</v>
      </c>
      <c r="EJ1" s="2">
        <v>139</v>
      </c>
      <c r="EK1" s="2">
        <v>140</v>
      </c>
      <c r="EL1" s="2">
        <v>141</v>
      </c>
      <c r="EM1" s="2">
        <v>142</v>
      </c>
      <c r="EN1" s="2">
        <v>143</v>
      </c>
      <c r="EO1" s="2">
        <v>144</v>
      </c>
      <c r="EP1" s="2">
        <v>145</v>
      </c>
      <c r="EQ1" s="2">
        <v>146</v>
      </c>
      <c r="ER1" s="2">
        <v>147</v>
      </c>
      <c r="ES1" s="2">
        <v>148</v>
      </c>
      <c r="ET1" s="2">
        <v>149</v>
      </c>
      <c r="EU1" s="2">
        <v>150</v>
      </c>
      <c r="EV1" s="2">
        <v>151</v>
      </c>
      <c r="EW1" s="2">
        <v>152</v>
      </c>
    </row>
    <row r="2" spans="1:153" x14ac:dyDescent="0.3">
      <c r="U2" s="1" t="s">
        <v>0</v>
      </c>
      <c r="AB2" s="1" t="s">
        <v>1</v>
      </c>
      <c r="AI2" s="3" t="e">
        <f ca="1">MATCH(AI25,AI4:AI21,0)</f>
        <v>#VALUE!</v>
      </c>
      <c r="BO2" s="4">
        <f ca="1">MATCH(BO25,BO4:BO23,0)</f>
        <v>1</v>
      </c>
      <c r="BP2" s="4">
        <f t="shared" ref="BP2:BT2" ca="1" si="0">MATCH(BP25,BP4:BP23,0)</f>
        <v>3</v>
      </c>
      <c r="BQ2" s="4">
        <f t="shared" ca="1" si="0"/>
        <v>2</v>
      </c>
      <c r="BR2" s="4">
        <f t="shared" ca="1" si="0"/>
        <v>3</v>
      </c>
      <c r="BS2" s="4">
        <f t="shared" ca="1" si="0"/>
        <v>1</v>
      </c>
      <c r="BT2" s="4">
        <f t="shared" ca="1" si="0"/>
        <v>3</v>
      </c>
    </row>
    <row r="3" spans="1:153" x14ac:dyDescent="0.3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U3" s="5" t="s">
        <v>7</v>
      </c>
      <c r="V3" s="5" t="s">
        <v>8</v>
      </c>
      <c r="W3" s="5" t="s">
        <v>9</v>
      </c>
      <c r="X3" s="5" t="s">
        <v>10</v>
      </c>
      <c r="Y3" s="5" t="s">
        <v>11</v>
      </c>
      <c r="Z3" s="5" t="s">
        <v>12</v>
      </c>
      <c r="AB3" s="5" t="s">
        <v>7</v>
      </c>
      <c r="AC3" s="5" t="s">
        <v>8</v>
      </c>
      <c r="AD3" s="5" t="s">
        <v>9</v>
      </c>
      <c r="AE3" s="5" t="s">
        <v>10</v>
      </c>
      <c r="AF3" s="5" t="s">
        <v>11</v>
      </c>
      <c r="AG3" s="5" t="s">
        <v>12</v>
      </c>
      <c r="AH3" s="3" t="e">
        <f ca="1">MATCH(AH25,AH4:AH21,0)</f>
        <v>#REF!</v>
      </c>
      <c r="AI3" s="5" t="s">
        <v>20</v>
      </c>
      <c r="AJ3" s="5" t="s">
        <v>21</v>
      </c>
      <c r="AK3" s="4"/>
      <c r="AL3" s="4"/>
      <c r="AM3" s="4"/>
      <c r="AN3" s="4"/>
      <c r="AO3" s="4"/>
      <c r="AP3" s="4"/>
      <c r="AQ3" s="5" t="s">
        <v>22</v>
      </c>
      <c r="AR3" s="5" t="s">
        <v>23</v>
      </c>
      <c r="AS3" s="4"/>
      <c r="AT3" s="4"/>
      <c r="AU3" s="4"/>
      <c r="AV3" s="8" t="s">
        <v>24</v>
      </c>
      <c r="AW3" s="4"/>
      <c r="AX3" s="9" t="s">
        <v>25</v>
      </c>
      <c r="AY3" s="8" t="s">
        <v>26</v>
      </c>
      <c r="AZ3" s="4"/>
      <c r="BA3" s="4"/>
      <c r="BB3" s="4"/>
      <c r="BC3" s="9" t="s">
        <v>27</v>
      </c>
      <c r="BD3" s="8" t="s">
        <v>28</v>
      </c>
      <c r="BE3" s="3" t="str">
        <f xml:space="preserve"> [1]Chaos_Aot!Z5</f>
        <v>m1</v>
      </c>
      <c r="BF3" s="3" t="str">
        <f xml:space="preserve"> [1]Chaos_Aot!AA5</f>
        <v>m2</v>
      </c>
      <c r="BG3" s="3" t="str">
        <f xml:space="preserve"> [1]Chaos_Aot!AB5</f>
        <v>m3</v>
      </c>
      <c r="BH3" s="4"/>
      <c r="BI3" s="4"/>
      <c r="BJ3" s="4"/>
      <c r="BK3" s="8" t="s">
        <v>29</v>
      </c>
      <c r="BL3" s="9" t="s">
        <v>30</v>
      </c>
      <c r="BM3" s="8" t="s">
        <v>31</v>
      </c>
      <c r="BN3" s="4"/>
      <c r="BO3" s="10" t="s">
        <v>25</v>
      </c>
      <c r="BP3" s="11" t="s">
        <v>26</v>
      </c>
      <c r="BQ3" s="10" t="s">
        <v>27</v>
      </c>
      <c r="BR3" s="11" t="s">
        <v>28</v>
      </c>
      <c r="BS3" s="10" t="s">
        <v>30</v>
      </c>
      <c r="BT3" s="11" t="s">
        <v>31</v>
      </c>
      <c r="BU3" s="4"/>
      <c r="BV3" s="5" t="s">
        <v>32</v>
      </c>
      <c r="BW3" s="5" t="s">
        <v>33</v>
      </c>
      <c r="BX3" s="5" t="s">
        <v>3</v>
      </c>
      <c r="BY3" s="12" t="s">
        <v>34</v>
      </c>
      <c r="BZ3" s="12" t="s">
        <v>25</v>
      </c>
      <c r="CA3" s="13">
        <v>1</v>
      </c>
      <c r="CB3" s="13">
        <v>0</v>
      </c>
      <c r="CC3" s="14"/>
      <c r="CD3" s="14"/>
      <c r="CE3" s="4"/>
      <c r="CF3" s="5" t="s">
        <v>32</v>
      </c>
      <c r="CG3" s="5" t="s">
        <v>33</v>
      </c>
      <c r="CH3" s="5" t="s">
        <v>3</v>
      </c>
      <c r="CI3" s="12" t="s">
        <v>34</v>
      </c>
      <c r="CJ3" s="12" t="s">
        <v>30</v>
      </c>
      <c r="CK3" s="13">
        <v>1</v>
      </c>
      <c r="CL3" s="13">
        <v>0</v>
      </c>
      <c r="CM3" s="14"/>
      <c r="CN3" s="14"/>
      <c r="CO3" s="4"/>
      <c r="CP3" s="5" t="s">
        <v>32</v>
      </c>
      <c r="CQ3" s="5" t="s">
        <v>33</v>
      </c>
      <c r="CR3" s="5" t="s">
        <v>3</v>
      </c>
      <c r="CS3" s="12" t="s">
        <v>31</v>
      </c>
      <c r="CT3" s="12" t="s">
        <v>30</v>
      </c>
      <c r="CU3" s="13">
        <v>1</v>
      </c>
      <c r="CV3" s="13">
        <v>0</v>
      </c>
      <c r="CW3" s="14"/>
      <c r="CX3" s="14"/>
      <c r="CY3" s="4"/>
      <c r="CZ3" s="5" t="s">
        <v>32</v>
      </c>
      <c r="DA3" s="5" t="s">
        <v>33</v>
      </c>
      <c r="DB3" s="5" t="s">
        <v>3</v>
      </c>
      <c r="DC3" s="12" t="s">
        <v>31</v>
      </c>
      <c r="DD3" s="12" t="s">
        <v>25</v>
      </c>
      <c r="DE3" s="13">
        <v>1</v>
      </c>
      <c r="DF3" s="13">
        <v>0</v>
      </c>
      <c r="DG3" s="14"/>
      <c r="DH3" s="14"/>
      <c r="DI3" s="4"/>
      <c r="DJ3" s="5" t="s">
        <v>32</v>
      </c>
      <c r="DK3" s="5" t="s">
        <v>33</v>
      </c>
      <c r="DL3" s="5" t="s">
        <v>3</v>
      </c>
      <c r="DM3" s="12" t="s">
        <v>31</v>
      </c>
      <c r="DN3" s="12" t="s">
        <v>34</v>
      </c>
      <c r="DO3" s="13">
        <v>1</v>
      </c>
      <c r="DP3" s="13">
        <v>0</v>
      </c>
      <c r="DQ3" s="14"/>
      <c r="DR3" s="14"/>
      <c r="DS3" s="4"/>
      <c r="DT3" s="5" t="s">
        <v>32</v>
      </c>
      <c r="DU3" s="5" t="s">
        <v>33</v>
      </c>
      <c r="DV3" s="5" t="s">
        <v>3</v>
      </c>
      <c r="DW3" s="12" t="s">
        <v>30</v>
      </c>
      <c r="DX3" s="12" t="s">
        <v>25</v>
      </c>
      <c r="DY3" s="13">
        <v>1</v>
      </c>
      <c r="DZ3" s="13">
        <v>0</v>
      </c>
      <c r="EA3" s="14"/>
      <c r="EB3" s="14"/>
    </row>
    <row r="4" spans="1:153" x14ac:dyDescent="0.3">
      <c r="A4" s="15"/>
      <c r="B4" s="8">
        <f ca="1">IF(A4=1,0,[1]Partants!A2)</f>
        <v>1</v>
      </c>
      <c r="C4" s="16" t="str">
        <f ca="1">[1]Partants!B2</f>
        <v>EL PATRON</v>
      </c>
      <c r="D4" s="17" t="str">
        <f ca="1">[1]Partants!E2</f>
        <v>4p 5p 6p (17) 1p 3p 7p</v>
      </c>
      <c r="E4" s="18" t="e">
        <f ca="1">musique(D4)</f>
        <v>#NAME?</v>
      </c>
      <c r="F4" s="8">
        <v>4</v>
      </c>
      <c r="G4" s="19">
        <v>5</v>
      </c>
      <c r="H4" s="8">
        <v>6</v>
      </c>
      <c r="I4" s="19">
        <v>1</v>
      </c>
      <c r="J4" s="8">
        <v>3</v>
      </c>
      <c r="K4" s="19">
        <v>7</v>
      </c>
      <c r="L4" s="8"/>
      <c r="M4" s="19"/>
      <c r="N4" s="8"/>
      <c r="O4" s="19"/>
      <c r="P4" s="9"/>
      <c r="Q4" s="8"/>
      <c r="R4" s="20"/>
      <c r="T4" s="1">
        <v>1</v>
      </c>
      <c r="U4" s="9">
        <f ca="1">IF(B4&lt;&gt;0,IF(F4="","",IF(F4=0,11,F4)),"")</f>
        <v>4</v>
      </c>
      <c r="V4" s="9">
        <f ca="1">IF(B4&lt;&gt;0,IF(G4="","",IF(G4=0,11,G4)),"")</f>
        <v>5</v>
      </c>
      <c r="W4" s="9">
        <f ca="1">IF(B4&lt;&gt;0,IF(H4="","",IF(H4=0,11,H4)),"")</f>
        <v>6</v>
      </c>
      <c r="X4" s="9">
        <f ca="1">IF(B4&lt;&gt;0,IF(I4="","",IF(I4=0,11,I4)),"")</f>
        <v>1</v>
      </c>
      <c r="Y4" s="9">
        <f ca="1">IF(B4&lt;&gt;0,IF(J4="","",IF(J4=0,11,J4)),"")</f>
        <v>3</v>
      </c>
      <c r="Z4" s="9">
        <f ca="1">IF(B4&lt;&gt;0,IF(K4="","",IF(K4=0,11,K4)),"")</f>
        <v>7</v>
      </c>
      <c r="AA4" s="9"/>
      <c r="AB4" s="9">
        <f t="shared" ref="AB4:AB23" ca="1" si="1">IF(B4&lt;&gt;0,IF(U4="",0,U4),"")</f>
        <v>4</v>
      </c>
      <c r="AC4" s="19">
        <f t="shared" ref="AC4:AC23" ca="1" si="2">IF(B4&lt;&gt;0,IF(V4="",0,V4),"")</f>
        <v>5</v>
      </c>
      <c r="AD4" s="19">
        <f t="shared" ref="AD4:AD23" ca="1" si="3">IF(B4&lt;&gt;0,IF(W4="",0,W4),"")</f>
        <v>6</v>
      </c>
      <c r="AE4" s="19">
        <f t="shared" ref="AE4:AE23" ca="1" si="4">IF(B4&lt;&gt;0,IF(X4="",0,X4),"")</f>
        <v>1</v>
      </c>
      <c r="AF4" s="19">
        <f t="shared" ref="AF4:AF23" ca="1" si="5">IF(B4&lt;&gt;0,IF(Y4="",0,Y4),"")</f>
        <v>3</v>
      </c>
      <c r="AG4" s="20">
        <f t="shared" ref="AG4:AG23" ca="1" si="6">IF(B4&lt;&gt;0,IF(Z4="",0,Z4),"")</f>
        <v>7</v>
      </c>
      <c r="AH4" s="21">
        <f ca="1">IF(B4&lt;&gt;0,IF(F4="","",AVERAGE(AB4:AF4)),"")</f>
        <v>3.8</v>
      </c>
      <c r="AI4" s="22">
        <f t="shared" ref="AI4:AI23" ca="1" si="7">IF(B4&lt;&gt;0,IF(U4="",36,(SUM(AB4:AG4)-AVERAGE(AB4:AG4))+(B4*0.00000000001)),"")</f>
        <v>21.666666666676669</v>
      </c>
      <c r="AJ4" s="9" t="str">
        <f ca="1">IF(B4&lt;&gt;0,IF(COUNTIF(U4:Z4,1)&gt;0,"",1),"")</f>
        <v/>
      </c>
      <c r="AK4" s="8">
        <f ca="1">IF(B4&lt;&gt;0,IF(COUNTIF(U4:Z4,2)&gt;0,"",2),"")</f>
        <v>2</v>
      </c>
      <c r="AL4" s="19" t="str">
        <f t="shared" ref="AL4:AL23" ca="1" si="8">IF(B4&lt;&gt;0,IF(COUNTIF(U4:Z4,3)&gt;0,"",3),"")</f>
        <v/>
      </c>
      <c r="AM4" s="8" t="str">
        <f t="shared" ref="AM4:AM23" ca="1" si="9">IF(B4&lt;&gt;0,IF(COUNTIF(U4:Z4,4)&gt;0,"",4),"")</f>
        <v/>
      </c>
      <c r="AN4" s="19" t="str">
        <f t="shared" ref="AN4:AN23" ca="1" si="10">IF(B4&lt;&gt;0,IF(COUNTIF(U4:Z4,5)&gt;0,"",5),"")</f>
        <v/>
      </c>
      <c r="AO4" s="8">
        <f t="shared" ref="AO4:AO23" ca="1" si="11">IF(B4&lt;&gt;0,IF(COUNTIF(U4:Z4,10)&gt;0,"",0),"")</f>
        <v>0</v>
      </c>
      <c r="AP4" s="8">
        <f ca="1">IF(ISERROR(IF(B4&lt;&gt;0,VALUE(CONCATENATE(AJ4,AK4,AL4,AM4,AN4,AO4)),"")),"x",IF(B4&lt;&gt;0,VALUE(CONCATENATE(AJ4,AK4,AL4,AM4,AN4,AO4)),""))</f>
        <v>20</v>
      </c>
      <c r="AQ4" s="23">
        <f ca="1">IF(B4&lt;&gt;0,((SUMPRODUCT((COUNTIF(AJ4:AO4,{1,2,3,4,5,10})=0)*{48,24,14,9,4,1})/100))+(B4*0.0000001),"")</f>
        <v>0.76000009999999996</v>
      </c>
      <c r="AR4" s="24">
        <f ca="1">IF(B4&lt;&gt;0,(((100+COUNTIF(U4:Z4,"&lt;7")*7-SUMIF(U4:Z4,"&lt;7"))-(COUNTIF(U4:Z4,8)+COUNTIF(U4:Z4,9)+COUNTIF(U4:Z4,10))))-(B4*0.0000001),"")</f>
        <v>115.99999990000001</v>
      </c>
      <c r="AS4" s="9" t="str">
        <f t="shared" ref="AS4:AS23" ca="1" si="12">IF(B4&lt;&gt;0,IF(U4=1,9,IF(U4=2,6,IF(U4=3,3,""))),"")</f>
        <v/>
      </c>
      <c r="AT4" s="19" t="str">
        <f t="shared" ref="AT4:AT23" ca="1" si="13">IF(B4&lt;&gt;0,IF(V4=1,6,IF(V4=2,4,IF(V4=3,2,""))),"")</f>
        <v/>
      </c>
      <c r="AU4" s="20" t="str">
        <f t="shared" ref="AU4:AU23" ca="1" si="14">IF(B4&lt;&gt;0,IF(W4=1,3,IF(W4=2,2,IF(W4=3,1,""))),"")</f>
        <v/>
      </c>
      <c r="AV4" s="8">
        <f t="shared" ref="AV4:AV23" ca="1" si="15">IF(B4&lt;&gt;0,SUM(AS4:AU4),"")</f>
        <v>0</v>
      </c>
      <c r="AW4" s="19">
        <f ca="1">IF(B4&lt;&gt;0,SUMIF(U4:Z4,"&lt;7"),"")</f>
        <v>19</v>
      </c>
      <c r="AX4" s="25">
        <f ca="1">IF(B4&lt;&gt;0,IF(AW4=0,110,AR4+AB4+AC4+AD4),"")</f>
        <v>130.99999990000001</v>
      </c>
      <c r="AY4" s="26">
        <f ca="1">IF(B4&lt;&gt;0,IF(AW4=0,110,IF(AV4=0,AX4,131+AV4)),"")</f>
        <v>130.99999990000001</v>
      </c>
      <c r="AZ4" s="9">
        <f t="shared" ref="AZ4:AZ23" ca="1" si="16">IF(B4&lt;&gt;0,IF(ISERROR(SMALL(U4:Z4,1)),0,SMALL(U4:Z4,1)),"")</f>
        <v>1</v>
      </c>
      <c r="BA4" s="19">
        <f t="shared" ref="BA4:BA23" ca="1" si="17">IF(B4&lt;&gt;0,IF(ISERROR(SMALL(U4:Z4,2)),0,SMALL(U4:Z4,2)),"")</f>
        <v>3</v>
      </c>
      <c r="BB4" s="20">
        <f t="shared" ref="BB4:BB23" ca="1" si="18">IF(B4&lt;&gt;0,IF(ISERROR(SMALL(U4:Z4,3)),0,SMALL(U4:Z4,3)),"")</f>
        <v>4</v>
      </c>
      <c r="BC4" s="26">
        <f t="shared" ref="BC4:BC23" ca="1" si="19">IF(B4&lt;&gt;0,IF(AW4=0,110,AR4+AZ4+BA4+BB4),"")</f>
        <v>123.99999990000001</v>
      </c>
      <c r="BD4" s="26">
        <f t="shared" ref="BD4:BD23" ca="1" si="20">IF(B4&lt;&gt;0,IF(AW4=0,110,IF(AV4=0,BC4,131+AV4)),"")</f>
        <v>123.99999990000001</v>
      </c>
      <c r="BE4" s="9">
        <f ca="1">IF($BE$3="m1",U4,IF($BE$3="m2",V4,IF($BE$3="m3",W4,IF($BE$3="m4",X4,IF($BE$3="m5",Y4,IF($BE$3="m6",Z4,""))))))</f>
        <v>4</v>
      </c>
      <c r="BF4" s="19">
        <f t="shared" ref="BF4:BF23" ca="1" si="21">IF($BF$3="m1",U4,IF($BF$3="m2",V4,IF($BF$3="m3",W4,IF($BF$3="m4",X4,IF($BF$3="m5",Y4,IF($BF$3="m6",Z4,""))))))</f>
        <v>5</v>
      </c>
      <c r="BG4" s="20">
        <f t="shared" ref="BG4:BG23" ca="1" si="22">IF($BG$3="m1",U4,IF($BG$3="m2",V4,IF($BG$3="m3",W4,IF($BG$3="m4",X4,IF($BG$3="m5",Y4,IF($BG$3="m6",Z4,""))))))</f>
        <v>6</v>
      </c>
      <c r="BH4" s="8" t="str">
        <f t="shared" ref="BH4:BH23" ca="1" si="23">IF(B4&lt;&gt;0,IF(BE4=1,9,IF(BE4=2,6,IF(BE4=3,3,""))),"")</f>
        <v/>
      </c>
      <c r="BI4" s="8" t="str">
        <f t="shared" ref="BI4:BI23" ca="1" si="24">IF(B4&lt;&gt;0,IF(BF4=1,6,IF(BF4=2,4,IF(BF4=3,2,""))),"")</f>
        <v/>
      </c>
      <c r="BJ4" s="8" t="str">
        <f t="shared" ref="BJ4:BJ23" ca="1" si="25">IF(B4&lt;&gt;0,IF(BG4=1,3,IF(BG4=2,2,IF(BG4=3,1,""))),"")</f>
        <v/>
      </c>
      <c r="BK4" s="8">
        <f t="shared" ref="BK4:BK23" ca="1" si="26">IF(B4&lt;&gt;0,SUM(BH4:BJ4),"")</f>
        <v>0</v>
      </c>
      <c r="BL4" s="26">
        <f ca="1">IF(B4&lt;&gt;0,IF(AW4=0,110,AR4+AB4+AC4+AD4),"")</f>
        <v>130.99999990000001</v>
      </c>
      <c r="BM4" s="26">
        <f t="shared" ref="BM4:BM23" ca="1" si="27">IF(B4&lt;&gt;0,IF(AW4=0,110,IF(BK4=0,BL4,131+BK4)),"")</f>
        <v>130.99999990000001</v>
      </c>
      <c r="BN4" s="4"/>
      <c r="BO4" s="8">
        <f ca="1">IF(AX4&lt;&gt;"",ROUND(AX4,0),"")</f>
        <v>131</v>
      </c>
      <c r="BP4" s="8">
        <f t="shared" ref="BP4:BP23" ca="1" si="28">IF(AY4&lt;&gt;"",ROUND(AY4,0),"")</f>
        <v>131</v>
      </c>
      <c r="BQ4" s="8">
        <f ca="1">IF(BC4&lt;&gt;"",ROUND(BC4,0),"")</f>
        <v>124</v>
      </c>
      <c r="BR4" s="8">
        <f ca="1">IF(BD4&lt;&gt;"",ROUND(BD4,0),"")</f>
        <v>124</v>
      </c>
      <c r="BS4" s="8">
        <f ca="1">IF(BL4&lt;&gt;"",ROUND(BL4,0),"")</f>
        <v>131</v>
      </c>
      <c r="BT4" s="8">
        <f ca="1">IF(BM4&lt;&gt;"",ROUND(BM4,0),"")</f>
        <v>131</v>
      </c>
      <c r="BU4" s="4"/>
      <c r="BV4" s="25">
        <f ca="1">IF(BW4="","",(BW4^2)+(BX4*0.0000001))</f>
        <v>9.9999999999999995E-8</v>
      </c>
      <c r="BW4" s="20">
        <f ca="1">IF(BX4="","",CB4-CA4)</f>
        <v>0</v>
      </c>
      <c r="BX4" s="8">
        <f t="shared" ref="BX4:BX23" ca="1" si="29">IF(B4&lt;&gt;0,B4,"")</f>
        <v>1</v>
      </c>
      <c r="BY4" s="27">
        <f t="shared" ref="BY4:BY23" ca="1" si="30">BP4</f>
        <v>131</v>
      </c>
      <c r="BZ4" s="28">
        <f t="shared" ref="BZ4:BZ24" ca="1" si="31">BO4</f>
        <v>131</v>
      </c>
      <c r="CA4" s="27">
        <f ca="1">IF(BY4&lt;&gt;"",RANK(BY4,BY4:BY23,CA3),"")</f>
        <v>3</v>
      </c>
      <c r="CB4" s="29">
        <f ca="1">IF(BZ4&lt;&gt;"",RANK(BZ4,BZ4:BZ23,CB3),"")</f>
        <v>3</v>
      </c>
      <c r="CC4" s="29">
        <f ca="1">IF(BY4&lt;&gt;"",CB4-CA4,"")</f>
        <v>0</v>
      </c>
      <c r="CD4" s="30">
        <f ca="1">IF(BX4&lt;&gt;"",VLOOKUP(SMALL(BV3:BV22,1),BV3:BX22,3,FALSE),"")</f>
        <v>1</v>
      </c>
      <c r="CE4" s="4"/>
      <c r="CF4" s="25">
        <f ca="1">IF(CG4="","",(CG4^2)+(CH4*0.0000001))</f>
        <v>9.9999999999999995E-8</v>
      </c>
      <c r="CG4" s="20">
        <f ca="1">IF(CH4="","",CL4-CK4)</f>
        <v>0</v>
      </c>
      <c r="CH4" s="8">
        <f t="shared" ref="CH4:CH23" ca="1" si="32">BX4</f>
        <v>1</v>
      </c>
      <c r="CI4" s="27">
        <f t="shared" ref="CI4:CI23" ca="1" si="33">BP4</f>
        <v>131</v>
      </c>
      <c r="CJ4" s="28">
        <f t="shared" ref="CJ4:CJ23" ca="1" si="34">BS4</f>
        <v>131</v>
      </c>
      <c r="CK4" s="27">
        <f ca="1">IF(CI4&lt;&gt;"",RANK(CI4,CI4:CI23,CK3),"")</f>
        <v>3</v>
      </c>
      <c r="CL4" s="29">
        <f ca="1">IF(CJ4&lt;&gt;"",RANK(CJ4,CJ4:CJ23,CL3),"")</f>
        <v>3</v>
      </c>
      <c r="CM4" s="29">
        <f ca="1">IF(CI4&lt;&gt;"",CL4-CK4,"")</f>
        <v>0</v>
      </c>
      <c r="CN4" s="31">
        <f ca="1">IF(CH4&lt;&gt;"",VLOOKUP(SMALL(CF4:CF23,1),CF4:CH23,3,FALSE),"")</f>
        <v>1</v>
      </c>
      <c r="CO4" s="4"/>
      <c r="CP4" s="25">
        <f ca="1">IF(CQ4="","",(CQ4^2)+(CR4*0.0000001))</f>
        <v>9.9999999999999995E-8</v>
      </c>
      <c r="CQ4" s="20">
        <f ca="1">IF(CR4="","",CV4-CU4)</f>
        <v>0</v>
      </c>
      <c r="CR4" s="8">
        <f t="shared" ref="CR4:CR23" ca="1" si="35">BX4</f>
        <v>1</v>
      </c>
      <c r="CS4" s="27">
        <f t="shared" ref="CS4:CS23" ca="1" si="36">BT4</f>
        <v>131</v>
      </c>
      <c r="CT4" s="28">
        <f t="shared" ref="CT4:CT23" ca="1" si="37">BS4</f>
        <v>131</v>
      </c>
      <c r="CU4" s="27">
        <f ca="1">IF(CS4&lt;&gt;"",RANK(CS4,CS4:CS23,CU3),"")</f>
        <v>3</v>
      </c>
      <c r="CV4" s="29">
        <f ca="1">IF(CT4&lt;&gt;"",RANK(CT4,CT4:CT23,CV3),"")</f>
        <v>3</v>
      </c>
      <c r="CW4" s="29">
        <f ca="1">IF(CS4&lt;&gt;"",CV4-CU4,"")</f>
        <v>0</v>
      </c>
      <c r="CX4" s="31">
        <f ca="1">IF(CR4&lt;&gt;"",VLOOKUP(SMALL(CP4:CP23,1),CP4:CR23,3,FALSE),"")</f>
        <v>1</v>
      </c>
      <c r="CY4" s="4"/>
      <c r="CZ4" s="25">
        <f ca="1">IF(DA4="","",(DA4^2)+(DB4*0.0000001))</f>
        <v>9.9999999999999995E-8</v>
      </c>
      <c r="DA4" s="20">
        <f ca="1">IF(DB4="","",DF4-DE4)</f>
        <v>0</v>
      </c>
      <c r="DB4" s="8">
        <f t="shared" ref="DB4:DB23" ca="1" si="38">BX4</f>
        <v>1</v>
      </c>
      <c r="DC4" s="27">
        <f t="shared" ref="DC4:DC23" ca="1" si="39">BT4</f>
        <v>131</v>
      </c>
      <c r="DD4" s="28">
        <f t="shared" ref="DD4:DD24" ca="1" si="40">BO4</f>
        <v>131</v>
      </c>
      <c r="DE4" s="27">
        <f ca="1">IF(DC4&lt;&gt;"",RANK(DC4,DC4:DC23,DE3),"")</f>
        <v>3</v>
      </c>
      <c r="DF4" s="29">
        <f ca="1">IF(DD4&lt;&gt;"",RANK(DD4,DD4:DD23,DF3),"")</f>
        <v>3</v>
      </c>
      <c r="DG4" s="29">
        <f ca="1">IF(DC4&lt;&gt;"",DF4-DE4,"")</f>
        <v>0</v>
      </c>
      <c r="DH4" s="31">
        <f ca="1">IF(DB4&lt;&gt;"",VLOOKUP(SMALL(CZ4:CZ23,1),CZ4:DB23,3,FALSE),"")</f>
        <v>1</v>
      </c>
      <c r="DI4" s="4"/>
      <c r="DJ4" s="25">
        <f ca="1">IF(DK4="","",(DK4^2)+(DL4*0.0000001))</f>
        <v>9.0000000999999994</v>
      </c>
      <c r="DK4" s="20">
        <f ca="1">IF(DL4="","",DP4-DO4)</f>
        <v>3</v>
      </c>
      <c r="DL4" s="8">
        <f t="shared" ref="DL4:DL23" ca="1" si="41">BX4</f>
        <v>1</v>
      </c>
      <c r="DM4" s="27">
        <f t="shared" ref="DM4:DM23" ca="1" si="42">BT4</f>
        <v>131</v>
      </c>
      <c r="DN4" s="28">
        <f t="shared" ref="DN4:DN23" ca="1" si="43">BP4</f>
        <v>131</v>
      </c>
      <c r="DO4" s="27">
        <f ca="1">IF(DM4&lt;&gt;"",RANK(DM4,DM4:DM23,DO3),"")</f>
        <v>3</v>
      </c>
      <c r="DP4" s="29">
        <f ca="1">IF(DN4&lt;&gt;"",RANK(DN4,DN4:DN23,DP3),"")</f>
        <v>6</v>
      </c>
      <c r="DQ4" s="29">
        <f ca="1">IF(DM4&lt;&gt;"",DP4-DO4,"")</f>
        <v>3</v>
      </c>
      <c r="DR4" s="31">
        <f ca="1">IF(DL4&lt;&gt;"",VLOOKUP(SMALL(DJ4:DJ23,1),DJ4:DL23,3,FALSE),"")</f>
        <v>3</v>
      </c>
      <c r="DS4" s="4" t="s">
        <v>35</v>
      </c>
      <c r="DT4" s="25">
        <f ca="1">IF(DU4="","",(DU4^2)+(DV4*0.0000001))</f>
        <v>4.0000001000000003</v>
      </c>
      <c r="DU4" s="20">
        <f ca="1">IF(DV4="","",DZ4-DY4)</f>
        <v>-2</v>
      </c>
      <c r="DV4" s="8">
        <f t="shared" ref="DV4:DV23" ca="1" si="44">BX4</f>
        <v>1</v>
      </c>
      <c r="DW4" s="27">
        <f ca="1">BS4</f>
        <v>131</v>
      </c>
      <c r="DX4" s="28">
        <f t="shared" ref="DX4:DX24" ca="1" si="45">BO4</f>
        <v>131</v>
      </c>
      <c r="DY4" s="27">
        <f ca="1">IF(DW4&lt;&gt;"",RANK(DW4,DW4:DW23,DY3),"")</f>
        <v>5</v>
      </c>
      <c r="DZ4" s="29">
        <f ca="1">IF(DX4&lt;&gt;"",RANK(DX4,DX4:DX23,DZ3),"")</f>
        <v>3</v>
      </c>
      <c r="EA4" s="29">
        <f ca="1">IF(DW4&lt;&gt;"",DZ4-DY4,"")</f>
        <v>-2</v>
      </c>
      <c r="EB4" s="31">
        <f ca="1">IF(DV4&lt;&gt;"",VLOOKUP(SMALL(DT4:DT23,1),DT4:DV23,3,FALSE),"")</f>
        <v>1</v>
      </c>
      <c r="ED4" s="1">
        <f ca="1">IFERROR(VLOOKUP(LARGE(DT7:DT10,2),DT7:EB10,9,FALSE),"")</f>
        <v>5</v>
      </c>
    </row>
    <row r="5" spans="1:153" x14ac:dyDescent="0.3">
      <c r="A5" s="15"/>
      <c r="B5" s="32">
        <f ca="1">IF(A5=1,0,[1]Partants!A3)</f>
        <v>2</v>
      </c>
      <c r="C5" s="33" t="str">
        <f ca="1">[1]Partants!B3</f>
        <v>ASCOT SPIRIT</v>
      </c>
      <c r="D5" s="34" t="str">
        <f ca="1">[1]Partants!E3</f>
        <v>2p 0p 1p 4p 6p 6p 3p 4p</v>
      </c>
      <c r="E5" s="18" t="e">
        <f t="shared" ref="E5:E23" ca="1" si="46">musique(D5)</f>
        <v>#NAME?</v>
      </c>
      <c r="F5" s="35">
        <v>2</v>
      </c>
      <c r="G5" s="1">
        <v>0</v>
      </c>
      <c r="H5" s="32">
        <v>1</v>
      </c>
      <c r="I5" s="35">
        <v>4</v>
      </c>
      <c r="J5" s="32">
        <v>6</v>
      </c>
      <c r="K5" s="35">
        <v>6</v>
      </c>
      <c r="L5" s="32"/>
      <c r="M5" s="35"/>
      <c r="N5" s="32"/>
      <c r="O5" s="35"/>
      <c r="P5" s="36"/>
      <c r="Q5" s="32"/>
      <c r="R5" s="37"/>
      <c r="T5" s="1">
        <v>2</v>
      </c>
      <c r="U5" s="35">
        <v>2</v>
      </c>
      <c r="V5" s="9">
        <f ca="1">IF(B5&lt;&gt;0,IF(F5="","",IF(F5=0,11,F5)),"")</f>
        <v>2</v>
      </c>
      <c r="W5" s="9">
        <f t="shared" ref="W5:W23" ca="1" si="47">IF(B5&lt;&gt;0,IF(H5="","",IF(H5=0,11,H5)),"")</f>
        <v>1</v>
      </c>
      <c r="X5" s="9">
        <f t="shared" ref="X5:X23" ca="1" si="48">IF(B5&lt;&gt;0,IF(I5="","",IF(I5=0,11,I5)),"")</f>
        <v>4</v>
      </c>
      <c r="Y5" s="9">
        <f t="shared" ref="Y5:Y23" ca="1" si="49">IF(B5&lt;&gt;0,IF(J5="","",IF(J5=0,11,J5)),"")</f>
        <v>6</v>
      </c>
      <c r="Z5" s="9">
        <f t="shared" ref="Z5:Z23" ca="1" si="50">IF(B5&lt;&gt;0,IF(K5="","",IF(K5=0,11,K5)),"")</f>
        <v>6</v>
      </c>
      <c r="AA5" s="9">
        <f t="shared" ref="AA5:AA11" ca="1" si="51">SUM(U5:W5)</f>
        <v>5</v>
      </c>
      <c r="AB5" s="36">
        <f t="shared" ca="1" si="1"/>
        <v>2</v>
      </c>
      <c r="AC5" s="35">
        <f t="shared" ca="1" si="2"/>
        <v>2</v>
      </c>
      <c r="AD5" s="35">
        <f t="shared" ca="1" si="3"/>
        <v>1</v>
      </c>
      <c r="AE5" s="35">
        <f t="shared" ca="1" si="4"/>
        <v>4</v>
      </c>
      <c r="AF5" s="35">
        <f t="shared" ca="1" si="5"/>
        <v>6</v>
      </c>
      <c r="AG5" s="37">
        <f t="shared" ca="1" si="6"/>
        <v>6</v>
      </c>
      <c r="AH5" s="21" t="e">
        <f ca="1">IF(B5&lt;&gt;0,IF(#REF!="","",AVERAGE(AB5:AF5)),"")</f>
        <v>#REF!</v>
      </c>
      <c r="AI5" s="22">
        <f t="shared" ca="1" si="7"/>
        <v>17.500000000019998</v>
      </c>
      <c r="AJ5" s="36" t="str">
        <f t="shared" ref="AJ5:AJ23" ca="1" si="52">IF(B5&lt;&gt;0,IF(COUNTIF(U5:Z5,1)&gt;0,"",1),"")</f>
        <v/>
      </c>
      <c r="AK5" s="32" t="str">
        <f t="shared" ref="AK5:AK23" ca="1" si="53">IF(B5&lt;&gt;0,IF(COUNTIF(U5:Z5,2)&gt;0,"",2),"")</f>
        <v/>
      </c>
      <c r="AL5" s="35">
        <f t="shared" ca="1" si="8"/>
        <v>3</v>
      </c>
      <c r="AM5" s="32" t="str">
        <f t="shared" ca="1" si="9"/>
        <v/>
      </c>
      <c r="AN5" s="35">
        <f t="shared" ca="1" si="10"/>
        <v>5</v>
      </c>
      <c r="AO5" s="32">
        <f t="shared" ca="1" si="11"/>
        <v>0</v>
      </c>
      <c r="AP5" s="32">
        <f t="shared" ref="AP5:AP23" ca="1" si="54">IF(ISERROR(IF(B5&lt;&gt;0,VALUE(CONCATENATE(AJ5,AK5,AL5,AM5,AN5,AO5)),"")),"x",IF(B5&lt;&gt;0,VALUE(CONCATENATE(AJ5,AK5,AL5,AM5,AN5,AO5)),""))</f>
        <v>350</v>
      </c>
      <c r="AQ5" s="38">
        <f ca="1">IF(B5&lt;&gt;0,((SUMPRODUCT((COUNTIF(AJ5:AO5,{1,2,3,4,5,10})=0)*{48,24,14,9,4,1})/100))+(B5*0.0000001),"")</f>
        <v>0.82000019999999996</v>
      </c>
      <c r="AR5" s="39">
        <f t="shared" ref="AR5:AR23" ca="1" si="55">IF(B5&lt;&gt;0,(((100+COUNTIF(U5:Z5,"&lt;7")*7-SUMIF(U5:Z5,"&lt;7"))-(COUNTIF(U5:Z5,8)+COUNTIF(U5:Z5,9)+COUNTIF(U5:Z5,10))))-(B5*0.0000001),"")</f>
        <v>120.9999998</v>
      </c>
      <c r="AS5" s="36">
        <f t="shared" ca="1" si="12"/>
        <v>6</v>
      </c>
      <c r="AT5" s="35">
        <f t="shared" ca="1" si="13"/>
        <v>4</v>
      </c>
      <c r="AU5" s="37">
        <f t="shared" ca="1" si="14"/>
        <v>3</v>
      </c>
      <c r="AV5" s="32">
        <f t="shared" ca="1" si="15"/>
        <v>13</v>
      </c>
      <c r="AW5" s="35">
        <f t="shared" ref="AW5:AW23" ca="1" si="56">IF(B5&lt;&gt;0,SUMIF(U5:Z5,"&lt;7"),"")</f>
        <v>21</v>
      </c>
      <c r="AX5" s="25">
        <f t="shared" ref="AX5:AX23" ca="1" si="57">IF(B5&lt;&gt;0,IF(AW5=0,110,AR5+AB5+AC5+AD5),"")</f>
        <v>125.9999998</v>
      </c>
      <c r="AY5" s="40">
        <f t="shared" ref="AY5:AY23" ca="1" si="58">IF(B5&lt;&gt;0,IF(AW5=0,110,IF(AV5=0,AX5,131+AV5)),"")</f>
        <v>144</v>
      </c>
      <c r="AZ5" s="36">
        <f t="shared" ca="1" si="16"/>
        <v>1</v>
      </c>
      <c r="BA5" s="35">
        <f t="shared" ca="1" si="17"/>
        <v>2</v>
      </c>
      <c r="BB5" s="37">
        <f t="shared" ca="1" si="18"/>
        <v>2</v>
      </c>
      <c r="BC5" s="40">
        <f t="shared" ca="1" si="19"/>
        <v>125.9999998</v>
      </c>
      <c r="BD5" s="40">
        <f t="shared" ca="1" si="20"/>
        <v>144</v>
      </c>
      <c r="BE5" s="36">
        <f t="shared" ref="BE5:BE23" si="59">IF($BE$3="m1",U5,IF($BE$3="m2",V5,IF($BE$3="m3",W5,IF($BE$3="m4",X5,IF($BE$3="m5",Y5,IF($BE$3="m6",Z5,""))))))</f>
        <v>2</v>
      </c>
      <c r="BF5" s="35">
        <f t="shared" ca="1" si="21"/>
        <v>2</v>
      </c>
      <c r="BG5" s="37">
        <f t="shared" ca="1" si="22"/>
        <v>1</v>
      </c>
      <c r="BH5" s="32">
        <f t="shared" ca="1" si="23"/>
        <v>6</v>
      </c>
      <c r="BI5" s="32">
        <f t="shared" ca="1" si="24"/>
        <v>4</v>
      </c>
      <c r="BJ5" s="32">
        <f t="shared" ca="1" si="25"/>
        <v>3</v>
      </c>
      <c r="BK5" s="32">
        <f t="shared" ca="1" si="26"/>
        <v>13</v>
      </c>
      <c r="BL5" s="26">
        <f t="shared" ref="BL5:BL23" ca="1" si="60">IF(B5&lt;&gt;0,IF(AW5=0,110,AR5+AB5+AC5+AD5),"")</f>
        <v>125.9999998</v>
      </c>
      <c r="BM5" s="40">
        <f t="shared" ca="1" si="27"/>
        <v>144</v>
      </c>
      <c r="BN5" s="4"/>
      <c r="BO5" s="32">
        <f t="shared" ref="BO5:BO23" ca="1" si="61">IF(AX5&lt;&gt;"",ROUND(AX5,0),"")</f>
        <v>126</v>
      </c>
      <c r="BP5" s="32">
        <f t="shared" ca="1" si="28"/>
        <v>144</v>
      </c>
      <c r="BQ5" s="32">
        <f t="shared" ref="BQ5:BR23" ca="1" si="62">IF(BC5&lt;&gt;"",ROUND(BC5,0),"")</f>
        <v>126</v>
      </c>
      <c r="BR5" s="32">
        <f t="shared" ca="1" si="62"/>
        <v>144</v>
      </c>
      <c r="BS5" s="32">
        <f t="shared" ref="BS5:BT23" ca="1" si="63">IF(BL5&lt;&gt;"",ROUND(BL5,0),"")</f>
        <v>126</v>
      </c>
      <c r="BT5" s="32">
        <f t="shared" ca="1" si="63"/>
        <v>144</v>
      </c>
      <c r="BU5" s="4"/>
      <c r="BV5" s="41">
        <f t="shared" ref="BV5:BV23" ca="1" si="64">IF(BW5="","",(BW5^2)+(BX5*0.0000001))</f>
        <v>1.0000001999999999</v>
      </c>
      <c r="BW5" s="37">
        <f t="shared" ref="BW5:BW23" ca="1" si="65">IF(BX5="","",CB5-CA5)</f>
        <v>1</v>
      </c>
      <c r="BX5" s="42">
        <f t="shared" ca="1" si="29"/>
        <v>2</v>
      </c>
      <c r="BY5" s="43">
        <f t="shared" ca="1" si="30"/>
        <v>144</v>
      </c>
      <c r="BZ5" s="44">
        <f t="shared" ca="1" si="31"/>
        <v>126</v>
      </c>
      <c r="CA5" s="43">
        <f ca="1">IF(BY5&lt;&gt;"",RANK(BY5,BY4:BY23,CA3),"")</f>
        <v>6</v>
      </c>
      <c r="CB5" s="45">
        <f ca="1">IF(BZ5&lt;&gt;"",RANK(BZ5,BZ4:BZ23,CB3),"")</f>
        <v>7</v>
      </c>
      <c r="CC5" s="45">
        <f t="shared" ref="CC5:CC23" ca="1" si="66">IF(BY5&lt;&gt;"",CB5-CA5,"")</f>
        <v>1</v>
      </c>
      <c r="CD5" s="30">
        <f ca="1">IF(BX5&lt;&gt;"",VLOOKUP(SMALL(BV4:BV23,2),BV4:BX23,3,FALSE),"")</f>
        <v>2</v>
      </c>
      <c r="CE5" s="4"/>
      <c r="CF5" s="41">
        <f t="shared" ref="CF5:CF23" ca="1" si="67">IF(CG5="","",(CG5^2)+(CH5*0.0000001))</f>
        <v>1.0000001999999999</v>
      </c>
      <c r="CG5" s="37">
        <f t="shared" ref="CG5:CG23" ca="1" si="68">IF(CH5="","",CL5-CK5)</f>
        <v>1</v>
      </c>
      <c r="CH5" s="42">
        <f t="shared" ca="1" si="32"/>
        <v>2</v>
      </c>
      <c r="CI5" s="43">
        <f t="shared" ca="1" si="33"/>
        <v>144</v>
      </c>
      <c r="CJ5" s="44">
        <f t="shared" ca="1" si="34"/>
        <v>126</v>
      </c>
      <c r="CK5" s="43">
        <f ca="1">IF(CI5&lt;&gt;"",RANK(CI5,CI4:CI23,CK3),"")</f>
        <v>6</v>
      </c>
      <c r="CL5" s="45">
        <f ca="1">IF(CJ5&lt;&gt;"",RANK(CJ5,CJ4:CJ23,CL3),"")</f>
        <v>7</v>
      </c>
      <c r="CM5" s="45">
        <f t="shared" ref="CM5:CM23" ca="1" si="69">IF(CI5&lt;&gt;"",CL5-CK5,"")</f>
        <v>1</v>
      </c>
      <c r="CN5" s="30">
        <f ca="1">IF(CH5&lt;&gt;"",VLOOKUP(SMALL(CF4:CF23,2),CF4:CH23,3,FALSE),"")</f>
        <v>2</v>
      </c>
      <c r="CO5" s="4"/>
      <c r="CP5" s="41">
        <f t="shared" ref="CP5:CP23" ca="1" si="70">IF(CQ5="","",(CQ5^2)+(CR5*0.0000001))</f>
        <v>1.0000001999999999</v>
      </c>
      <c r="CQ5" s="37">
        <f t="shared" ref="CQ5:CQ23" ca="1" si="71">IF(CR5="","",CV5-CU5)</f>
        <v>1</v>
      </c>
      <c r="CR5" s="42">
        <f t="shared" ca="1" si="35"/>
        <v>2</v>
      </c>
      <c r="CS5" s="43">
        <f t="shared" ca="1" si="36"/>
        <v>144</v>
      </c>
      <c r="CT5" s="44">
        <f t="shared" ca="1" si="37"/>
        <v>126</v>
      </c>
      <c r="CU5" s="43">
        <f ca="1">IF(CS5&lt;&gt;"",RANK(CS5,CS4:CS23,CU3),"")</f>
        <v>6</v>
      </c>
      <c r="CV5" s="45">
        <f ca="1">IF(CT5&lt;&gt;"",RANK(CT5,CT4:CT23,CV3),"")</f>
        <v>7</v>
      </c>
      <c r="CW5" s="45">
        <f t="shared" ref="CW5:CW23" ca="1" si="72">IF(CS5&lt;&gt;"",CV5-CU5,"")</f>
        <v>1</v>
      </c>
      <c r="CX5" s="30">
        <f ca="1">IF(CR5&lt;&gt;"",VLOOKUP(SMALL(CP4:CP23,2),CP4:CR23,3,FALSE),"")</f>
        <v>2</v>
      </c>
      <c r="CY5" s="4"/>
      <c r="CZ5" s="41">
        <f t="shared" ref="CZ5:CZ23" ca="1" si="73">IF(DA5="","",(DA5^2)+(DB5*0.0000001))</f>
        <v>1.0000001999999999</v>
      </c>
      <c r="DA5" s="37">
        <f t="shared" ref="DA5:DA23" ca="1" si="74">IF(DB5="","",DF5-DE5)</f>
        <v>1</v>
      </c>
      <c r="DB5" s="42">
        <f t="shared" ca="1" si="38"/>
        <v>2</v>
      </c>
      <c r="DC5" s="43">
        <f t="shared" ca="1" si="39"/>
        <v>144</v>
      </c>
      <c r="DD5" s="44">
        <f t="shared" ca="1" si="40"/>
        <v>126</v>
      </c>
      <c r="DE5" s="43">
        <f ca="1">IF(DC5&lt;&gt;"",RANK(DC5,DC4:DC23,DE3),"")</f>
        <v>6</v>
      </c>
      <c r="DF5" s="45">
        <f ca="1">IF(DD5&lt;&gt;"",RANK(DD5,DD4:DD23,DF3),"")</f>
        <v>7</v>
      </c>
      <c r="DG5" s="45">
        <f t="shared" ref="DG5:DG23" ca="1" si="75">IF(DC5&lt;&gt;"",DF5-DE5,"")</f>
        <v>1</v>
      </c>
      <c r="DH5" s="30">
        <f ca="1">IF(DB5&lt;&gt;"",VLOOKUP(SMALL(CZ4:CZ23,2),CZ4:DB23,3,FALSE),"")</f>
        <v>2</v>
      </c>
      <c r="DI5" s="4"/>
      <c r="DJ5" s="41">
        <f t="shared" ref="DJ5:DJ23" ca="1" si="76">IF(DK5="","",(DK5^2)+(DL5*0.0000001))</f>
        <v>9.0000002000000006</v>
      </c>
      <c r="DK5" s="37">
        <f t="shared" ref="DK5:DK23" ca="1" si="77">IF(DL5="","",DP5-DO5)</f>
        <v>-3</v>
      </c>
      <c r="DL5" s="42">
        <f t="shared" ca="1" si="41"/>
        <v>2</v>
      </c>
      <c r="DM5" s="43">
        <f t="shared" ca="1" si="42"/>
        <v>144</v>
      </c>
      <c r="DN5" s="44">
        <f t="shared" ca="1" si="43"/>
        <v>144</v>
      </c>
      <c r="DO5" s="43">
        <f ca="1">IF(DM5&lt;&gt;"",RANK(DM5,DM4:DM23,DO3),"")</f>
        <v>6</v>
      </c>
      <c r="DP5" s="45">
        <f ca="1">IF(DN5&lt;&gt;"",RANK(DN5,DN4:DN23,DP3),"")</f>
        <v>3</v>
      </c>
      <c r="DQ5" s="45">
        <f t="shared" ref="DQ5:DQ23" ca="1" si="78">IF(DM5&lt;&gt;"",DP5-DO5,"")</f>
        <v>-3</v>
      </c>
      <c r="DR5" s="30">
        <f ca="1">IF(DL5&lt;&gt;"",VLOOKUP(SMALL(DJ4:DJ23,2),DJ4:DL23,3,FALSE),"")</f>
        <v>5</v>
      </c>
      <c r="DS5" s="4" t="s">
        <v>35</v>
      </c>
      <c r="DT5" s="41">
        <f t="shared" ref="DT5:DT23" ca="1" si="79">IF(DU5="","",(DU5^2)+(DV5*0.0000001))</f>
        <v>25.000000199999999</v>
      </c>
      <c r="DU5" s="37">
        <f t="shared" ref="DU5:DU23" ca="1" si="80">IF(DV5="","",DZ5-DY5)</f>
        <v>5</v>
      </c>
      <c r="DV5" s="42">
        <f t="shared" ca="1" si="44"/>
        <v>2</v>
      </c>
      <c r="DW5" s="43">
        <f t="shared" ref="DW5:DW23" ca="1" si="81">BS5</f>
        <v>126</v>
      </c>
      <c r="DX5" s="44">
        <f t="shared" ca="1" si="45"/>
        <v>126</v>
      </c>
      <c r="DY5" s="43">
        <f ca="1">IF(DW5&lt;&gt;"",RANK(DW5,DW4:DW23,DY3),"")</f>
        <v>2</v>
      </c>
      <c r="DZ5" s="45">
        <f ca="1">IF(DX5&lt;&gt;"",RANK(DX5,DX4:DX23,DZ3),"")</f>
        <v>7</v>
      </c>
      <c r="EA5" s="45">
        <f t="shared" ref="EA5:EA23" ca="1" si="82">IF(DW5&lt;&gt;"",DZ5-DY5,"")</f>
        <v>5</v>
      </c>
      <c r="EB5" s="30">
        <f ca="1">IF(DV5&lt;&gt;"",VLOOKUP(SMALL(DT4:DT23,2),DT4:DV23,3,FALSE),"")</f>
        <v>4</v>
      </c>
    </row>
    <row r="6" spans="1:153" x14ac:dyDescent="0.3">
      <c r="A6" s="15"/>
      <c r="B6" s="32">
        <f ca="1">IF(A6=1,0,[1]Partants!A4)</f>
        <v>3</v>
      </c>
      <c r="C6" s="33" t="str">
        <f ca="1">[1]Partants!B4</f>
        <v>DANCE COLONY</v>
      </c>
      <c r="D6" s="34" t="str">
        <f ca="1">[1]Partants!E4</f>
        <v>6p 0p 3p 3p 1p 4p 4p 5p (17) 5p 3p 1p 8p</v>
      </c>
      <c r="E6" s="18" t="e">
        <f t="shared" ca="1" si="46"/>
        <v>#NAME?</v>
      </c>
      <c r="F6" s="35">
        <v>6</v>
      </c>
      <c r="G6" s="1">
        <v>0</v>
      </c>
      <c r="H6" s="32">
        <v>3</v>
      </c>
      <c r="I6" s="35">
        <v>3</v>
      </c>
      <c r="J6" s="32">
        <v>1</v>
      </c>
      <c r="K6" s="35">
        <v>4</v>
      </c>
      <c r="L6" s="32"/>
      <c r="M6" s="35"/>
      <c r="N6" s="32"/>
      <c r="O6" s="35"/>
      <c r="P6" s="36"/>
      <c r="Q6" s="32"/>
      <c r="R6" s="37"/>
      <c r="T6" s="1">
        <v>3</v>
      </c>
      <c r="U6" s="35">
        <v>6</v>
      </c>
      <c r="V6" s="9">
        <f ca="1">IF(B6&lt;&gt;0,IF(F6="","",IF(F6=0,11,F6)),"")</f>
        <v>6</v>
      </c>
      <c r="W6" s="9">
        <f t="shared" ca="1" si="47"/>
        <v>3</v>
      </c>
      <c r="X6" s="9">
        <f t="shared" ca="1" si="48"/>
        <v>3</v>
      </c>
      <c r="Y6" s="9">
        <f t="shared" ca="1" si="49"/>
        <v>1</v>
      </c>
      <c r="Z6" s="9">
        <f t="shared" ca="1" si="50"/>
        <v>4</v>
      </c>
      <c r="AA6" s="9">
        <f t="shared" ca="1" si="51"/>
        <v>15</v>
      </c>
      <c r="AB6" s="36">
        <f t="shared" ca="1" si="1"/>
        <v>6</v>
      </c>
      <c r="AC6" s="35">
        <f t="shared" ca="1" si="2"/>
        <v>6</v>
      </c>
      <c r="AD6" s="35">
        <f t="shared" ca="1" si="3"/>
        <v>3</v>
      </c>
      <c r="AE6" s="35">
        <f t="shared" ca="1" si="4"/>
        <v>3</v>
      </c>
      <c r="AF6" s="35">
        <f t="shared" ca="1" si="5"/>
        <v>1</v>
      </c>
      <c r="AG6" s="37">
        <f t="shared" ca="1" si="6"/>
        <v>4</v>
      </c>
      <c r="AH6" s="21" t="e">
        <f ca="1">IF(B6&lt;&gt;0,IF(#REF!="","",AVERAGE(AB6:AF6)),"")</f>
        <v>#REF!</v>
      </c>
      <c r="AI6" s="22">
        <f t="shared" ca="1" si="7"/>
        <v>19.166666666696667</v>
      </c>
      <c r="AJ6" s="36" t="str">
        <f t="shared" ca="1" si="52"/>
        <v/>
      </c>
      <c r="AK6" s="32">
        <f t="shared" ca="1" si="53"/>
        <v>2</v>
      </c>
      <c r="AL6" s="35" t="str">
        <f t="shared" ca="1" si="8"/>
        <v/>
      </c>
      <c r="AM6" s="32" t="str">
        <f t="shared" ca="1" si="9"/>
        <v/>
      </c>
      <c r="AN6" s="35">
        <f t="shared" ca="1" si="10"/>
        <v>5</v>
      </c>
      <c r="AO6" s="32">
        <f t="shared" ca="1" si="11"/>
        <v>0</v>
      </c>
      <c r="AP6" s="32">
        <f t="shared" ca="1" si="54"/>
        <v>250</v>
      </c>
      <c r="AQ6" s="38">
        <f ca="1">IF(B6&lt;&gt;0,((SUMPRODUCT((COUNTIF(AJ6:AO6,{1,2,3,4,5,10})=0)*{48,24,14,9,4,1})/100))+(B6*0.0000001),"")</f>
        <v>0.72000029999999993</v>
      </c>
      <c r="AR6" s="39">
        <f t="shared" ca="1" si="55"/>
        <v>118.9999997</v>
      </c>
      <c r="AS6" s="36" t="str">
        <f t="shared" ca="1" si="12"/>
        <v/>
      </c>
      <c r="AT6" s="35" t="str">
        <f t="shared" ca="1" si="13"/>
        <v/>
      </c>
      <c r="AU6" s="37">
        <f t="shared" ca="1" si="14"/>
        <v>1</v>
      </c>
      <c r="AV6" s="32">
        <f t="shared" ca="1" si="15"/>
        <v>1</v>
      </c>
      <c r="AW6" s="35">
        <f t="shared" ca="1" si="56"/>
        <v>23</v>
      </c>
      <c r="AX6" s="25">
        <f t="shared" ca="1" si="57"/>
        <v>133.99999969999999</v>
      </c>
      <c r="AY6" s="40">
        <f t="shared" ca="1" si="58"/>
        <v>132</v>
      </c>
      <c r="AZ6" s="36">
        <f t="shared" ca="1" si="16"/>
        <v>1</v>
      </c>
      <c r="BA6" s="35">
        <f t="shared" ca="1" si="17"/>
        <v>3</v>
      </c>
      <c r="BB6" s="37">
        <f t="shared" ca="1" si="18"/>
        <v>3</v>
      </c>
      <c r="BC6" s="40">
        <f t="shared" ca="1" si="19"/>
        <v>125.9999997</v>
      </c>
      <c r="BD6" s="40">
        <f t="shared" ca="1" si="20"/>
        <v>132</v>
      </c>
      <c r="BE6" s="36">
        <f t="shared" si="59"/>
        <v>6</v>
      </c>
      <c r="BF6" s="35">
        <f t="shared" ca="1" si="21"/>
        <v>6</v>
      </c>
      <c r="BG6" s="37">
        <f t="shared" ca="1" si="22"/>
        <v>3</v>
      </c>
      <c r="BH6" s="32" t="str">
        <f t="shared" ca="1" si="23"/>
        <v/>
      </c>
      <c r="BI6" s="32" t="str">
        <f t="shared" ca="1" si="24"/>
        <v/>
      </c>
      <c r="BJ6" s="32">
        <f t="shared" ca="1" si="25"/>
        <v>1</v>
      </c>
      <c r="BK6" s="32">
        <f t="shared" ca="1" si="26"/>
        <v>1</v>
      </c>
      <c r="BL6" s="26">
        <f t="shared" ca="1" si="60"/>
        <v>133.99999969999999</v>
      </c>
      <c r="BM6" s="40">
        <f t="shared" ca="1" si="27"/>
        <v>132</v>
      </c>
      <c r="BN6" s="4"/>
      <c r="BO6" s="32">
        <f t="shared" ca="1" si="61"/>
        <v>134</v>
      </c>
      <c r="BP6" s="32">
        <f t="shared" ca="1" si="28"/>
        <v>132</v>
      </c>
      <c r="BQ6" s="32">
        <f t="shared" ca="1" si="62"/>
        <v>126</v>
      </c>
      <c r="BR6" s="32">
        <f t="shared" ca="1" si="62"/>
        <v>132</v>
      </c>
      <c r="BS6" s="32">
        <f t="shared" ca="1" si="63"/>
        <v>134</v>
      </c>
      <c r="BT6" s="32">
        <f t="shared" ca="1" si="63"/>
        <v>132</v>
      </c>
      <c r="BU6" s="4"/>
      <c r="BV6" s="41">
        <f t="shared" ca="1" si="64"/>
        <v>4.0000003</v>
      </c>
      <c r="BW6" s="37">
        <f t="shared" ca="1" si="65"/>
        <v>-2</v>
      </c>
      <c r="BX6" s="42">
        <f t="shared" ca="1" si="29"/>
        <v>3</v>
      </c>
      <c r="BY6" s="43">
        <f t="shared" ca="1" si="30"/>
        <v>132</v>
      </c>
      <c r="BZ6" s="44">
        <f t="shared" ca="1" si="31"/>
        <v>134</v>
      </c>
      <c r="CA6" s="43">
        <f ca="1">IF(BY6&lt;&gt;"",RANK(BY6,BY4:BY23,CA3),"")</f>
        <v>4</v>
      </c>
      <c r="CB6" s="45">
        <f ca="1">IF(BZ6&lt;&gt;"",RANK(BZ6,BZ4:BZ23,CB3),"")</f>
        <v>2</v>
      </c>
      <c r="CC6" s="45">
        <f t="shared" ca="1" si="66"/>
        <v>-2</v>
      </c>
      <c r="CD6" s="30">
        <f ca="1">IF(BX6&lt;&gt;"",VLOOKUP(SMALL(BV4:BV23,3),BV4:BX23,3,FALSE),"")</f>
        <v>8</v>
      </c>
      <c r="CE6" s="4"/>
      <c r="CF6" s="41">
        <f t="shared" ca="1" si="67"/>
        <v>4.0000003</v>
      </c>
      <c r="CG6" s="37">
        <f t="shared" ca="1" si="68"/>
        <v>-2</v>
      </c>
      <c r="CH6" s="42">
        <f t="shared" ca="1" si="32"/>
        <v>3</v>
      </c>
      <c r="CI6" s="43">
        <f t="shared" ca="1" si="33"/>
        <v>132</v>
      </c>
      <c r="CJ6" s="44">
        <f t="shared" ca="1" si="34"/>
        <v>134</v>
      </c>
      <c r="CK6" s="43">
        <f ca="1">IF(CI6&lt;&gt;"",RANK(CI6,CI4:CI23,CK3),"")</f>
        <v>4</v>
      </c>
      <c r="CL6" s="45">
        <f ca="1">IF(CJ6&lt;&gt;"",RANK(CJ6,CJ4:CJ23,CL3),"")</f>
        <v>2</v>
      </c>
      <c r="CM6" s="45">
        <f t="shared" ca="1" si="69"/>
        <v>-2</v>
      </c>
      <c r="CN6" s="30">
        <f ca="1">IF(CH6&lt;&gt;"",VLOOKUP(SMALL(CF4:CF23,3),CF4:CH23,3,FALSE),"")</f>
        <v>8</v>
      </c>
      <c r="CO6" s="4"/>
      <c r="CP6" s="41">
        <f t="shared" ca="1" si="70"/>
        <v>4.0000003</v>
      </c>
      <c r="CQ6" s="37">
        <f t="shared" ca="1" si="71"/>
        <v>-2</v>
      </c>
      <c r="CR6" s="42">
        <f t="shared" ca="1" si="35"/>
        <v>3</v>
      </c>
      <c r="CS6" s="43">
        <f t="shared" ca="1" si="36"/>
        <v>132</v>
      </c>
      <c r="CT6" s="44">
        <f t="shared" ca="1" si="37"/>
        <v>134</v>
      </c>
      <c r="CU6" s="43">
        <f ca="1">IF(CS6&lt;&gt;"",RANK(CS6,CS4:CS23,CU3),"")</f>
        <v>4</v>
      </c>
      <c r="CV6" s="45">
        <f ca="1">IF(CT6&lt;&gt;"",RANK(CT6,CT4:CT23,CV3),"")</f>
        <v>2</v>
      </c>
      <c r="CW6" s="45">
        <f t="shared" ca="1" si="72"/>
        <v>-2</v>
      </c>
      <c r="CX6" s="30">
        <f ca="1">IF(CR6&lt;&gt;"",VLOOKUP(SMALL(CP4:CP23,3),CP4:CR23,3,FALSE),"")</f>
        <v>8</v>
      </c>
      <c r="CY6" s="4"/>
      <c r="CZ6" s="41">
        <f t="shared" ca="1" si="73"/>
        <v>4.0000003</v>
      </c>
      <c r="DA6" s="37">
        <f t="shared" ca="1" si="74"/>
        <v>-2</v>
      </c>
      <c r="DB6" s="42">
        <f t="shared" ca="1" si="38"/>
        <v>3</v>
      </c>
      <c r="DC6" s="43">
        <f t="shared" ca="1" si="39"/>
        <v>132</v>
      </c>
      <c r="DD6" s="44">
        <f t="shared" ca="1" si="40"/>
        <v>134</v>
      </c>
      <c r="DE6" s="43">
        <f ca="1">IF(DC6&lt;&gt;"",RANK(DC6,DC4:DC23,DE3),"")</f>
        <v>4</v>
      </c>
      <c r="DF6" s="45">
        <f ca="1">IF(DD6&lt;&gt;"",RANK(DD6,DD4:DD23,DF3),"")</f>
        <v>2</v>
      </c>
      <c r="DG6" s="45">
        <f t="shared" ca="1" si="75"/>
        <v>-2</v>
      </c>
      <c r="DH6" s="30">
        <f ca="1">IF(DB6&lt;&gt;"",VLOOKUP(SMALL(CZ4:CZ23,3),CZ4:DB23,3,FALSE),"")</f>
        <v>8</v>
      </c>
      <c r="DI6" s="4"/>
      <c r="DJ6" s="41">
        <f t="shared" ca="1" si="76"/>
        <v>2.9999999999999999E-7</v>
      </c>
      <c r="DK6" s="37">
        <f t="shared" ca="1" si="77"/>
        <v>0</v>
      </c>
      <c r="DL6" s="42">
        <f t="shared" ca="1" si="41"/>
        <v>3</v>
      </c>
      <c r="DM6" s="43">
        <f t="shared" ca="1" si="42"/>
        <v>132</v>
      </c>
      <c r="DN6" s="44">
        <f t="shared" ca="1" si="43"/>
        <v>132</v>
      </c>
      <c r="DO6" s="43">
        <f ca="1">IF(DM6&lt;&gt;"",RANK(DM6,DM4:DM23,DO3),"")</f>
        <v>4</v>
      </c>
      <c r="DP6" s="45">
        <f ca="1">IF(DN6&lt;&gt;"",RANK(DN6,DN4:DN23,DP3),"")</f>
        <v>4</v>
      </c>
      <c r="DQ6" s="45">
        <f t="shared" ca="1" si="78"/>
        <v>0</v>
      </c>
      <c r="DR6" s="30">
        <f ca="1">IF(DL6&lt;&gt;"",VLOOKUP(SMALL(DJ4:DJ23,3),DJ4:DL23,3,FALSE),"")</f>
        <v>1</v>
      </c>
      <c r="DS6" s="4" t="s">
        <v>35</v>
      </c>
      <c r="DT6" s="41">
        <f t="shared" ca="1" si="79"/>
        <v>25.0000003</v>
      </c>
      <c r="DU6" s="37">
        <f t="shared" ca="1" si="80"/>
        <v>-5</v>
      </c>
      <c r="DV6" s="42">
        <f t="shared" ca="1" si="44"/>
        <v>3</v>
      </c>
      <c r="DW6" s="43">
        <f t="shared" ca="1" si="81"/>
        <v>134</v>
      </c>
      <c r="DX6" s="44">
        <f t="shared" ca="1" si="45"/>
        <v>134</v>
      </c>
      <c r="DY6" s="43">
        <f ca="1">IF(DW6&lt;&gt;"",RANK(DW6,DW4:DW23,DY3),"")</f>
        <v>7</v>
      </c>
      <c r="DZ6" s="45">
        <f ca="1">IF(DX6&lt;&gt;"",RANK(DX6,DX4:DX23,DZ3),"")</f>
        <v>2</v>
      </c>
      <c r="EA6" s="45">
        <f t="shared" ca="1" si="82"/>
        <v>-5</v>
      </c>
      <c r="EB6" s="30">
        <f ca="1">IF(DV6&lt;&gt;"",VLOOKUP(SMALL(DT4:DT23,3),DT4:DV23,3,FALSE),"")</f>
        <v>6</v>
      </c>
    </row>
    <row r="7" spans="1:153" x14ac:dyDescent="0.3">
      <c r="A7" s="15"/>
      <c r="B7" s="32">
        <f ca="1">IF(A7=1,0,[1]Partants!A5)</f>
        <v>4</v>
      </c>
      <c r="C7" s="33" t="str">
        <f ca="1">[1]Partants!B5</f>
        <v>VILLABONA</v>
      </c>
      <c r="D7" s="34" t="str">
        <f ca="1">[1]Partants!E5</f>
        <v>0p 1p 4p 4p 9p 7p</v>
      </c>
      <c r="E7" s="18" t="e">
        <f t="shared" ca="1" si="46"/>
        <v>#NAME?</v>
      </c>
      <c r="F7" s="35">
        <v>0</v>
      </c>
      <c r="G7" s="1">
        <v>1</v>
      </c>
      <c r="H7" s="32">
        <v>4</v>
      </c>
      <c r="I7" s="35">
        <v>4</v>
      </c>
      <c r="J7" s="32">
        <v>9</v>
      </c>
      <c r="K7" s="35">
        <v>7</v>
      </c>
      <c r="L7" s="32"/>
      <c r="M7" s="35"/>
      <c r="N7" s="32"/>
      <c r="O7" s="35"/>
      <c r="P7" s="36"/>
      <c r="Q7" s="32"/>
      <c r="R7" s="37"/>
      <c r="T7" s="1">
        <v>4</v>
      </c>
      <c r="U7" s="35">
        <v>0</v>
      </c>
      <c r="V7" s="9">
        <f ca="1">IF(B7&lt;&gt;0,IF(F7="","",IF(F7=0,11,F7)),"")</f>
        <v>11</v>
      </c>
      <c r="W7" s="9">
        <f t="shared" ca="1" si="47"/>
        <v>4</v>
      </c>
      <c r="X7" s="9">
        <f t="shared" ca="1" si="48"/>
        <v>4</v>
      </c>
      <c r="Y7" s="9">
        <f t="shared" ca="1" si="49"/>
        <v>9</v>
      </c>
      <c r="Z7" s="9">
        <f t="shared" ca="1" si="50"/>
        <v>7</v>
      </c>
      <c r="AA7" s="9">
        <f t="shared" ca="1" si="51"/>
        <v>15</v>
      </c>
      <c r="AB7" s="36">
        <f t="shared" ca="1" si="1"/>
        <v>0</v>
      </c>
      <c r="AC7" s="35">
        <f t="shared" ca="1" si="2"/>
        <v>11</v>
      </c>
      <c r="AD7" s="35">
        <f t="shared" ca="1" si="3"/>
        <v>4</v>
      </c>
      <c r="AE7" s="35">
        <f t="shared" ca="1" si="4"/>
        <v>4</v>
      </c>
      <c r="AF7" s="35">
        <f t="shared" ca="1" si="5"/>
        <v>9</v>
      </c>
      <c r="AG7" s="37">
        <f t="shared" ca="1" si="6"/>
        <v>7</v>
      </c>
      <c r="AH7" s="21" t="e">
        <f ca="1">IF(B7&lt;&gt;0,IF(#REF!="","",AVERAGE(AB7:AF7)),"")</f>
        <v>#REF!</v>
      </c>
      <c r="AI7" s="22">
        <f t="shared" ca="1" si="7"/>
        <v>29.166666666706668</v>
      </c>
      <c r="AJ7" s="36">
        <f t="shared" ca="1" si="52"/>
        <v>1</v>
      </c>
      <c r="AK7" s="32">
        <f t="shared" ca="1" si="53"/>
        <v>2</v>
      </c>
      <c r="AL7" s="35">
        <f t="shared" ca="1" si="8"/>
        <v>3</v>
      </c>
      <c r="AM7" s="32" t="str">
        <f t="shared" ca="1" si="9"/>
        <v/>
      </c>
      <c r="AN7" s="35">
        <f t="shared" ca="1" si="10"/>
        <v>5</v>
      </c>
      <c r="AO7" s="32">
        <f t="shared" ca="1" si="11"/>
        <v>0</v>
      </c>
      <c r="AP7" s="32">
        <f t="shared" ca="1" si="54"/>
        <v>12350</v>
      </c>
      <c r="AQ7" s="38">
        <f ca="1">IF(B7&lt;&gt;0,((SUMPRODUCT((COUNTIF(AJ7:AO7,{1,2,3,4,5,10})=0)*{48,24,14,9,4,1})/100))+(B7*0.0000001),"")</f>
        <v>0.1000004</v>
      </c>
      <c r="AR7" s="39">
        <f t="shared" ca="1" si="55"/>
        <v>111.9999996</v>
      </c>
      <c r="AS7" s="36" t="str">
        <f t="shared" ca="1" si="12"/>
        <v/>
      </c>
      <c r="AT7" s="35" t="str">
        <f t="shared" ca="1" si="13"/>
        <v/>
      </c>
      <c r="AU7" s="37" t="str">
        <f t="shared" ca="1" si="14"/>
        <v/>
      </c>
      <c r="AV7" s="32">
        <f t="shared" ca="1" si="15"/>
        <v>0</v>
      </c>
      <c r="AW7" s="35">
        <f t="shared" ca="1" si="56"/>
        <v>8</v>
      </c>
      <c r="AX7" s="25">
        <f t="shared" ca="1" si="57"/>
        <v>126.9999996</v>
      </c>
      <c r="AY7" s="40">
        <f t="shared" ca="1" si="58"/>
        <v>126.9999996</v>
      </c>
      <c r="AZ7" s="36">
        <f t="shared" ca="1" si="16"/>
        <v>0</v>
      </c>
      <c r="BA7" s="35">
        <f t="shared" ca="1" si="17"/>
        <v>4</v>
      </c>
      <c r="BB7" s="37">
        <f t="shared" ca="1" si="18"/>
        <v>4</v>
      </c>
      <c r="BC7" s="40">
        <f t="shared" ca="1" si="19"/>
        <v>119.9999996</v>
      </c>
      <c r="BD7" s="40">
        <f t="shared" ca="1" si="20"/>
        <v>119.9999996</v>
      </c>
      <c r="BE7" s="36">
        <f t="shared" si="59"/>
        <v>0</v>
      </c>
      <c r="BF7" s="35">
        <f t="shared" ca="1" si="21"/>
        <v>11</v>
      </c>
      <c r="BG7" s="37">
        <f t="shared" ca="1" si="22"/>
        <v>4</v>
      </c>
      <c r="BH7" s="32" t="str">
        <f t="shared" ca="1" si="23"/>
        <v/>
      </c>
      <c r="BI7" s="32" t="str">
        <f t="shared" ca="1" si="24"/>
        <v/>
      </c>
      <c r="BJ7" s="32" t="str">
        <f t="shared" ca="1" si="25"/>
        <v/>
      </c>
      <c r="BK7" s="32">
        <f t="shared" ca="1" si="26"/>
        <v>0</v>
      </c>
      <c r="BL7" s="26">
        <f t="shared" ca="1" si="60"/>
        <v>126.9999996</v>
      </c>
      <c r="BM7" s="40">
        <f t="shared" ca="1" si="27"/>
        <v>126.9999996</v>
      </c>
      <c r="BN7" s="4"/>
      <c r="BO7" s="32">
        <f t="shared" ca="1" si="61"/>
        <v>127</v>
      </c>
      <c r="BP7" s="32">
        <f t="shared" ca="1" si="28"/>
        <v>127</v>
      </c>
      <c r="BQ7" s="32">
        <f t="shared" ca="1" si="62"/>
        <v>120</v>
      </c>
      <c r="BR7" s="32">
        <f t="shared" ca="1" si="62"/>
        <v>120</v>
      </c>
      <c r="BS7" s="32">
        <f t="shared" ca="1" si="63"/>
        <v>127</v>
      </c>
      <c r="BT7" s="32">
        <f t="shared" ca="1" si="63"/>
        <v>127</v>
      </c>
      <c r="BU7" s="4"/>
      <c r="BV7" s="41">
        <f t="shared" ca="1" si="64"/>
        <v>16.000000400000001</v>
      </c>
      <c r="BW7" s="37">
        <f t="shared" ca="1" si="65"/>
        <v>4</v>
      </c>
      <c r="BX7" s="42">
        <f t="shared" ca="1" si="29"/>
        <v>4</v>
      </c>
      <c r="BY7" s="43">
        <f t="shared" ca="1" si="30"/>
        <v>127</v>
      </c>
      <c r="BZ7" s="44">
        <f t="shared" ca="1" si="31"/>
        <v>127</v>
      </c>
      <c r="CA7" s="43">
        <f ca="1">IF(BY7&lt;&gt;"",RANK(BY7,BY4:BY23,CA3),"")</f>
        <v>1</v>
      </c>
      <c r="CB7" s="45">
        <f ca="1">IF(BZ7&lt;&gt;"",RANK(BZ7,BZ4:BZ23,CB3),"")</f>
        <v>5</v>
      </c>
      <c r="CC7" s="45">
        <f t="shared" ca="1" si="66"/>
        <v>4</v>
      </c>
      <c r="CD7" s="30">
        <f ca="1">IF(BX7&lt;&gt;"",VLOOKUP(SMALL(BV4:BV23,4),BV4:BX23,3,FALSE),"")</f>
        <v>3</v>
      </c>
      <c r="CE7" s="4"/>
      <c r="CF7" s="41">
        <f t="shared" ca="1" si="67"/>
        <v>16.000000400000001</v>
      </c>
      <c r="CG7" s="37">
        <f t="shared" ca="1" si="68"/>
        <v>4</v>
      </c>
      <c r="CH7" s="42">
        <f t="shared" ca="1" si="32"/>
        <v>4</v>
      </c>
      <c r="CI7" s="43">
        <f t="shared" ca="1" si="33"/>
        <v>127</v>
      </c>
      <c r="CJ7" s="44">
        <f t="shared" ca="1" si="34"/>
        <v>127</v>
      </c>
      <c r="CK7" s="43">
        <f ca="1">IF(CI7&lt;&gt;"",RANK(CI7,CI4:CI23,CK3),"")</f>
        <v>1</v>
      </c>
      <c r="CL7" s="45">
        <f ca="1">IF(CJ7&lt;&gt;"",RANK(CJ7,CJ4:CJ23,CL3),"")</f>
        <v>5</v>
      </c>
      <c r="CM7" s="45">
        <f t="shared" ca="1" si="69"/>
        <v>4</v>
      </c>
      <c r="CN7" s="30">
        <f ca="1">IF(CH7&lt;&gt;"",VLOOKUP(SMALL(CF4:CF23,4),CF4:CH23,3,FALSE),"")</f>
        <v>3</v>
      </c>
      <c r="CO7" s="4"/>
      <c r="CP7" s="41">
        <f t="shared" ca="1" si="70"/>
        <v>16.000000400000001</v>
      </c>
      <c r="CQ7" s="37">
        <f t="shared" ca="1" si="71"/>
        <v>4</v>
      </c>
      <c r="CR7" s="42">
        <f t="shared" ca="1" si="35"/>
        <v>4</v>
      </c>
      <c r="CS7" s="43">
        <f t="shared" ca="1" si="36"/>
        <v>127</v>
      </c>
      <c r="CT7" s="44">
        <f t="shared" ca="1" si="37"/>
        <v>127</v>
      </c>
      <c r="CU7" s="43">
        <f ca="1">IF(CS7&lt;&gt;"",RANK(CS7,CS4:CS23,CU3),"")</f>
        <v>1</v>
      </c>
      <c r="CV7" s="45">
        <f ca="1">IF(CT7&lt;&gt;"",RANK(CT7,CT4:CT23,CV3),"")</f>
        <v>5</v>
      </c>
      <c r="CW7" s="45">
        <f t="shared" ca="1" si="72"/>
        <v>4</v>
      </c>
      <c r="CX7" s="30">
        <f ca="1">IF(CR7&lt;&gt;"",VLOOKUP(SMALL(CP4:CP23,4),CP4:CR23,3,FALSE),"")</f>
        <v>3</v>
      </c>
      <c r="CY7" s="4"/>
      <c r="CZ7" s="41">
        <f t="shared" ca="1" si="73"/>
        <v>16.000000400000001</v>
      </c>
      <c r="DA7" s="37">
        <f t="shared" ca="1" si="74"/>
        <v>4</v>
      </c>
      <c r="DB7" s="42">
        <f t="shared" ca="1" si="38"/>
        <v>4</v>
      </c>
      <c r="DC7" s="43">
        <f t="shared" ca="1" si="39"/>
        <v>127</v>
      </c>
      <c r="DD7" s="44">
        <f t="shared" ca="1" si="40"/>
        <v>127</v>
      </c>
      <c r="DE7" s="43">
        <f ca="1">IF(DC7&lt;&gt;"",RANK(DC7,DC4:DC23,DE3),"")</f>
        <v>1</v>
      </c>
      <c r="DF7" s="45">
        <f ca="1">IF(DD7&lt;&gt;"",RANK(DD7,DD4:DD23,DF3),"")</f>
        <v>5</v>
      </c>
      <c r="DG7" s="45">
        <f t="shared" ca="1" si="75"/>
        <v>4</v>
      </c>
      <c r="DH7" s="30">
        <f ca="1">IF(DB7&lt;&gt;"",VLOOKUP(SMALL(CZ4:CZ23,4),CZ4:DB23,3,FALSE),"")</f>
        <v>3</v>
      </c>
      <c r="DI7" s="4"/>
      <c r="DJ7" s="41">
        <f t="shared" ca="1" si="76"/>
        <v>36.000000399999998</v>
      </c>
      <c r="DK7" s="37">
        <f t="shared" ca="1" si="77"/>
        <v>6</v>
      </c>
      <c r="DL7" s="42">
        <f t="shared" ca="1" si="41"/>
        <v>4</v>
      </c>
      <c r="DM7" s="43">
        <f t="shared" ca="1" si="42"/>
        <v>127</v>
      </c>
      <c r="DN7" s="44">
        <f t="shared" ca="1" si="43"/>
        <v>127</v>
      </c>
      <c r="DO7" s="43">
        <f ca="1">IF(DM7&lt;&gt;"",RANK(DM7,DM4:DM23,DO3),"")</f>
        <v>1</v>
      </c>
      <c r="DP7" s="45">
        <f ca="1">IF(DN7&lt;&gt;"",RANK(DN7,DN4:DN23,DP3),"")</f>
        <v>7</v>
      </c>
      <c r="DQ7" s="45">
        <f t="shared" ca="1" si="78"/>
        <v>6</v>
      </c>
      <c r="DR7" s="30">
        <f ca="1">IF(DL7&lt;&gt;"",VLOOKUP(SMALL(DJ4:DJ23,4),DJ4:DL23,3,FALSE),"")</f>
        <v>2</v>
      </c>
      <c r="DS7" s="46" t="s">
        <v>35</v>
      </c>
      <c r="DT7" s="41">
        <f t="shared" ca="1" si="79"/>
        <v>4.0000004000000002</v>
      </c>
      <c r="DU7" s="37">
        <f t="shared" ca="1" si="80"/>
        <v>2</v>
      </c>
      <c r="DV7" s="42">
        <f t="shared" ca="1" si="44"/>
        <v>4</v>
      </c>
      <c r="DW7" s="43">
        <f t="shared" ca="1" si="81"/>
        <v>127</v>
      </c>
      <c r="DX7" s="44">
        <f t="shared" ca="1" si="45"/>
        <v>127</v>
      </c>
      <c r="DY7" s="43">
        <f ca="1">IF(DW7&lt;&gt;"",RANK(DW7,DW4:DW23,DY3),"")</f>
        <v>3</v>
      </c>
      <c r="DZ7" s="45">
        <f ca="1">IF(DX7&lt;&gt;"",RANK(DX7,DX4:DX23,DZ3),"")</f>
        <v>5</v>
      </c>
      <c r="EA7" s="45">
        <f t="shared" ca="1" si="82"/>
        <v>2</v>
      </c>
      <c r="EB7" s="30">
        <f ca="1">IF(DV7&lt;&gt;"",VLOOKUP(SMALL(DT4:DT23,4),DT4:DV23,3,FALSE),"")</f>
        <v>7</v>
      </c>
      <c r="EC7" s="47" t="s">
        <v>35</v>
      </c>
    </row>
    <row r="8" spans="1:153" x14ac:dyDescent="0.3">
      <c r="A8" s="15"/>
      <c r="B8" s="32">
        <f ca="1">IF(A8=1,0,[1]Partants!A6)</f>
        <v>5</v>
      </c>
      <c r="C8" s="33" t="str">
        <f ca="1">[1]Partants!B6</f>
        <v>ALETS</v>
      </c>
      <c r="D8" s="34" t="str">
        <f ca="1">[1]Partants!E6</f>
        <v>4p 3p 3p 3p 2p 2p 2p (17) 1p 5p 2p 0p 1p</v>
      </c>
      <c r="E8" s="18" t="e">
        <f t="shared" ca="1" si="46"/>
        <v>#NAME?</v>
      </c>
      <c r="F8" s="35">
        <v>4</v>
      </c>
      <c r="G8" s="1">
        <v>3</v>
      </c>
      <c r="H8" s="32">
        <v>3</v>
      </c>
      <c r="I8" s="35">
        <v>3</v>
      </c>
      <c r="J8" s="32">
        <v>2</v>
      </c>
      <c r="K8" s="35">
        <v>2</v>
      </c>
      <c r="L8" s="32"/>
      <c r="M8" s="35"/>
      <c r="N8" s="32"/>
      <c r="O8" s="35"/>
      <c r="P8" s="36"/>
      <c r="Q8" s="32"/>
      <c r="R8" s="37"/>
      <c r="T8" s="1">
        <v>5</v>
      </c>
      <c r="U8" s="35">
        <v>4</v>
      </c>
      <c r="V8" s="9">
        <f ca="1">IF(B8&lt;&gt;0,IF(F8="","",IF(F8=0,11,F8)),"")</f>
        <v>4</v>
      </c>
      <c r="W8" s="9">
        <f t="shared" ca="1" si="47"/>
        <v>3</v>
      </c>
      <c r="X8" s="9">
        <f t="shared" ca="1" si="48"/>
        <v>3</v>
      </c>
      <c r="Y8" s="9">
        <f t="shared" ca="1" si="49"/>
        <v>2</v>
      </c>
      <c r="Z8" s="9">
        <f t="shared" ca="1" si="50"/>
        <v>2</v>
      </c>
      <c r="AA8" s="9">
        <f t="shared" ca="1" si="51"/>
        <v>11</v>
      </c>
      <c r="AB8" s="36">
        <f t="shared" ca="1" si="1"/>
        <v>4</v>
      </c>
      <c r="AC8" s="35">
        <f t="shared" ca="1" si="2"/>
        <v>4</v>
      </c>
      <c r="AD8" s="35">
        <f t="shared" ca="1" si="3"/>
        <v>3</v>
      </c>
      <c r="AE8" s="35">
        <f t="shared" ca="1" si="4"/>
        <v>3</v>
      </c>
      <c r="AF8" s="35">
        <f t="shared" ca="1" si="5"/>
        <v>2</v>
      </c>
      <c r="AG8" s="37">
        <f t="shared" ca="1" si="6"/>
        <v>2</v>
      </c>
      <c r="AH8" s="21" t="e">
        <f ca="1">IF(B8&lt;&gt;0,IF(#REF!="","",AVERAGE(AB8:AF8)),"")</f>
        <v>#REF!</v>
      </c>
      <c r="AI8" s="22">
        <f t="shared" ca="1" si="7"/>
        <v>15.000000000049999</v>
      </c>
      <c r="AJ8" s="36">
        <f t="shared" ca="1" si="52"/>
        <v>1</v>
      </c>
      <c r="AK8" s="32" t="str">
        <f t="shared" ca="1" si="53"/>
        <v/>
      </c>
      <c r="AL8" s="35" t="str">
        <f t="shared" ca="1" si="8"/>
        <v/>
      </c>
      <c r="AM8" s="32" t="str">
        <f t="shared" ca="1" si="9"/>
        <v/>
      </c>
      <c r="AN8" s="35">
        <f t="shared" ca="1" si="10"/>
        <v>5</v>
      </c>
      <c r="AO8" s="32">
        <f t="shared" ca="1" si="11"/>
        <v>0</v>
      </c>
      <c r="AP8" s="32">
        <f t="shared" ca="1" si="54"/>
        <v>150</v>
      </c>
      <c r="AQ8" s="38">
        <f ca="1">IF(B8&lt;&gt;0,((SUMPRODUCT((COUNTIF(AJ8:AO8,{1,2,3,4,5,10})=0)*{48,24,14,9,4,1})/100))+(B8*0.0000001),"")</f>
        <v>0.4800005</v>
      </c>
      <c r="AR8" s="39">
        <f t="shared" ca="1" si="55"/>
        <v>123.9999995</v>
      </c>
      <c r="AS8" s="36" t="str">
        <f t="shared" ca="1" si="12"/>
        <v/>
      </c>
      <c r="AT8" s="35" t="str">
        <f t="shared" ca="1" si="13"/>
        <v/>
      </c>
      <c r="AU8" s="37">
        <f t="shared" ca="1" si="14"/>
        <v>1</v>
      </c>
      <c r="AV8" s="32">
        <f t="shared" ca="1" si="15"/>
        <v>1</v>
      </c>
      <c r="AW8" s="35">
        <f t="shared" ca="1" si="56"/>
        <v>18</v>
      </c>
      <c r="AX8" s="25">
        <f t="shared" ca="1" si="57"/>
        <v>134.9999995</v>
      </c>
      <c r="AY8" s="40">
        <f t="shared" ca="1" si="58"/>
        <v>132</v>
      </c>
      <c r="AZ8" s="36">
        <f t="shared" ca="1" si="16"/>
        <v>2</v>
      </c>
      <c r="BA8" s="35">
        <f t="shared" ca="1" si="17"/>
        <v>2</v>
      </c>
      <c r="BB8" s="37">
        <f t="shared" ca="1" si="18"/>
        <v>3</v>
      </c>
      <c r="BC8" s="40">
        <f t="shared" ca="1" si="19"/>
        <v>130.9999995</v>
      </c>
      <c r="BD8" s="40">
        <f t="shared" ca="1" si="20"/>
        <v>132</v>
      </c>
      <c r="BE8" s="36">
        <f t="shared" si="59"/>
        <v>4</v>
      </c>
      <c r="BF8" s="35">
        <f t="shared" ca="1" si="21"/>
        <v>4</v>
      </c>
      <c r="BG8" s="37">
        <f t="shared" ca="1" si="22"/>
        <v>3</v>
      </c>
      <c r="BH8" s="32" t="str">
        <f t="shared" ca="1" si="23"/>
        <v/>
      </c>
      <c r="BI8" s="32" t="str">
        <f t="shared" ca="1" si="24"/>
        <v/>
      </c>
      <c r="BJ8" s="32">
        <f t="shared" ca="1" si="25"/>
        <v>1</v>
      </c>
      <c r="BK8" s="32">
        <f t="shared" ca="1" si="26"/>
        <v>1</v>
      </c>
      <c r="BL8" s="26">
        <f t="shared" ca="1" si="60"/>
        <v>134.9999995</v>
      </c>
      <c r="BM8" s="40">
        <f t="shared" ca="1" si="27"/>
        <v>132</v>
      </c>
      <c r="BN8" s="4"/>
      <c r="BO8" s="32">
        <f t="shared" ca="1" si="61"/>
        <v>135</v>
      </c>
      <c r="BP8" s="32">
        <f t="shared" ca="1" si="28"/>
        <v>132</v>
      </c>
      <c r="BQ8" s="32">
        <f t="shared" ca="1" si="62"/>
        <v>131</v>
      </c>
      <c r="BR8" s="32">
        <f t="shared" ca="1" si="62"/>
        <v>132</v>
      </c>
      <c r="BS8" s="32">
        <f t="shared" ca="1" si="63"/>
        <v>135</v>
      </c>
      <c r="BT8" s="32">
        <f t="shared" ca="1" si="63"/>
        <v>132</v>
      </c>
      <c r="BU8" s="4"/>
      <c r="BV8" s="41">
        <f t="shared" ca="1" si="64"/>
        <v>9.0000005000000005</v>
      </c>
      <c r="BW8" s="37">
        <f t="shared" ca="1" si="65"/>
        <v>-3</v>
      </c>
      <c r="BX8" s="42">
        <f t="shared" ca="1" si="29"/>
        <v>5</v>
      </c>
      <c r="BY8" s="43">
        <f t="shared" ca="1" si="30"/>
        <v>132</v>
      </c>
      <c r="BZ8" s="44">
        <f t="shared" ca="1" si="31"/>
        <v>135</v>
      </c>
      <c r="CA8" s="43">
        <f ca="1">IF(BY8&lt;&gt;"",RANK(BY8,BY4:BY23,CA3),"")</f>
        <v>4</v>
      </c>
      <c r="CB8" s="45">
        <f ca="1">IF(BZ8&lt;&gt;"",RANK(BZ8,BZ4:BZ23,CB3),"")</f>
        <v>1</v>
      </c>
      <c r="CC8" s="45">
        <f t="shared" ca="1" si="66"/>
        <v>-3</v>
      </c>
      <c r="CD8" s="30">
        <f ca="1">IF(BX8&lt;&gt;"",VLOOKUP(SMALL(BV4:BV23,5),BV4:BX23,3,FALSE),"")</f>
        <v>5</v>
      </c>
      <c r="CE8" s="4"/>
      <c r="CF8" s="41">
        <f t="shared" ca="1" si="67"/>
        <v>9.0000005000000005</v>
      </c>
      <c r="CG8" s="37">
        <f t="shared" ca="1" si="68"/>
        <v>-3</v>
      </c>
      <c r="CH8" s="42">
        <f t="shared" ca="1" si="32"/>
        <v>5</v>
      </c>
      <c r="CI8" s="43">
        <f t="shared" ca="1" si="33"/>
        <v>132</v>
      </c>
      <c r="CJ8" s="44">
        <f t="shared" ca="1" si="34"/>
        <v>135</v>
      </c>
      <c r="CK8" s="43">
        <f ca="1">IF(CI8&lt;&gt;"",RANK(CI8,CI4:CI23,CK3),"")</f>
        <v>4</v>
      </c>
      <c r="CL8" s="45">
        <f ca="1">IF(CJ8&lt;&gt;"",RANK(CJ8,CJ4:CJ23,CL3),"")</f>
        <v>1</v>
      </c>
      <c r="CM8" s="45">
        <f t="shared" ca="1" si="69"/>
        <v>-3</v>
      </c>
      <c r="CN8" s="30">
        <f ca="1">IF(CH8&lt;&gt;"",VLOOKUP(SMALL(CF4:CF23,5),CF4:CH23,3,FALSE),"")</f>
        <v>5</v>
      </c>
      <c r="CO8" s="4"/>
      <c r="CP8" s="41">
        <f t="shared" ca="1" si="70"/>
        <v>9.0000005000000005</v>
      </c>
      <c r="CQ8" s="37">
        <f t="shared" ca="1" si="71"/>
        <v>-3</v>
      </c>
      <c r="CR8" s="42">
        <f t="shared" ca="1" si="35"/>
        <v>5</v>
      </c>
      <c r="CS8" s="43">
        <f t="shared" ca="1" si="36"/>
        <v>132</v>
      </c>
      <c r="CT8" s="44">
        <f t="shared" ca="1" si="37"/>
        <v>135</v>
      </c>
      <c r="CU8" s="43">
        <f ca="1">IF(CS8&lt;&gt;"",RANK(CS8,CS4:CS23,CU3),"")</f>
        <v>4</v>
      </c>
      <c r="CV8" s="45">
        <f ca="1">IF(CT8&lt;&gt;"",RANK(CT8,CT4:CT23,CV3),"")</f>
        <v>1</v>
      </c>
      <c r="CW8" s="45">
        <f t="shared" ca="1" si="72"/>
        <v>-3</v>
      </c>
      <c r="CX8" s="30">
        <f ca="1">IF(CR8&lt;&gt;"",VLOOKUP(SMALL(CP4:CP23,5),CP4:CR23,3,FALSE),"")</f>
        <v>5</v>
      </c>
      <c r="CY8" s="4"/>
      <c r="CZ8" s="41">
        <f t="shared" ca="1" si="73"/>
        <v>9.0000005000000005</v>
      </c>
      <c r="DA8" s="37">
        <f t="shared" ca="1" si="74"/>
        <v>-3</v>
      </c>
      <c r="DB8" s="42">
        <f t="shared" ca="1" si="38"/>
        <v>5</v>
      </c>
      <c r="DC8" s="43">
        <f t="shared" ca="1" si="39"/>
        <v>132</v>
      </c>
      <c r="DD8" s="44">
        <f t="shared" ca="1" si="40"/>
        <v>135</v>
      </c>
      <c r="DE8" s="43">
        <f ca="1">IF(DC8&lt;&gt;"",RANK(DC8,DC4:DC23,DE3),"")</f>
        <v>4</v>
      </c>
      <c r="DF8" s="45">
        <f ca="1">IF(DD8&lt;&gt;"",RANK(DD8,DD4:DD23,DF3),"")</f>
        <v>1</v>
      </c>
      <c r="DG8" s="45">
        <f t="shared" ca="1" si="75"/>
        <v>-3</v>
      </c>
      <c r="DH8" s="30">
        <f ca="1">IF(DB8&lt;&gt;"",VLOOKUP(SMALL(CZ4:CZ23,5),CZ4:DB23,3,FALSE),"")</f>
        <v>5</v>
      </c>
      <c r="DI8" s="4"/>
      <c r="DJ8" s="41">
        <f t="shared" ca="1" si="76"/>
        <v>4.9999999999999998E-7</v>
      </c>
      <c r="DK8" s="37">
        <f t="shared" ca="1" si="77"/>
        <v>0</v>
      </c>
      <c r="DL8" s="42">
        <f t="shared" ca="1" si="41"/>
        <v>5</v>
      </c>
      <c r="DM8" s="43">
        <f t="shared" ca="1" si="42"/>
        <v>132</v>
      </c>
      <c r="DN8" s="44">
        <f t="shared" ca="1" si="43"/>
        <v>132</v>
      </c>
      <c r="DO8" s="43">
        <f ca="1">IF(DM8&lt;&gt;"",RANK(DM8,DM4:DM23,DO3),"")</f>
        <v>4</v>
      </c>
      <c r="DP8" s="45">
        <f ca="1">IF(DN8&lt;&gt;"",RANK(DN8,DN4:DN23,DP3),"")</f>
        <v>4</v>
      </c>
      <c r="DQ8" s="45">
        <f t="shared" ca="1" si="78"/>
        <v>0</v>
      </c>
      <c r="DR8" s="30">
        <f ca="1">IF(DL8&lt;&gt;"",VLOOKUP(SMALL(DJ4:DJ23,5),DJ4:DL23,3,FALSE),"")</f>
        <v>8</v>
      </c>
      <c r="DS8" s="4"/>
      <c r="DT8" s="41">
        <f t="shared" ca="1" si="79"/>
        <v>49.000000499999999</v>
      </c>
      <c r="DU8" s="37">
        <f t="shared" ca="1" si="80"/>
        <v>-7</v>
      </c>
      <c r="DV8" s="42">
        <f t="shared" ca="1" si="44"/>
        <v>5</v>
      </c>
      <c r="DW8" s="43">
        <f t="shared" ca="1" si="81"/>
        <v>135</v>
      </c>
      <c r="DX8" s="44">
        <f t="shared" ca="1" si="45"/>
        <v>135</v>
      </c>
      <c r="DY8" s="43">
        <f ca="1">IF(DW8&lt;&gt;"",RANK(DW8,DW4:DW23,DY3),"")</f>
        <v>8</v>
      </c>
      <c r="DZ8" s="45">
        <f ca="1">IF(DX8&lt;&gt;"",RANK(DX8,DX4:DX23,DZ3),"")</f>
        <v>1</v>
      </c>
      <c r="EA8" s="45">
        <f t="shared" ca="1" si="82"/>
        <v>-7</v>
      </c>
      <c r="EB8" s="30">
        <f ca="1">IF(DV8&lt;&gt;"",VLOOKUP(SMALL(DT4:DT23,5),DT4:DV23,3,FALSE),"")</f>
        <v>2</v>
      </c>
      <c r="EC8" s="1" t="s">
        <v>35</v>
      </c>
      <c r="ED8" s="1" t="s">
        <v>35</v>
      </c>
      <c r="EF8" s="1" t="s">
        <v>35</v>
      </c>
    </row>
    <row r="9" spans="1:153" x14ac:dyDescent="0.3">
      <c r="A9" s="15"/>
      <c r="B9" s="32">
        <f ca="1">IF(A9=1,0,[1]Partants!A7)</f>
        <v>6</v>
      </c>
      <c r="C9" s="33" t="str">
        <f ca="1">[1]Partants!B7</f>
        <v>ALL THIS TIME</v>
      </c>
      <c r="D9" s="34" t="str">
        <f ca="1">[1]Partants!E7</f>
        <v>5p 3p 7p 8p (17) 3p 4p 2p 4p 2p 3p 1p</v>
      </c>
      <c r="E9" s="18" t="e">
        <f t="shared" ca="1" si="46"/>
        <v>#NAME?</v>
      </c>
      <c r="F9" s="35">
        <v>5</v>
      </c>
      <c r="G9" s="1">
        <v>3</v>
      </c>
      <c r="H9" s="32">
        <v>7</v>
      </c>
      <c r="I9" s="35">
        <v>8</v>
      </c>
      <c r="J9" s="32">
        <v>3</v>
      </c>
      <c r="K9" s="35">
        <v>4</v>
      </c>
      <c r="L9" s="32"/>
      <c r="M9" s="35"/>
      <c r="N9" s="32"/>
      <c r="O9" s="35"/>
      <c r="P9" s="36"/>
      <c r="Q9" s="32"/>
      <c r="R9" s="37"/>
      <c r="T9" s="1">
        <v>6</v>
      </c>
      <c r="U9" s="35">
        <v>5</v>
      </c>
      <c r="V9" s="9">
        <f ca="1">IF(B9&lt;&gt;0,IF(F9="","",IF(F9=0,11,F9)),"")</f>
        <v>5</v>
      </c>
      <c r="W9" s="9">
        <f t="shared" ca="1" si="47"/>
        <v>7</v>
      </c>
      <c r="X9" s="9">
        <f t="shared" ca="1" si="48"/>
        <v>8</v>
      </c>
      <c r="Y9" s="9">
        <f t="shared" ca="1" si="49"/>
        <v>3</v>
      </c>
      <c r="Z9" s="9">
        <f t="shared" ca="1" si="50"/>
        <v>4</v>
      </c>
      <c r="AA9" s="9">
        <f t="shared" ca="1" si="51"/>
        <v>17</v>
      </c>
      <c r="AB9" s="36">
        <f t="shared" ca="1" si="1"/>
        <v>5</v>
      </c>
      <c r="AC9" s="35">
        <f t="shared" ca="1" si="2"/>
        <v>5</v>
      </c>
      <c r="AD9" s="35">
        <f t="shared" ca="1" si="3"/>
        <v>7</v>
      </c>
      <c r="AE9" s="35">
        <f t="shared" ca="1" si="4"/>
        <v>8</v>
      </c>
      <c r="AF9" s="35">
        <f t="shared" ca="1" si="5"/>
        <v>3</v>
      </c>
      <c r="AG9" s="37">
        <f t="shared" ca="1" si="6"/>
        <v>4</v>
      </c>
      <c r="AH9" s="21" t="e">
        <f ca="1">IF(B9&lt;&gt;0,IF(#REF!="","",AVERAGE(AB9:AF9)),"")</f>
        <v>#REF!</v>
      </c>
      <c r="AI9" s="22">
        <f t="shared" ca="1" si="7"/>
        <v>26.666666666726666</v>
      </c>
      <c r="AJ9" s="36">
        <f t="shared" ca="1" si="52"/>
        <v>1</v>
      </c>
      <c r="AK9" s="32">
        <f t="shared" ca="1" si="53"/>
        <v>2</v>
      </c>
      <c r="AL9" s="35" t="str">
        <f t="shared" ca="1" si="8"/>
        <v/>
      </c>
      <c r="AM9" s="32" t="str">
        <f t="shared" ca="1" si="9"/>
        <v/>
      </c>
      <c r="AN9" s="35" t="str">
        <f t="shared" ca="1" si="10"/>
        <v/>
      </c>
      <c r="AO9" s="32">
        <f t="shared" ca="1" si="11"/>
        <v>0</v>
      </c>
      <c r="AP9" s="32">
        <f t="shared" ca="1" si="54"/>
        <v>120</v>
      </c>
      <c r="AQ9" s="38">
        <f ca="1">IF(B9&lt;&gt;0,((SUMPRODUCT((COUNTIF(AJ9:AO9,{1,2,3,4,5,10})=0)*{48,24,14,9,4,1})/100))+(B9*0.0000001),"")</f>
        <v>0.28000060000000004</v>
      </c>
      <c r="AR9" s="39">
        <f t="shared" ca="1" si="55"/>
        <v>109.99999939999999</v>
      </c>
      <c r="AS9" s="36" t="str">
        <f t="shared" ca="1" si="12"/>
        <v/>
      </c>
      <c r="AT9" s="35" t="str">
        <f t="shared" ca="1" si="13"/>
        <v/>
      </c>
      <c r="AU9" s="37" t="str">
        <f t="shared" ca="1" si="14"/>
        <v/>
      </c>
      <c r="AV9" s="32">
        <f t="shared" ca="1" si="15"/>
        <v>0</v>
      </c>
      <c r="AW9" s="35">
        <f t="shared" ca="1" si="56"/>
        <v>17</v>
      </c>
      <c r="AX9" s="25">
        <f t="shared" ca="1" si="57"/>
        <v>126.99999939999999</v>
      </c>
      <c r="AY9" s="40">
        <f t="shared" ca="1" si="58"/>
        <v>126.99999939999999</v>
      </c>
      <c r="AZ9" s="36">
        <f t="shared" ca="1" si="16"/>
        <v>3</v>
      </c>
      <c r="BA9" s="35">
        <f t="shared" ca="1" si="17"/>
        <v>4</v>
      </c>
      <c r="BB9" s="37">
        <f t="shared" ca="1" si="18"/>
        <v>5</v>
      </c>
      <c r="BC9" s="40">
        <f t="shared" ca="1" si="19"/>
        <v>121.99999939999999</v>
      </c>
      <c r="BD9" s="40">
        <f t="shared" ca="1" si="20"/>
        <v>121.99999939999999</v>
      </c>
      <c r="BE9" s="36">
        <f t="shared" si="59"/>
        <v>5</v>
      </c>
      <c r="BF9" s="35">
        <f t="shared" ca="1" si="21"/>
        <v>5</v>
      </c>
      <c r="BG9" s="37">
        <f t="shared" ca="1" si="22"/>
        <v>7</v>
      </c>
      <c r="BH9" s="32" t="str">
        <f t="shared" ca="1" si="23"/>
        <v/>
      </c>
      <c r="BI9" s="32" t="str">
        <f t="shared" ca="1" si="24"/>
        <v/>
      </c>
      <c r="BJ9" s="32" t="str">
        <f t="shared" ca="1" si="25"/>
        <v/>
      </c>
      <c r="BK9" s="32">
        <f t="shared" ca="1" si="26"/>
        <v>0</v>
      </c>
      <c r="BL9" s="26">
        <f t="shared" ca="1" si="60"/>
        <v>126.99999939999999</v>
      </c>
      <c r="BM9" s="40">
        <f t="shared" ca="1" si="27"/>
        <v>126.99999939999999</v>
      </c>
      <c r="BN9" s="4"/>
      <c r="BO9" s="32">
        <f t="shared" ca="1" si="61"/>
        <v>127</v>
      </c>
      <c r="BP9" s="32">
        <f t="shared" ca="1" si="28"/>
        <v>127</v>
      </c>
      <c r="BQ9" s="32">
        <f t="shared" ca="1" si="62"/>
        <v>122</v>
      </c>
      <c r="BR9" s="32">
        <f t="shared" ca="1" si="62"/>
        <v>122</v>
      </c>
      <c r="BS9" s="32">
        <f t="shared" ca="1" si="63"/>
        <v>127</v>
      </c>
      <c r="BT9" s="32">
        <f t="shared" ca="1" si="63"/>
        <v>127</v>
      </c>
      <c r="BU9" s="4"/>
      <c r="BV9" s="41">
        <f t="shared" ca="1" si="64"/>
        <v>16.0000006</v>
      </c>
      <c r="BW9" s="37">
        <f t="shared" ca="1" si="65"/>
        <v>4</v>
      </c>
      <c r="BX9" s="42">
        <f t="shared" ca="1" si="29"/>
        <v>6</v>
      </c>
      <c r="BY9" s="43">
        <f t="shared" ca="1" si="30"/>
        <v>127</v>
      </c>
      <c r="BZ9" s="44">
        <f t="shared" ca="1" si="31"/>
        <v>127</v>
      </c>
      <c r="CA9" s="43">
        <f ca="1">IF(BY9&lt;&gt;"",RANK(BY9,BY4:BY23,CA3),"")</f>
        <v>1</v>
      </c>
      <c r="CB9" s="45">
        <f ca="1">IF(BZ9&lt;&gt;"",RANK(BZ9,BZ4:BZ23,CB3),"")</f>
        <v>5</v>
      </c>
      <c r="CC9" s="45">
        <f t="shared" ca="1" si="66"/>
        <v>4</v>
      </c>
      <c r="CD9" s="30">
        <f ca="1">IF(BX9&lt;&gt;"",VLOOKUP(SMALL(BV4:BV23,6),BV4:BX23,3,FALSE),"")</f>
        <v>4</v>
      </c>
      <c r="CE9" s="4"/>
      <c r="CF9" s="41">
        <f t="shared" ca="1" si="67"/>
        <v>16.0000006</v>
      </c>
      <c r="CG9" s="37">
        <f t="shared" ca="1" si="68"/>
        <v>4</v>
      </c>
      <c r="CH9" s="42">
        <f t="shared" ca="1" si="32"/>
        <v>6</v>
      </c>
      <c r="CI9" s="43">
        <f t="shared" ca="1" si="33"/>
        <v>127</v>
      </c>
      <c r="CJ9" s="44">
        <f t="shared" ca="1" si="34"/>
        <v>127</v>
      </c>
      <c r="CK9" s="43">
        <f ca="1">IF(CI9&lt;&gt;"",RANK(CI9,CI4:CI23,CK3),"")</f>
        <v>1</v>
      </c>
      <c r="CL9" s="45">
        <f ca="1">IF(CJ9&lt;&gt;"",RANK(CJ9,CJ4:CJ23,CL3),"")</f>
        <v>5</v>
      </c>
      <c r="CM9" s="45">
        <f t="shared" ca="1" si="69"/>
        <v>4</v>
      </c>
      <c r="CN9" s="30">
        <f ca="1">IF(CH9&lt;&gt;"",VLOOKUP(SMALL(CF4:CF23,6),CF4:CH23,3,FALSE),"")</f>
        <v>4</v>
      </c>
      <c r="CO9" s="4"/>
      <c r="CP9" s="41">
        <f t="shared" ca="1" si="70"/>
        <v>16.0000006</v>
      </c>
      <c r="CQ9" s="37">
        <f t="shared" ca="1" si="71"/>
        <v>4</v>
      </c>
      <c r="CR9" s="42">
        <f t="shared" ca="1" si="35"/>
        <v>6</v>
      </c>
      <c r="CS9" s="43">
        <f t="shared" ca="1" si="36"/>
        <v>127</v>
      </c>
      <c r="CT9" s="44">
        <f t="shared" ca="1" si="37"/>
        <v>127</v>
      </c>
      <c r="CU9" s="43">
        <f ca="1">IF(CS9&lt;&gt;"",RANK(CS9,CS4:CS23,CU3),"")</f>
        <v>1</v>
      </c>
      <c r="CV9" s="45">
        <f ca="1">IF(CT9&lt;&gt;"",RANK(CT9,CT4:CT23,CV3),"")</f>
        <v>5</v>
      </c>
      <c r="CW9" s="45">
        <f t="shared" ca="1" si="72"/>
        <v>4</v>
      </c>
      <c r="CX9" s="30">
        <f ca="1">IF(CR9&lt;&gt;"",VLOOKUP(SMALL(CP4:CP23,6),CP4:CR23,3,FALSE),"")</f>
        <v>4</v>
      </c>
      <c r="CY9" s="4"/>
      <c r="CZ9" s="41">
        <f t="shared" ca="1" si="73"/>
        <v>16.0000006</v>
      </c>
      <c r="DA9" s="37">
        <f t="shared" ca="1" si="74"/>
        <v>4</v>
      </c>
      <c r="DB9" s="42">
        <f t="shared" ca="1" si="38"/>
        <v>6</v>
      </c>
      <c r="DC9" s="43">
        <f t="shared" ca="1" si="39"/>
        <v>127</v>
      </c>
      <c r="DD9" s="44">
        <f t="shared" ca="1" si="40"/>
        <v>127</v>
      </c>
      <c r="DE9" s="43">
        <f ca="1">IF(DC9&lt;&gt;"",RANK(DC9,DC4:DC23,DE3),"")</f>
        <v>1</v>
      </c>
      <c r="DF9" s="45">
        <f ca="1">IF(DD9&lt;&gt;"",RANK(DD9,DD4:DD23,DF3),"")</f>
        <v>5</v>
      </c>
      <c r="DG9" s="45">
        <f t="shared" ca="1" si="75"/>
        <v>4</v>
      </c>
      <c r="DH9" s="30">
        <f ca="1">IF(DB9&lt;&gt;"",VLOOKUP(SMALL(CZ4:CZ23,6),CZ4:DB23,3,FALSE),"")</f>
        <v>4</v>
      </c>
      <c r="DI9" s="4"/>
      <c r="DJ9" s="41">
        <f t="shared" ca="1" si="76"/>
        <v>36.0000006</v>
      </c>
      <c r="DK9" s="37">
        <f t="shared" ca="1" si="77"/>
        <v>6</v>
      </c>
      <c r="DL9" s="42">
        <f t="shared" ca="1" si="41"/>
        <v>6</v>
      </c>
      <c r="DM9" s="43">
        <f t="shared" ca="1" si="42"/>
        <v>127</v>
      </c>
      <c r="DN9" s="44">
        <f t="shared" ca="1" si="43"/>
        <v>127</v>
      </c>
      <c r="DO9" s="43">
        <f ca="1">IF(DM9&lt;&gt;"",RANK(DM9,DM4:DM23,DO3),"")</f>
        <v>1</v>
      </c>
      <c r="DP9" s="45">
        <f ca="1">IF(DN9&lt;&gt;"",RANK(DN9,DN4:DN23,DP3),"")</f>
        <v>7</v>
      </c>
      <c r="DQ9" s="45">
        <f t="shared" ca="1" si="78"/>
        <v>6</v>
      </c>
      <c r="DR9" s="30">
        <f ca="1">IF(DL9&lt;&gt;"",VLOOKUP(SMALL(DJ4:DJ23,6),DJ4:DL23,3,FALSE),"")</f>
        <v>4</v>
      </c>
      <c r="DS9" s="4"/>
      <c r="DT9" s="41">
        <f t="shared" ca="1" si="79"/>
        <v>4.0000005999999999</v>
      </c>
      <c r="DU9" s="37">
        <f t="shared" ca="1" si="80"/>
        <v>2</v>
      </c>
      <c r="DV9" s="42">
        <f t="shared" ca="1" si="44"/>
        <v>6</v>
      </c>
      <c r="DW9" s="43">
        <f t="shared" ca="1" si="81"/>
        <v>127</v>
      </c>
      <c r="DX9" s="44">
        <f t="shared" ca="1" si="45"/>
        <v>127</v>
      </c>
      <c r="DY9" s="43">
        <f ca="1">IF(DW9&lt;&gt;"",RANK(DW9,DW4:DW23,DY3),"")</f>
        <v>3</v>
      </c>
      <c r="DZ9" s="45">
        <f ca="1">IF(DX9&lt;&gt;"",RANK(DX9,DX4:DX23,DZ3),"")</f>
        <v>5</v>
      </c>
      <c r="EA9" s="45">
        <f t="shared" ca="1" si="82"/>
        <v>2</v>
      </c>
      <c r="EB9" s="30">
        <f ca="1">IF(DV9&lt;&gt;"",VLOOKUP(SMALL(DT4:DT23,6),DT4:DV23,3,FALSE),"")</f>
        <v>3</v>
      </c>
      <c r="EC9" s="1" t="s">
        <v>35</v>
      </c>
      <c r="ED9" s="1" t="s">
        <v>35</v>
      </c>
      <c r="EE9" s="1" t="s">
        <v>35</v>
      </c>
      <c r="EF9" s="1" t="s">
        <v>35</v>
      </c>
      <c r="EG9" s="1" t="s">
        <v>35</v>
      </c>
    </row>
    <row r="10" spans="1:153" x14ac:dyDescent="0.3">
      <c r="A10" s="15"/>
      <c r="B10" s="32">
        <f ca="1">IF(A10=1,0,[1]Partants!A8)</f>
        <v>7</v>
      </c>
      <c r="C10" s="33" t="str">
        <f ca="1">[1]Partants!B8</f>
        <v>MOUT</v>
      </c>
      <c r="D10" s="34" t="str">
        <f ca="1">[1]Partants!E8</f>
        <v>1p 5p 2p (17) 2p</v>
      </c>
      <c r="E10" s="18" t="e">
        <f t="shared" ca="1" si="46"/>
        <v>#NAME?</v>
      </c>
      <c r="F10" s="35">
        <v>1</v>
      </c>
      <c r="G10" s="1">
        <v>5</v>
      </c>
      <c r="H10" s="32">
        <v>2</v>
      </c>
      <c r="I10" s="35">
        <v>2</v>
      </c>
      <c r="J10" s="32">
        <v>2</v>
      </c>
      <c r="K10" s="35"/>
      <c r="L10" s="32"/>
      <c r="M10" s="35"/>
      <c r="N10" s="32"/>
      <c r="O10" s="35"/>
      <c r="P10" s="36"/>
      <c r="Q10" s="32"/>
      <c r="R10" s="37"/>
      <c r="T10" s="1">
        <v>7</v>
      </c>
      <c r="U10" s="35">
        <v>1</v>
      </c>
      <c r="V10" s="9">
        <f ca="1">IF(B10&lt;&gt;0,IF(F10="","",IF(F10=0,11,F10)),"")</f>
        <v>1</v>
      </c>
      <c r="W10" s="9">
        <f t="shared" ca="1" si="47"/>
        <v>2</v>
      </c>
      <c r="X10" s="9">
        <f t="shared" ca="1" si="48"/>
        <v>2</v>
      </c>
      <c r="Y10" s="9">
        <f t="shared" ca="1" si="49"/>
        <v>2</v>
      </c>
      <c r="Z10" s="9" t="str">
        <f t="shared" ca="1" si="50"/>
        <v/>
      </c>
      <c r="AA10" s="9">
        <f t="shared" ca="1" si="51"/>
        <v>4</v>
      </c>
      <c r="AB10" s="36">
        <f t="shared" ca="1" si="1"/>
        <v>1</v>
      </c>
      <c r="AC10" s="35">
        <f t="shared" ca="1" si="2"/>
        <v>1</v>
      </c>
      <c r="AD10" s="35">
        <f t="shared" ca="1" si="3"/>
        <v>2</v>
      </c>
      <c r="AE10" s="35">
        <f t="shared" ca="1" si="4"/>
        <v>2</v>
      </c>
      <c r="AF10" s="35">
        <f t="shared" ca="1" si="5"/>
        <v>2</v>
      </c>
      <c r="AG10" s="37">
        <f t="shared" ca="1" si="6"/>
        <v>0</v>
      </c>
      <c r="AH10" s="21" t="e">
        <f ca="1">IF(B10&lt;&gt;0,IF(#REF!="","",AVERAGE(AB10:AF10)),"")</f>
        <v>#REF!</v>
      </c>
      <c r="AI10" s="22">
        <f t="shared" ca="1" si="7"/>
        <v>6.666666666736667</v>
      </c>
      <c r="AJ10" s="36" t="str">
        <f t="shared" ca="1" si="52"/>
        <v/>
      </c>
      <c r="AK10" s="32" t="str">
        <f t="shared" ca="1" si="53"/>
        <v/>
      </c>
      <c r="AL10" s="35">
        <f t="shared" ca="1" si="8"/>
        <v>3</v>
      </c>
      <c r="AM10" s="32">
        <f t="shared" ca="1" si="9"/>
        <v>4</v>
      </c>
      <c r="AN10" s="35">
        <f t="shared" ca="1" si="10"/>
        <v>5</v>
      </c>
      <c r="AO10" s="32">
        <f t="shared" ca="1" si="11"/>
        <v>0</v>
      </c>
      <c r="AP10" s="32">
        <f t="shared" ca="1" si="54"/>
        <v>3450</v>
      </c>
      <c r="AQ10" s="38">
        <f ca="1">IF(B10&lt;&gt;0,((SUMPRODUCT((COUNTIF(AJ10:AO10,{1,2,3,4,5,10})=0)*{48,24,14,9,4,1})/100))+(B10*0.0000001),"")</f>
        <v>0.73000069999999995</v>
      </c>
      <c r="AR10" s="39">
        <f t="shared" ca="1" si="55"/>
        <v>126.9999993</v>
      </c>
      <c r="AS10" s="36">
        <f t="shared" ca="1" si="12"/>
        <v>9</v>
      </c>
      <c r="AT10" s="35">
        <f t="shared" ca="1" si="13"/>
        <v>6</v>
      </c>
      <c r="AU10" s="37">
        <f t="shared" ca="1" si="14"/>
        <v>2</v>
      </c>
      <c r="AV10" s="32">
        <f t="shared" ca="1" si="15"/>
        <v>17</v>
      </c>
      <c r="AW10" s="35">
        <f t="shared" ca="1" si="56"/>
        <v>8</v>
      </c>
      <c r="AX10" s="25">
        <f t="shared" ca="1" si="57"/>
        <v>130.99999930000001</v>
      </c>
      <c r="AY10" s="40">
        <f t="shared" ca="1" si="58"/>
        <v>148</v>
      </c>
      <c r="AZ10" s="36">
        <f t="shared" ca="1" si="16"/>
        <v>1</v>
      </c>
      <c r="BA10" s="35">
        <f t="shared" ca="1" si="17"/>
        <v>1</v>
      </c>
      <c r="BB10" s="37">
        <f t="shared" ca="1" si="18"/>
        <v>2</v>
      </c>
      <c r="BC10" s="40">
        <f t="shared" ca="1" si="19"/>
        <v>130.99999930000001</v>
      </c>
      <c r="BD10" s="40">
        <f t="shared" ca="1" si="20"/>
        <v>148</v>
      </c>
      <c r="BE10" s="36">
        <f t="shared" si="59"/>
        <v>1</v>
      </c>
      <c r="BF10" s="35">
        <f t="shared" ca="1" si="21"/>
        <v>1</v>
      </c>
      <c r="BG10" s="37">
        <f t="shared" ca="1" si="22"/>
        <v>2</v>
      </c>
      <c r="BH10" s="32">
        <f t="shared" ca="1" si="23"/>
        <v>9</v>
      </c>
      <c r="BI10" s="32">
        <f t="shared" ca="1" si="24"/>
        <v>6</v>
      </c>
      <c r="BJ10" s="32">
        <f t="shared" ca="1" si="25"/>
        <v>2</v>
      </c>
      <c r="BK10" s="32">
        <f t="shared" ca="1" si="26"/>
        <v>17</v>
      </c>
      <c r="BL10" s="26">
        <f t="shared" ca="1" si="60"/>
        <v>130.99999930000001</v>
      </c>
      <c r="BM10" s="40">
        <f t="shared" ca="1" si="27"/>
        <v>148</v>
      </c>
      <c r="BN10" s="4"/>
      <c r="BO10" s="32">
        <f t="shared" ca="1" si="61"/>
        <v>131</v>
      </c>
      <c r="BP10" s="32">
        <f t="shared" ca="1" si="28"/>
        <v>148</v>
      </c>
      <c r="BQ10" s="32">
        <f t="shared" ca="1" si="62"/>
        <v>131</v>
      </c>
      <c r="BR10" s="32">
        <f t="shared" ca="1" si="62"/>
        <v>148</v>
      </c>
      <c r="BS10" s="32">
        <f t="shared" ca="1" si="63"/>
        <v>131</v>
      </c>
      <c r="BT10" s="32">
        <f t="shared" ca="1" si="63"/>
        <v>148</v>
      </c>
      <c r="BU10" s="4"/>
      <c r="BV10" s="41">
        <f t="shared" ca="1" si="64"/>
        <v>25.000000700000001</v>
      </c>
      <c r="BW10" s="37">
        <f t="shared" ca="1" si="65"/>
        <v>-5</v>
      </c>
      <c r="BX10" s="42">
        <f t="shared" ca="1" si="29"/>
        <v>7</v>
      </c>
      <c r="BY10" s="43">
        <f t="shared" ca="1" si="30"/>
        <v>148</v>
      </c>
      <c r="BZ10" s="44">
        <f t="shared" ca="1" si="31"/>
        <v>131</v>
      </c>
      <c r="CA10" s="43">
        <f ca="1">IF(BY10&lt;&gt;"",RANK(BY10,BY4:BY23,CA3),"")</f>
        <v>8</v>
      </c>
      <c r="CB10" s="45">
        <f ca="1">IF(BZ10&lt;&gt;"",RANK(BZ10,BZ4:BZ23,CB3),"")</f>
        <v>3</v>
      </c>
      <c r="CC10" s="45">
        <f t="shared" ca="1" si="66"/>
        <v>-5</v>
      </c>
      <c r="CD10" s="30">
        <f ca="1">IF(BX10&lt;&gt;"",VLOOKUP(SMALL(BV4:BV23,7),BV4:BX23,3,FALSE),"")</f>
        <v>6</v>
      </c>
      <c r="CE10" s="4"/>
      <c r="CF10" s="41">
        <f t="shared" ca="1" si="67"/>
        <v>25.000000700000001</v>
      </c>
      <c r="CG10" s="37">
        <f t="shared" ca="1" si="68"/>
        <v>-5</v>
      </c>
      <c r="CH10" s="42">
        <f t="shared" ca="1" si="32"/>
        <v>7</v>
      </c>
      <c r="CI10" s="43">
        <f t="shared" ca="1" si="33"/>
        <v>148</v>
      </c>
      <c r="CJ10" s="44">
        <f t="shared" ca="1" si="34"/>
        <v>131</v>
      </c>
      <c r="CK10" s="43">
        <f ca="1">IF(CI10&lt;&gt;"",RANK(CI10,CI4:CI23,CK3),"")</f>
        <v>8</v>
      </c>
      <c r="CL10" s="45">
        <f ca="1">IF(CJ10&lt;&gt;"",RANK(CJ10,CJ4:CJ23,CL3),"")</f>
        <v>3</v>
      </c>
      <c r="CM10" s="45">
        <f t="shared" ca="1" si="69"/>
        <v>-5</v>
      </c>
      <c r="CN10" s="30">
        <f ca="1">IF(CH10&lt;&gt;"",VLOOKUP(SMALL(CF4:CF23,7),CF4:CH23,3,FALSE),"")</f>
        <v>6</v>
      </c>
      <c r="CO10" s="4"/>
      <c r="CP10" s="41">
        <f t="shared" ca="1" si="70"/>
        <v>25.000000700000001</v>
      </c>
      <c r="CQ10" s="37">
        <f t="shared" ca="1" si="71"/>
        <v>-5</v>
      </c>
      <c r="CR10" s="42">
        <f t="shared" ca="1" si="35"/>
        <v>7</v>
      </c>
      <c r="CS10" s="43">
        <f t="shared" ca="1" si="36"/>
        <v>148</v>
      </c>
      <c r="CT10" s="44">
        <f t="shared" ca="1" si="37"/>
        <v>131</v>
      </c>
      <c r="CU10" s="43">
        <f ca="1">IF(CS10&lt;&gt;"",RANK(CS10,CS4:CS23,CU3),"")</f>
        <v>8</v>
      </c>
      <c r="CV10" s="45">
        <f ca="1">IF(CT10&lt;&gt;"",RANK(CT10,CT4:CT23,CV3),"")</f>
        <v>3</v>
      </c>
      <c r="CW10" s="45">
        <f t="shared" ca="1" si="72"/>
        <v>-5</v>
      </c>
      <c r="CX10" s="30">
        <f ca="1">IF(CR10&lt;&gt;"",VLOOKUP(SMALL(CP4:CP23,7),CP4:CR23,3,FALSE),"")</f>
        <v>6</v>
      </c>
      <c r="CY10" s="4"/>
      <c r="CZ10" s="41">
        <f t="shared" ca="1" si="73"/>
        <v>25.000000700000001</v>
      </c>
      <c r="DA10" s="37">
        <f t="shared" ca="1" si="74"/>
        <v>-5</v>
      </c>
      <c r="DB10" s="42">
        <f t="shared" ca="1" si="38"/>
        <v>7</v>
      </c>
      <c r="DC10" s="43">
        <f t="shared" ca="1" si="39"/>
        <v>148</v>
      </c>
      <c r="DD10" s="44">
        <f t="shared" ca="1" si="40"/>
        <v>131</v>
      </c>
      <c r="DE10" s="43">
        <f ca="1">IF(DC10&lt;&gt;"",RANK(DC10,DC4:DC23,DE3),"")</f>
        <v>8</v>
      </c>
      <c r="DF10" s="45">
        <f ca="1">IF(DD10&lt;&gt;"",RANK(DD10,DD4:DD23,DF3),"")</f>
        <v>3</v>
      </c>
      <c r="DG10" s="45">
        <f t="shared" ca="1" si="75"/>
        <v>-5</v>
      </c>
      <c r="DH10" s="30">
        <f ca="1">IF(DB10&lt;&gt;"",VLOOKUP(SMALL(CZ4:CZ23,7),CZ4:DB23,3,FALSE),"")</f>
        <v>6</v>
      </c>
      <c r="DI10" s="4"/>
      <c r="DJ10" s="41">
        <f t="shared" ca="1" si="76"/>
        <v>49.000000700000001</v>
      </c>
      <c r="DK10" s="37">
        <f t="shared" ca="1" si="77"/>
        <v>-7</v>
      </c>
      <c r="DL10" s="42">
        <f t="shared" ca="1" si="41"/>
        <v>7</v>
      </c>
      <c r="DM10" s="43">
        <f t="shared" ca="1" si="42"/>
        <v>148</v>
      </c>
      <c r="DN10" s="44">
        <f t="shared" ca="1" si="43"/>
        <v>148</v>
      </c>
      <c r="DO10" s="43">
        <f ca="1">IF(DM10&lt;&gt;"",RANK(DM10,DM4:DM23,DO3),"")</f>
        <v>8</v>
      </c>
      <c r="DP10" s="45">
        <f ca="1">IF(DN10&lt;&gt;"",RANK(DN10,DN4:DN23,DP3),"")</f>
        <v>1</v>
      </c>
      <c r="DQ10" s="45">
        <f t="shared" ca="1" si="78"/>
        <v>-7</v>
      </c>
      <c r="DR10" s="30">
        <f ca="1">IF(DL10&lt;&gt;"",VLOOKUP(SMALL(DJ4:DJ23,7),DJ4:DL23,3,FALSE),"")</f>
        <v>6</v>
      </c>
      <c r="DS10" s="4"/>
      <c r="DT10" s="41">
        <f t="shared" ca="1" si="79"/>
        <v>4.0000007000000002</v>
      </c>
      <c r="DU10" s="37">
        <f t="shared" ca="1" si="80"/>
        <v>-2</v>
      </c>
      <c r="DV10" s="42">
        <f t="shared" ca="1" si="44"/>
        <v>7</v>
      </c>
      <c r="DW10" s="43">
        <f t="shared" ca="1" si="81"/>
        <v>131</v>
      </c>
      <c r="DX10" s="44">
        <f t="shared" ca="1" si="45"/>
        <v>131</v>
      </c>
      <c r="DY10" s="43">
        <f ca="1">IF(DW10&lt;&gt;"",RANK(DW10,DW4:DW23,DY3),"")</f>
        <v>5</v>
      </c>
      <c r="DZ10" s="45">
        <f ca="1">IF(DX10&lt;&gt;"",RANK(DX10,DX4:DX23,DZ3),"")</f>
        <v>3</v>
      </c>
      <c r="EA10" s="45">
        <f t="shared" ca="1" si="82"/>
        <v>-2</v>
      </c>
      <c r="EB10" s="30">
        <f ca="1">IF(DV10&lt;&gt;"",VLOOKUP(SMALL(DT4:DT23,7),DT4:DV23,3,FALSE),"")</f>
        <v>5</v>
      </c>
      <c r="EC10" s="1" t="s">
        <v>35</v>
      </c>
    </row>
    <row r="11" spans="1:153" x14ac:dyDescent="0.3">
      <c r="A11" s="15"/>
      <c r="B11" s="32">
        <f ca="1">IF(A11=1,0,[1]Partants!A9)</f>
        <v>8</v>
      </c>
      <c r="C11" s="33" t="str">
        <f ca="1">[1]Partants!B9</f>
        <v>FARADAY LE DUN</v>
      </c>
      <c r="D11" s="34" t="str">
        <f ca="1">[1]Partants!E9</f>
        <v>1p 3p 3p 8p 6p 3p 2p</v>
      </c>
      <c r="E11" s="18" t="e">
        <f t="shared" ca="1" si="46"/>
        <v>#NAME?</v>
      </c>
      <c r="F11" s="35">
        <v>1</v>
      </c>
      <c r="G11" s="1">
        <v>3</v>
      </c>
      <c r="H11" s="32">
        <v>3</v>
      </c>
      <c r="I11" s="35">
        <v>8</v>
      </c>
      <c r="J11" s="32">
        <v>6</v>
      </c>
      <c r="K11" s="35">
        <v>3</v>
      </c>
      <c r="L11" s="32"/>
      <c r="M11" s="35"/>
      <c r="N11" s="32"/>
      <c r="O11" s="35"/>
      <c r="P11" s="36"/>
      <c r="Q11" s="32"/>
      <c r="R11" s="37"/>
      <c r="T11" s="1">
        <v>8</v>
      </c>
      <c r="U11" s="35">
        <v>1</v>
      </c>
      <c r="V11" s="9">
        <f ca="1">IF(B11&lt;&gt;0,IF(F11="","",IF(F11=0,11,F11)),"")</f>
        <v>1</v>
      </c>
      <c r="W11" s="9">
        <f t="shared" ca="1" si="47"/>
        <v>3</v>
      </c>
      <c r="X11" s="9">
        <f t="shared" ca="1" si="48"/>
        <v>8</v>
      </c>
      <c r="Y11" s="9">
        <f t="shared" ca="1" si="49"/>
        <v>6</v>
      </c>
      <c r="Z11" s="9">
        <f t="shared" ca="1" si="50"/>
        <v>3</v>
      </c>
      <c r="AA11" s="9">
        <f t="shared" ca="1" si="51"/>
        <v>5</v>
      </c>
      <c r="AB11" s="36">
        <f t="shared" ca="1" si="1"/>
        <v>1</v>
      </c>
      <c r="AC11" s="35">
        <f t="shared" ca="1" si="2"/>
        <v>1</v>
      </c>
      <c r="AD11" s="35">
        <f t="shared" ca="1" si="3"/>
        <v>3</v>
      </c>
      <c r="AE11" s="35">
        <f t="shared" ca="1" si="4"/>
        <v>8</v>
      </c>
      <c r="AF11" s="35">
        <f t="shared" ca="1" si="5"/>
        <v>6</v>
      </c>
      <c r="AG11" s="37">
        <f t="shared" ca="1" si="6"/>
        <v>3</v>
      </c>
      <c r="AH11" s="21" t="e">
        <f ca="1">IF(B11&lt;&gt;0,IF(#REF!="","",AVERAGE(AB11:AF11)),"")</f>
        <v>#REF!</v>
      </c>
      <c r="AI11" s="22">
        <f t="shared" ca="1" si="7"/>
        <v>18.333333333413332</v>
      </c>
      <c r="AJ11" s="36" t="str">
        <f t="shared" ca="1" si="52"/>
        <v/>
      </c>
      <c r="AK11" s="32">
        <f t="shared" ca="1" si="53"/>
        <v>2</v>
      </c>
      <c r="AL11" s="35" t="str">
        <f t="shared" ca="1" si="8"/>
        <v/>
      </c>
      <c r="AM11" s="32">
        <f t="shared" ca="1" si="9"/>
        <v>4</v>
      </c>
      <c r="AN11" s="35">
        <f t="shared" ca="1" si="10"/>
        <v>5</v>
      </c>
      <c r="AO11" s="32">
        <f t="shared" ca="1" si="11"/>
        <v>0</v>
      </c>
      <c r="AP11" s="32">
        <f t="shared" ca="1" si="54"/>
        <v>2450</v>
      </c>
      <c r="AQ11" s="38">
        <f ca="1">IF(B11&lt;&gt;0,((SUMPRODUCT((COUNTIF(AJ11:AO11,{1,2,3,4,5,10})=0)*{48,24,14,9,4,1})/100))+(B11*0.0000001),"")</f>
        <v>0.63000080000000003</v>
      </c>
      <c r="AR11" s="39">
        <f t="shared" ca="1" si="55"/>
        <v>119.9999992</v>
      </c>
      <c r="AS11" s="36">
        <f t="shared" ca="1" si="12"/>
        <v>9</v>
      </c>
      <c r="AT11" s="35">
        <f t="shared" ca="1" si="13"/>
        <v>6</v>
      </c>
      <c r="AU11" s="37">
        <f t="shared" ca="1" si="14"/>
        <v>1</v>
      </c>
      <c r="AV11" s="32">
        <f t="shared" ca="1" si="15"/>
        <v>16</v>
      </c>
      <c r="AW11" s="35">
        <f t="shared" ca="1" si="56"/>
        <v>14</v>
      </c>
      <c r="AX11" s="25">
        <f t="shared" ca="1" si="57"/>
        <v>124.9999992</v>
      </c>
      <c r="AY11" s="40">
        <f t="shared" ca="1" si="58"/>
        <v>147</v>
      </c>
      <c r="AZ11" s="36">
        <f t="shared" ca="1" si="16"/>
        <v>1</v>
      </c>
      <c r="BA11" s="35">
        <f t="shared" ca="1" si="17"/>
        <v>1</v>
      </c>
      <c r="BB11" s="37">
        <f t="shared" ca="1" si="18"/>
        <v>3</v>
      </c>
      <c r="BC11" s="40">
        <f t="shared" ca="1" si="19"/>
        <v>124.9999992</v>
      </c>
      <c r="BD11" s="40">
        <f t="shared" ca="1" si="20"/>
        <v>147</v>
      </c>
      <c r="BE11" s="36">
        <f t="shared" si="59"/>
        <v>1</v>
      </c>
      <c r="BF11" s="35">
        <f t="shared" ca="1" si="21"/>
        <v>1</v>
      </c>
      <c r="BG11" s="37">
        <f t="shared" ca="1" si="22"/>
        <v>3</v>
      </c>
      <c r="BH11" s="32">
        <f t="shared" ca="1" si="23"/>
        <v>9</v>
      </c>
      <c r="BI11" s="32">
        <f t="shared" ca="1" si="24"/>
        <v>6</v>
      </c>
      <c r="BJ11" s="32">
        <f t="shared" ca="1" si="25"/>
        <v>1</v>
      </c>
      <c r="BK11" s="32">
        <f t="shared" ca="1" si="26"/>
        <v>16</v>
      </c>
      <c r="BL11" s="26">
        <f t="shared" ca="1" si="60"/>
        <v>124.9999992</v>
      </c>
      <c r="BM11" s="40">
        <f t="shared" ca="1" si="27"/>
        <v>147</v>
      </c>
      <c r="BN11" s="4"/>
      <c r="BO11" s="32">
        <f t="shared" ca="1" si="61"/>
        <v>125</v>
      </c>
      <c r="BP11" s="32">
        <f t="shared" ca="1" si="28"/>
        <v>147</v>
      </c>
      <c r="BQ11" s="32">
        <f t="shared" ca="1" si="62"/>
        <v>125</v>
      </c>
      <c r="BR11" s="32">
        <f t="shared" ca="1" si="62"/>
        <v>147</v>
      </c>
      <c r="BS11" s="32">
        <f t="shared" ca="1" si="63"/>
        <v>125</v>
      </c>
      <c r="BT11" s="32">
        <f t="shared" ca="1" si="63"/>
        <v>147</v>
      </c>
      <c r="BU11" s="4"/>
      <c r="BV11" s="41">
        <f t="shared" ca="1" si="64"/>
        <v>1.0000008</v>
      </c>
      <c r="BW11" s="37">
        <f t="shared" ca="1" si="65"/>
        <v>1</v>
      </c>
      <c r="BX11" s="42">
        <f t="shared" ca="1" si="29"/>
        <v>8</v>
      </c>
      <c r="BY11" s="43">
        <f t="shared" ca="1" si="30"/>
        <v>147</v>
      </c>
      <c r="BZ11" s="44">
        <f t="shared" ca="1" si="31"/>
        <v>125</v>
      </c>
      <c r="CA11" s="43">
        <f ca="1">IF(BY11&lt;&gt;"",RANK(BY11,BY4:BY23,CA3),"")</f>
        <v>7</v>
      </c>
      <c r="CB11" s="45">
        <f ca="1">IF(BZ11&lt;&gt;"",RANK(BZ11,BZ4:BZ23,CB3),"")</f>
        <v>8</v>
      </c>
      <c r="CC11" s="45">
        <f t="shared" ca="1" si="66"/>
        <v>1</v>
      </c>
      <c r="CD11" s="30">
        <f ca="1">IF(BX11&lt;&gt;"",VLOOKUP(SMALL(BV4:BV23,8),BV4:BX23,3,FALSE),"")</f>
        <v>7</v>
      </c>
      <c r="CE11" s="4"/>
      <c r="CF11" s="41">
        <f t="shared" ca="1" si="67"/>
        <v>1.0000008</v>
      </c>
      <c r="CG11" s="37">
        <f t="shared" ca="1" si="68"/>
        <v>1</v>
      </c>
      <c r="CH11" s="42">
        <f t="shared" ca="1" si="32"/>
        <v>8</v>
      </c>
      <c r="CI11" s="43">
        <f t="shared" ca="1" si="33"/>
        <v>147</v>
      </c>
      <c r="CJ11" s="44">
        <f t="shared" ca="1" si="34"/>
        <v>125</v>
      </c>
      <c r="CK11" s="43">
        <f ca="1">IF(CI11&lt;&gt;"",RANK(CI11,CI4:CI23,CK3),"")</f>
        <v>7</v>
      </c>
      <c r="CL11" s="45">
        <f ca="1">IF(CJ11&lt;&gt;"",RANK(CJ11,CJ4:CJ23,CL3),"")</f>
        <v>8</v>
      </c>
      <c r="CM11" s="45">
        <f t="shared" ca="1" si="69"/>
        <v>1</v>
      </c>
      <c r="CN11" s="30">
        <f ca="1">IF(CH11&lt;&gt;"",VLOOKUP(SMALL(CF4:CF23,8),CF4:CH23,3,FALSE),"")</f>
        <v>7</v>
      </c>
      <c r="CO11" s="4"/>
      <c r="CP11" s="41">
        <f t="shared" ca="1" si="70"/>
        <v>1.0000008</v>
      </c>
      <c r="CQ11" s="37">
        <f t="shared" ca="1" si="71"/>
        <v>1</v>
      </c>
      <c r="CR11" s="42">
        <f t="shared" ca="1" si="35"/>
        <v>8</v>
      </c>
      <c r="CS11" s="43">
        <f t="shared" ca="1" si="36"/>
        <v>147</v>
      </c>
      <c r="CT11" s="44">
        <f t="shared" ca="1" si="37"/>
        <v>125</v>
      </c>
      <c r="CU11" s="43">
        <f ca="1">IF(CS11&lt;&gt;"",RANK(CS11,CS4:CS23,CU3),"")</f>
        <v>7</v>
      </c>
      <c r="CV11" s="45">
        <f ca="1">IF(CT11&lt;&gt;"",RANK(CT11,CT4:CT23,CV3),"")</f>
        <v>8</v>
      </c>
      <c r="CW11" s="45">
        <f t="shared" ca="1" si="72"/>
        <v>1</v>
      </c>
      <c r="CX11" s="30">
        <f ca="1">IF(CR11&lt;&gt;"",VLOOKUP(SMALL(CP4:CP23,8),CP4:CR23,3,FALSE),"")</f>
        <v>7</v>
      </c>
      <c r="CY11" s="4"/>
      <c r="CZ11" s="41">
        <f t="shared" ca="1" si="73"/>
        <v>1.0000008</v>
      </c>
      <c r="DA11" s="37">
        <f t="shared" ca="1" si="74"/>
        <v>1</v>
      </c>
      <c r="DB11" s="42">
        <f t="shared" ca="1" si="38"/>
        <v>8</v>
      </c>
      <c r="DC11" s="43">
        <f t="shared" ca="1" si="39"/>
        <v>147</v>
      </c>
      <c r="DD11" s="44">
        <f t="shared" ca="1" si="40"/>
        <v>125</v>
      </c>
      <c r="DE11" s="43">
        <f ca="1">IF(DC11&lt;&gt;"",RANK(DC11,DC4:DC23,DE3),"")</f>
        <v>7</v>
      </c>
      <c r="DF11" s="45">
        <f ca="1">IF(DD11&lt;&gt;"",RANK(DD11,DD4:DD23,DF3),"")</f>
        <v>8</v>
      </c>
      <c r="DG11" s="45">
        <f t="shared" ca="1" si="75"/>
        <v>1</v>
      </c>
      <c r="DH11" s="30">
        <f ca="1">IF(DB11&lt;&gt;"",VLOOKUP(SMALL(CZ4:CZ23,8),CZ4:DB23,3,FALSE),"")</f>
        <v>7</v>
      </c>
      <c r="DI11" s="4"/>
      <c r="DJ11" s="41">
        <f t="shared" ca="1" si="76"/>
        <v>25.000000799999999</v>
      </c>
      <c r="DK11" s="37">
        <f t="shared" ca="1" si="77"/>
        <v>-5</v>
      </c>
      <c r="DL11" s="42">
        <f t="shared" ca="1" si="41"/>
        <v>8</v>
      </c>
      <c r="DM11" s="43">
        <f t="shared" ca="1" si="42"/>
        <v>147</v>
      </c>
      <c r="DN11" s="44">
        <f t="shared" ca="1" si="43"/>
        <v>147</v>
      </c>
      <c r="DO11" s="43">
        <f ca="1">IF(DM11&lt;&gt;"",RANK(DM11,DM4:DM23,DO3),"")</f>
        <v>7</v>
      </c>
      <c r="DP11" s="45">
        <f ca="1">IF(DN11&lt;&gt;"",RANK(DN11,DN4:DN23,DP3),"")</f>
        <v>2</v>
      </c>
      <c r="DQ11" s="45">
        <f t="shared" ca="1" si="78"/>
        <v>-5</v>
      </c>
      <c r="DR11" s="30">
        <f ca="1">IF(DL11&lt;&gt;"",VLOOKUP(SMALL(DJ4:DJ23,8),DJ4:DL23,3,FALSE),"")</f>
        <v>7</v>
      </c>
      <c r="DS11" s="4"/>
      <c r="DT11" s="41">
        <f t="shared" ca="1" si="79"/>
        <v>49.000000800000002</v>
      </c>
      <c r="DU11" s="37">
        <f t="shared" ca="1" si="80"/>
        <v>7</v>
      </c>
      <c r="DV11" s="42">
        <f t="shared" ca="1" si="44"/>
        <v>8</v>
      </c>
      <c r="DW11" s="43">
        <f t="shared" ca="1" si="81"/>
        <v>125</v>
      </c>
      <c r="DX11" s="44">
        <f t="shared" ca="1" si="45"/>
        <v>125</v>
      </c>
      <c r="DY11" s="43">
        <f ca="1">IF(DW11&lt;&gt;"",RANK(DW11,DW4:DW23,DY3),"")</f>
        <v>1</v>
      </c>
      <c r="DZ11" s="45">
        <f ca="1">IF(DX11&lt;&gt;"",RANK(DX11,DX4:DX23,DZ3),"")</f>
        <v>8</v>
      </c>
      <c r="EA11" s="45">
        <f t="shared" ca="1" si="82"/>
        <v>7</v>
      </c>
      <c r="EB11" s="30">
        <f ca="1">IF(DV11&lt;&gt;"",VLOOKUP(SMALL(DT4:DT23,8),DT4:DV23,3,FALSE),"")</f>
        <v>8</v>
      </c>
    </row>
    <row r="12" spans="1:153" x14ac:dyDescent="0.3">
      <c r="A12" s="15"/>
      <c r="B12" s="32">
        <f ca="1">IF(A12=1,0,[1]Partants!A10)</f>
        <v>0</v>
      </c>
      <c r="C12" s="33">
        <f ca="1">[1]Partants!B10</f>
        <v>0</v>
      </c>
      <c r="D12" s="34">
        <f ca="1">[1]Partants!E10</f>
        <v>0</v>
      </c>
      <c r="E12" s="18" t="e">
        <f t="shared" ca="1" si="46"/>
        <v>#NAME?</v>
      </c>
      <c r="F12" s="32" t="str">
        <f t="shared" ref="F6:F23" ca="1" si="83">IF($B12=0,"",ABS(LEFT($E12,1)))</f>
        <v/>
      </c>
      <c r="G12" s="35" t="str">
        <f t="shared" ref="G4:G23" ca="1" si="84">IF($B12=0,"",IF(LEN($E12)&lt;2,"",ABS(RIGHT((LEFT($E12,2)),1))))</f>
        <v/>
      </c>
      <c r="H12" s="32" t="str">
        <f t="shared" ref="H4:H23" ca="1" si="85">IF($B12=0,"",IF(LEN($E12)&lt;3,"",ABS(RIGHT((LEFT($E12,3)),1))))</f>
        <v/>
      </c>
      <c r="I12" s="35" t="str">
        <f t="shared" ref="I4:I23" ca="1" si="86">IF($B12=0,"",IF(LEN($E12)&lt;4,"",ABS(RIGHT((LEFT($E12,4)),1))))</f>
        <v/>
      </c>
      <c r="J12" s="32" t="str">
        <f t="shared" ref="J4:J23" ca="1" si="87">IF($B12=0,"",IF(LEN($E12)&lt;5,"",ABS(RIGHT((LEFT($E12,5)),1))))</f>
        <v/>
      </c>
      <c r="K12" s="35" t="str">
        <f t="shared" ref="K4:K23" ca="1" si="88">IF($B12=0,"",IF(LEN($E12)&lt;6,"",ABS(RIGHT((LEFT($E12,6)),1))))</f>
        <v/>
      </c>
      <c r="L12" s="32"/>
      <c r="M12" s="35"/>
      <c r="N12" s="32"/>
      <c r="O12" s="35"/>
      <c r="P12" s="36"/>
      <c r="Q12" s="32"/>
      <c r="R12" s="37"/>
      <c r="T12" s="1">
        <v>9</v>
      </c>
      <c r="U12" s="9" t="str">
        <f t="shared" ref="U5:U23" ca="1" si="89">IF(B12&lt;&gt;0,IF(F12="","",IF(F12=0,11,F12)),"")</f>
        <v/>
      </c>
      <c r="V12" s="9" t="str">
        <f t="shared" ref="V5:V23" ca="1" si="90">IF(B12&lt;&gt;0,IF(G12="","",IF(G12=0,11,G12)),"")</f>
        <v/>
      </c>
      <c r="W12" s="9" t="str">
        <f t="shared" ca="1" si="47"/>
        <v/>
      </c>
      <c r="X12" s="9" t="str">
        <f t="shared" ca="1" si="48"/>
        <v/>
      </c>
      <c r="Y12" s="9" t="str">
        <f t="shared" ca="1" si="49"/>
        <v/>
      </c>
      <c r="Z12" s="9" t="str">
        <f t="shared" ca="1" si="50"/>
        <v/>
      </c>
      <c r="AA12" s="9" t="str">
        <f t="shared" ref="AA12:AA23" ca="1" si="91">IF(H12&lt;&gt;0,IF(L12="","",IF(L12=0,11,L12)),"")</f>
        <v/>
      </c>
      <c r="AB12" s="36" t="str">
        <f t="shared" ca="1" si="1"/>
        <v/>
      </c>
      <c r="AC12" s="35" t="str">
        <f t="shared" ca="1" si="2"/>
        <v/>
      </c>
      <c r="AD12" s="35" t="str">
        <f t="shared" ca="1" si="3"/>
        <v/>
      </c>
      <c r="AE12" s="35" t="str">
        <f t="shared" ca="1" si="4"/>
        <v/>
      </c>
      <c r="AF12" s="35" t="str">
        <f t="shared" ca="1" si="5"/>
        <v/>
      </c>
      <c r="AG12" s="37" t="str">
        <f t="shared" ca="1" si="6"/>
        <v/>
      </c>
      <c r="AH12" s="21" t="str">
        <f t="shared" ref="AH5:AH23" ca="1" si="92">IF(B12&lt;&gt;0,IF(F12="","",AVERAGE(AB12:AF12)),"")</f>
        <v/>
      </c>
      <c r="AI12" s="22" t="str">
        <f t="shared" ca="1" si="7"/>
        <v/>
      </c>
      <c r="AJ12" s="36" t="str">
        <f t="shared" ca="1" si="52"/>
        <v/>
      </c>
      <c r="AK12" s="32" t="str">
        <f t="shared" ca="1" si="53"/>
        <v/>
      </c>
      <c r="AL12" s="35" t="str">
        <f t="shared" ca="1" si="8"/>
        <v/>
      </c>
      <c r="AM12" s="32" t="str">
        <f t="shared" ca="1" si="9"/>
        <v/>
      </c>
      <c r="AN12" s="35" t="str">
        <f t="shared" ca="1" si="10"/>
        <v/>
      </c>
      <c r="AO12" s="32" t="str">
        <f t="shared" ca="1" si="11"/>
        <v/>
      </c>
      <c r="AP12" s="32" t="str">
        <f t="shared" ca="1" si="54"/>
        <v/>
      </c>
      <c r="AQ12" s="38" t="str">
        <f ca="1">IF(B12&lt;&gt;0,((SUMPRODUCT((COUNTIF(AJ12:AO12,{1,2,3,4,5,10})=0)*{48,24,14,9,4,1})/100))+(B12*0.0000001),"")</f>
        <v/>
      </c>
      <c r="AR12" s="39" t="str">
        <f t="shared" ca="1" si="55"/>
        <v/>
      </c>
      <c r="AS12" s="36" t="str">
        <f t="shared" ca="1" si="12"/>
        <v/>
      </c>
      <c r="AT12" s="35" t="str">
        <f t="shared" ca="1" si="13"/>
        <v/>
      </c>
      <c r="AU12" s="37" t="str">
        <f t="shared" ca="1" si="14"/>
        <v/>
      </c>
      <c r="AV12" s="32" t="str">
        <f t="shared" ca="1" si="15"/>
        <v/>
      </c>
      <c r="AW12" s="35" t="str">
        <f t="shared" ca="1" si="56"/>
        <v/>
      </c>
      <c r="AX12" s="25" t="str">
        <f t="shared" ca="1" si="57"/>
        <v/>
      </c>
      <c r="AY12" s="40" t="str">
        <f t="shared" ca="1" si="58"/>
        <v/>
      </c>
      <c r="AZ12" s="36" t="str">
        <f t="shared" ca="1" si="16"/>
        <v/>
      </c>
      <c r="BA12" s="35" t="str">
        <f t="shared" ca="1" si="17"/>
        <v/>
      </c>
      <c r="BB12" s="37" t="str">
        <f t="shared" ca="1" si="18"/>
        <v/>
      </c>
      <c r="BC12" s="40" t="str">
        <f t="shared" ca="1" si="19"/>
        <v/>
      </c>
      <c r="BD12" s="40" t="str">
        <f t="shared" ca="1" si="20"/>
        <v/>
      </c>
      <c r="BE12" s="36" t="str">
        <f t="shared" ca="1" si="59"/>
        <v/>
      </c>
      <c r="BF12" s="35" t="str">
        <f t="shared" ca="1" si="21"/>
        <v/>
      </c>
      <c r="BG12" s="37" t="str">
        <f t="shared" ca="1" si="22"/>
        <v/>
      </c>
      <c r="BH12" s="32" t="str">
        <f t="shared" ca="1" si="23"/>
        <v/>
      </c>
      <c r="BI12" s="32" t="str">
        <f t="shared" ca="1" si="24"/>
        <v/>
      </c>
      <c r="BJ12" s="32" t="str">
        <f t="shared" ca="1" si="25"/>
        <v/>
      </c>
      <c r="BK12" s="32" t="str">
        <f t="shared" ca="1" si="26"/>
        <v/>
      </c>
      <c r="BL12" s="26" t="str">
        <f t="shared" ca="1" si="60"/>
        <v/>
      </c>
      <c r="BM12" s="40" t="str">
        <f t="shared" ca="1" si="27"/>
        <v/>
      </c>
      <c r="BN12" s="4"/>
      <c r="BO12" s="32" t="str">
        <f t="shared" ca="1" si="61"/>
        <v/>
      </c>
      <c r="BP12" s="32" t="str">
        <f t="shared" ca="1" si="28"/>
        <v/>
      </c>
      <c r="BQ12" s="32" t="str">
        <f t="shared" ca="1" si="62"/>
        <v/>
      </c>
      <c r="BR12" s="32" t="str">
        <f t="shared" ca="1" si="62"/>
        <v/>
      </c>
      <c r="BS12" s="32" t="str">
        <f t="shared" ca="1" si="63"/>
        <v/>
      </c>
      <c r="BT12" s="32" t="str">
        <f t="shared" ca="1" si="63"/>
        <v/>
      </c>
      <c r="BU12" s="4"/>
      <c r="BV12" s="41" t="str">
        <f t="shared" ca="1" si="64"/>
        <v/>
      </c>
      <c r="BW12" s="37" t="str">
        <f t="shared" ca="1" si="65"/>
        <v/>
      </c>
      <c r="BX12" s="42" t="str">
        <f t="shared" ca="1" si="29"/>
        <v/>
      </c>
      <c r="BY12" s="43" t="str">
        <f t="shared" ca="1" si="30"/>
        <v/>
      </c>
      <c r="BZ12" s="44" t="str">
        <f t="shared" ca="1" si="31"/>
        <v/>
      </c>
      <c r="CA12" s="43" t="str">
        <f ca="1">IF(BY12&lt;&gt;"",RANK(BY12,BY4:BY23,CA3),"")</f>
        <v/>
      </c>
      <c r="CB12" s="45" t="str">
        <f ca="1">IF(BZ12&lt;&gt;"",RANK(BZ12,BZ4:BZ23,CB3),"")</f>
        <v/>
      </c>
      <c r="CC12" s="45" t="str">
        <f t="shared" ca="1" si="66"/>
        <v/>
      </c>
      <c r="CD12" s="30" t="str">
        <f ca="1">IF(BX12&lt;&gt;"",VLOOKUP(SMALL(BV4:BV23,9),BV4:BX23,3,FALSE),"")</f>
        <v/>
      </c>
      <c r="CE12" s="4"/>
      <c r="CF12" s="41" t="str">
        <f t="shared" ca="1" si="67"/>
        <v/>
      </c>
      <c r="CG12" s="37" t="str">
        <f t="shared" ca="1" si="68"/>
        <v/>
      </c>
      <c r="CH12" s="42" t="str">
        <f t="shared" ca="1" si="32"/>
        <v/>
      </c>
      <c r="CI12" s="43" t="str">
        <f t="shared" ca="1" si="33"/>
        <v/>
      </c>
      <c r="CJ12" s="44" t="str">
        <f t="shared" ca="1" si="34"/>
        <v/>
      </c>
      <c r="CK12" s="43" t="str">
        <f ca="1">IF(CI12&lt;&gt;"",RANK(CI12,CI4:CI23,CK3),"")</f>
        <v/>
      </c>
      <c r="CL12" s="45" t="str">
        <f ca="1">IF(CJ12&lt;&gt;"",RANK(CJ12,CJ4:CJ23,CL3),"")</f>
        <v/>
      </c>
      <c r="CM12" s="45" t="str">
        <f t="shared" ca="1" si="69"/>
        <v/>
      </c>
      <c r="CN12" s="30" t="str">
        <f ca="1">IF(CH12&lt;&gt;"",VLOOKUP(SMALL(CF4:CF23,9),CF4:CH23,3,FALSE),"")</f>
        <v/>
      </c>
      <c r="CO12" s="4"/>
      <c r="CP12" s="41" t="str">
        <f t="shared" ca="1" si="70"/>
        <v/>
      </c>
      <c r="CQ12" s="37" t="str">
        <f t="shared" ca="1" si="71"/>
        <v/>
      </c>
      <c r="CR12" s="42" t="str">
        <f t="shared" ca="1" si="35"/>
        <v/>
      </c>
      <c r="CS12" s="43" t="str">
        <f t="shared" ca="1" si="36"/>
        <v/>
      </c>
      <c r="CT12" s="44" t="str">
        <f t="shared" ca="1" si="37"/>
        <v/>
      </c>
      <c r="CU12" s="43" t="str">
        <f ca="1">IF(CS12&lt;&gt;"",RANK(CS12,CS4:CS23,CU3),"")</f>
        <v/>
      </c>
      <c r="CV12" s="45" t="str">
        <f ca="1">IF(CT12&lt;&gt;"",RANK(CT12,CT4:CT23,CV3),"")</f>
        <v/>
      </c>
      <c r="CW12" s="45" t="str">
        <f t="shared" ca="1" si="72"/>
        <v/>
      </c>
      <c r="CX12" s="30" t="str">
        <f ca="1">IF(CR12&lt;&gt;"",VLOOKUP(SMALL(CP4:CP23,9),CP4:CR23,3,FALSE),"")</f>
        <v/>
      </c>
      <c r="CY12" s="4"/>
      <c r="CZ12" s="41" t="str">
        <f t="shared" ca="1" si="73"/>
        <v/>
      </c>
      <c r="DA12" s="37" t="str">
        <f t="shared" ca="1" si="74"/>
        <v/>
      </c>
      <c r="DB12" s="42" t="str">
        <f t="shared" ca="1" si="38"/>
        <v/>
      </c>
      <c r="DC12" s="43" t="str">
        <f t="shared" ca="1" si="39"/>
        <v/>
      </c>
      <c r="DD12" s="44" t="str">
        <f t="shared" ca="1" si="40"/>
        <v/>
      </c>
      <c r="DE12" s="43" t="str">
        <f ca="1">IF(DC12&lt;&gt;"",RANK(DC12,DC4:DC23,DE3),"")</f>
        <v/>
      </c>
      <c r="DF12" s="45" t="str">
        <f ca="1">IF(DD12&lt;&gt;"",RANK(DD12,DD4:DD23,DF3),"")</f>
        <v/>
      </c>
      <c r="DG12" s="45" t="str">
        <f t="shared" ca="1" si="75"/>
        <v/>
      </c>
      <c r="DH12" s="30" t="str">
        <f ca="1">IF(DB12&lt;&gt;"",VLOOKUP(SMALL(CZ4:CZ23,9),CZ4:DB23,3,FALSE),"")</f>
        <v/>
      </c>
      <c r="DI12" s="4"/>
      <c r="DJ12" s="41" t="str">
        <f t="shared" ca="1" si="76"/>
        <v/>
      </c>
      <c r="DK12" s="37" t="str">
        <f t="shared" ca="1" si="77"/>
        <v/>
      </c>
      <c r="DL12" s="42" t="str">
        <f t="shared" ca="1" si="41"/>
        <v/>
      </c>
      <c r="DM12" s="43" t="str">
        <f t="shared" ca="1" si="42"/>
        <v/>
      </c>
      <c r="DN12" s="44" t="str">
        <f t="shared" ca="1" si="43"/>
        <v/>
      </c>
      <c r="DO12" s="43" t="str">
        <f ca="1">IF(DM12&lt;&gt;"",RANK(DM12,DM4:DM23,DO3),"")</f>
        <v/>
      </c>
      <c r="DP12" s="45" t="str">
        <f ca="1">IF(DN12&lt;&gt;"",RANK(DN12,DN4:DN23,DP3),"")</f>
        <v/>
      </c>
      <c r="DQ12" s="45" t="str">
        <f t="shared" ca="1" si="78"/>
        <v/>
      </c>
      <c r="DR12" s="30" t="str">
        <f ca="1">IF(DL12&lt;&gt;"",VLOOKUP(SMALL(DJ4:DJ23,9),DJ4:DL23,3,FALSE),"")</f>
        <v/>
      </c>
      <c r="DS12" s="4"/>
      <c r="DT12" s="41" t="str">
        <f t="shared" ca="1" si="79"/>
        <v/>
      </c>
      <c r="DU12" s="37" t="str">
        <f t="shared" ca="1" si="80"/>
        <v/>
      </c>
      <c r="DV12" s="42" t="str">
        <f t="shared" ca="1" si="44"/>
        <v/>
      </c>
      <c r="DW12" s="43" t="str">
        <f t="shared" ca="1" si="81"/>
        <v/>
      </c>
      <c r="DX12" s="44" t="str">
        <f t="shared" ca="1" si="45"/>
        <v/>
      </c>
      <c r="DY12" s="43" t="str">
        <f ca="1">IF(DW12&lt;&gt;"",RANK(DW12,DW4:DW23,DY3),"")</f>
        <v/>
      </c>
      <c r="DZ12" s="45" t="str">
        <f ca="1">IF(DX12&lt;&gt;"",RANK(DX12,DX4:DX23,DZ3),"")</f>
        <v/>
      </c>
      <c r="EA12" s="45" t="str">
        <f t="shared" ca="1" si="82"/>
        <v/>
      </c>
      <c r="EB12" s="30" t="str">
        <f ca="1">IF(DV12&lt;&gt;"",VLOOKUP(SMALL(DT4:DT23,9),DT4:DV23,3,FALSE),"")</f>
        <v/>
      </c>
    </row>
    <row r="13" spans="1:153" x14ac:dyDescent="0.3">
      <c r="A13" s="15"/>
      <c r="B13" s="32">
        <f ca="1">IF(A13=1,0,[1]Partants!A11)</f>
        <v>0</v>
      </c>
      <c r="C13" s="33">
        <f ca="1">[1]Partants!B11</f>
        <v>0</v>
      </c>
      <c r="D13" s="34">
        <f ca="1">[1]Partants!E11</f>
        <v>0</v>
      </c>
      <c r="E13" s="18" t="e">
        <f t="shared" ca="1" si="46"/>
        <v>#NAME?</v>
      </c>
      <c r="F13" s="32" t="str">
        <f t="shared" ca="1" si="83"/>
        <v/>
      </c>
      <c r="G13" s="35" t="str">
        <f t="shared" ca="1" si="84"/>
        <v/>
      </c>
      <c r="H13" s="32" t="str">
        <f t="shared" ca="1" si="85"/>
        <v/>
      </c>
      <c r="I13" s="35" t="str">
        <f t="shared" ca="1" si="86"/>
        <v/>
      </c>
      <c r="J13" s="32" t="str">
        <f t="shared" ca="1" si="87"/>
        <v/>
      </c>
      <c r="K13" s="35" t="str">
        <f t="shared" ca="1" si="88"/>
        <v/>
      </c>
      <c r="L13" s="32"/>
      <c r="M13" s="35"/>
      <c r="N13" s="32"/>
      <c r="O13" s="35"/>
      <c r="P13" s="36"/>
      <c r="Q13" s="32"/>
      <c r="R13" s="37"/>
      <c r="T13" s="1">
        <v>10</v>
      </c>
      <c r="U13" s="9" t="str">
        <f t="shared" ca="1" si="89"/>
        <v/>
      </c>
      <c r="V13" s="9" t="str">
        <f t="shared" ca="1" si="90"/>
        <v/>
      </c>
      <c r="W13" s="9" t="str">
        <f t="shared" ca="1" si="47"/>
        <v/>
      </c>
      <c r="X13" s="9" t="str">
        <f t="shared" ca="1" si="48"/>
        <v/>
      </c>
      <c r="Y13" s="9" t="str">
        <f t="shared" ca="1" si="49"/>
        <v/>
      </c>
      <c r="Z13" s="9" t="str">
        <f t="shared" ca="1" si="50"/>
        <v/>
      </c>
      <c r="AA13" s="9" t="str">
        <f t="shared" ca="1" si="91"/>
        <v/>
      </c>
      <c r="AB13" s="36" t="str">
        <f t="shared" ca="1" si="1"/>
        <v/>
      </c>
      <c r="AC13" s="35" t="str">
        <f t="shared" ca="1" si="2"/>
        <v/>
      </c>
      <c r="AD13" s="35" t="str">
        <f t="shared" ca="1" si="3"/>
        <v/>
      </c>
      <c r="AE13" s="35" t="str">
        <f t="shared" ca="1" si="4"/>
        <v/>
      </c>
      <c r="AF13" s="35" t="str">
        <f t="shared" ca="1" si="5"/>
        <v/>
      </c>
      <c r="AG13" s="37" t="str">
        <f t="shared" ca="1" si="6"/>
        <v/>
      </c>
      <c r="AH13" s="21" t="str">
        <f t="shared" ca="1" si="92"/>
        <v/>
      </c>
      <c r="AI13" s="22" t="str">
        <f t="shared" ca="1" si="7"/>
        <v/>
      </c>
      <c r="AJ13" s="36" t="str">
        <f t="shared" ca="1" si="52"/>
        <v/>
      </c>
      <c r="AK13" s="32" t="str">
        <f t="shared" ca="1" si="53"/>
        <v/>
      </c>
      <c r="AL13" s="35" t="str">
        <f t="shared" ca="1" si="8"/>
        <v/>
      </c>
      <c r="AM13" s="32" t="str">
        <f t="shared" ca="1" si="9"/>
        <v/>
      </c>
      <c r="AN13" s="35" t="str">
        <f t="shared" ca="1" si="10"/>
        <v/>
      </c>
      <c r="AO13" s="32" t="str">
        <f t="shared" ca="1" si="11"/>
        <v/>
      </c>
      <c r="AP13" s="32" t="str">
        <f t="shared" ca="1" si="54"/>
        <v/>
      </c>
      <c r="AQ13" s="38" t="str">
        <f ca="1">IF(B13&lt;&gt;0,((SUMPRODUCT((COUNTIF(AJ13:AO13,{1,2,3,4,5,10})=0)*{48,24,14,9,4,1})/100))+(B13*0.0000001),"")</f>
        <v/>
      </c>
      <c r="AR13" s="39" t="str">
        <f t="shared" ca="1" si="55"/>
        <v/>
      </c>
      <c r="AS13" s="36" t="str">
        <f t="shared" ca="1" si="12"/>
        <v/>
      </c>
      <c r="AT13" s="35" t="str">
        <f t="shared" ca="1" si="13"/>
        <v/>
      </c>
      <c r="AU13" s="37" t="str">
        <f t="shared" ca="1" si="14"/>
        <v/>
      </c>
      <c r="AV13" s="32" t="str">
        <f t="shared" ca="1" si="15"/>
        <v/>
      </c>
      <c r="AW13" s="35" t="str">
        <f t="shared" ca="1" si="56"/>
        <v/>
      </c>
      <c r="AX13" s="25" t="str">
        <f t="shared" ca="1" si="57"/>
        <v/>
      </c>
      <c r="AY13" s="40" t="str">
        <f t="shared" ca="1" si="58"/>
        <v/>
      </c>
      <c r="AZ13" s="36" t="str">
        <f t="shared" ca="1" si="16"/>
        <v/>
      </c>
      <c r="BA13" s="35" t="str">
        <f t="shared" ca="1" si="17"/>
        <v/>
      </c>
      <c r="BB13" s="37" t="str">
        <f t="shared" ca="1" si="18"/>
        <v/>
      </c>
      <c r="BC13" s="40" t="str">
        <f t="shared" ca="1" si="19"/>
        <v/>
      </c>
      <c r="BD13" s="40" t="str">
        <f t="shared" ca="1" si="20"/>
        <v/>
      </c>
      <c r="BE13" s="36" t="str">
        <f t="shared" ca="1" si="59"/>
        <v/>
      </c>
      <c r="BF13" s="35" t="str">
        <f t="shared" ca="1" si="21"/>
        <v/>
      </c>
      <c r="BG13" s="37" t="str">
        <f t="shared" ca="1" si="22"/>
        <v/>
      </c>
      <c r="BH13" s="32" t="str">
        <f t="shared" ca="1" si="23"/>
        <v/>
      </c>
      <c r="BI13" s="32" t="str">
        <f t="shared" ca="1" si="24"/>
        <v/>
      </c>
      <c r="BJ13" s="32" t="str">
        <f t="shared" ca="1" si="25"/>
        <v/>
      </c>
      <c r="BK13" s="32" t="str">
        <f t="shared" ca="1" si="26"/>
        <v/>
      </c>
      <c r="BL13" s="26" t="str">
        <f t="shared" ca="1" si="60"/>
        <v/>
      </c>
      <c r="BM13" s="40" t="str">
        <f t="shared" ca="1" si="27"/>
        <v/>
      </c>
      <c r="BN13" s="4"/>
      <c r="BO13" s="32" t="str">
        <f t="shared" ca="1" si="61"/>
        <v/>
      </c>
      <c r="BP13" s="32" t="str">
        <f t="shared" ca="1" si="28"/>
        <v/>
      </c>
      <c r="BQ13" s="32" t="str">
        <f t="shared" ca="1" si="62"/>
        <v/>
      </c>
      <c r="BR13" s="32" t="str">
        <f t="shared" ca="1" si="62"/>
        <v/>
      </c>
      <c r="BS13" s="32" t="str">
        <f t="shared" ca="1" si="63"/>
        <v/>
      </c>
      <c r="BT13" s="32" t="str">
        <f t="shared" ca="1" si="63"/>
        <v/>
      </c>
      <c r="BU13" s="4"/>
      <c r="BV13" s="41" t="str">
        <f t="shared" ca="1" si="64"/>
        <v/>
      </c>
      <c r="BW13" s="37" t="str">
        <f t="shared" ca="1" si="65"/>
        <v/>
      </c>
      <c r="BX13" s="42" t="str">
        <f t="shared" ca="1" si="29"/>
        <v/>
      </c>
      <c r="BY13" s="43" t="str">
        <f t="shared" ca="1" si="30"/>
        <v/>
      </c>
      <c r="BZ13" s="44" t="str">
        <f t="shared" ca="1" si="31"/>
        <v/>
      </c>
      <c r="CA13" s="43" t="str">
        <f ca="1">IF(BY13&lt;&gt;"",RANK(BY13,BY4:BY23,CA3),"")</f>
        <v/>
      </c>
      <c r="CB13" s="45" t="str">
        <f ca="1">IF(BZ13&lt;&gt;"",RANK(BZ13,BZ4:BZ23,CB3),"")</f>
        <v/>
      </c>
      <c r="CC13" s="45" t="str">
        <f t="shared" ca="1" si="66"/>
        <v/>
      </c>
      <c r="CD13" s="30" t="str">
        <f ca="1">IF(BX13&lt;&gt;"",VLOOKUP(SMALL(BV4:BV23,10),BV4:BX23,3,FALSE),"")</f>
        <v/>
      </c>
      <c r="CE13" s="4"/>
      <c r="CF13" s="41" t="str">
        <f t="shared" ca="1" si="67"/>
        <v/>
      </c>
      <c r="CG13" s="37" t="str">
        <f t="shared" ca="1" si="68"/>
        <v/>
      </c>
      <c r="CH13" s="42" t="str">
        <f t="shared" ca="1" si="32"/>
        <v/>
      </c>
      <c r="CI13" s="43" t="str">
        <f t="shared" ca="1" si="33"/>
        <v/>
      </c>
      <c r="CJ13" s="44" t="str">
        <f t="shared" ca="1" si="34"/>
        <v/>
      </c>
      <c r="CK13" s="43" t="str">
        <f ca="1">IF(CI13&lt;&gt;"",RANK(CI13,CI4:CI23,CK3),"")</f>
        <v/>
      </c>
      <c r="CL13" s="45" t="str">
        <f ca="1">IF(CJ13&lt;&gt;"",RANK(CJ13,CJ4:CJ23,CL3),"")</f>
        <v/>
      </c>
      <c r="CM13" s="45" t="str">
        <f t="shared" ca="1" si="69"/>
        <v/>
      </c>
      <c r="CN13" s="30" t="str">
        <f ca="1">IF(CH13&lt;&gt;"",VLOOKUP(SMALL(CF4:CF23,10),CF4:CH23,3,FALSE),"")</f>
        <v/>
      </c>
      <c r="CO13" s="4"/>
      <c r="CP13" s="41" t="str">
        <f t="shared" ca="1" si="70"/>
        <v/>
      </c>
      <c r="CQ13" s="37" t="str">
        <f t="shared" ca="1" si="71"/>
        <v/>
      </c>
      <c r="CR13" s="42" t="str">
        <f t="shared" ca="1" si="35"/>
        <v/>
      </c>
      <c r="CS13" s="43" t="str">
        <f t="shared" ca="1" si="36"/>
        <v/>
      </c>
      <c r="CT13" s="44" t="str">
        <f t="shared" ca="1" si="37"/>
        <v/>
      </c>
      <c r="CU13" s="43" t="str">
        <f ca="1">IF(CS13&lt;&gt;"",RANK(CS13,CS4:CS23,CU3),"")</f>
        <v/>
      </c>
      <c r="CV13" s="45" t="str">
        <f ca="1">IF(CT13&lt;&gt;"",RANK(CT13,CT4:CT23,CV3),"")</f>
        <v/>
      </c>
      <c r="CW13" s="45" t="str">
        <f t="shared" ca="1" si="72"/>
        <v/>
      </c>
      <c r="CX13" s="30" t="str">
        <f ca="1">IF(CR13&lt;&gt;"",VLOOKUP(SMALL(CP4:CP23,10),CP4:CR23,3,FALSE),"")</f>
        <v/>
      </c>
      <c r="CY13" s="4"/>
      <c r="CZ13" s="41" t="str">
        <f t="shared" ca="1" si="73"/>
        <v/>
      </c>
      <c r="DA13" s="37" t="str">
        <f t="shared" ca="1" si="74"/>
        <v/>
      </c>
      <c r="DB13" s="42" t="str">
        <f t="shared" ca="1" si="38"/>
        <v/>
      </c>
      <c r="DC13" s="43" t="str">
        <f t="shared" ca="1" si="39"/>
        <v/>
      </c>
      <c r="DD13" s="44" t="str">
        <f t="shared" ca="1" si="40"/>
        <v/>
      </c>
      <c r="DE13" s="43" t="str">
        <f ca="1">IF(DC13&lt;&gt;"",RANK(DC13,DC4:DC23,DE3),"")</f>
        <v/>
      </c>
      <c r="DF13" s="45" t="str">
        <f ca="1">IF(DD13&lt;&gt;"",RANK(DD13,DD4:DD23,DF3),"")</f>
        <v/>
      </c>
      <c r="DG13" s="45" t="str">
        <f t="shared" ca="1" si="75"/>
        <v/>
      </c>
      <c r="DH13" s="30" t="str">
        <f ca="1">IF(DB13&lt;&gt;"",VLOOKUP(SMALL(CZ4:CZ23,10),CZ4:DB23,3,FALSE),"")</f>
        <v/>
      </c>
      <c r="DI13" s="4"/>
      <c r="DJ13" s="41" t="str">
        <f t="shared" ca="1" si="76"/>
        <v/>
      </c>
      <c r="DK13" s="37" t="str">
        <f t="shared" ca="1" si="77"/>
        <v/>
      </c>
      <c r="DL13" s="42" t="str">
        <f t="shared" ca="1" si="41"/>
        <v/>
      </c>
      <c r="DM13" s="43" t="str">
        <f t="shared" ca="1" si="42"/>
        <v/>
      </c>
      <c r="DN13" s="44" t="str">
        <f t="shared" ca="1" si="43"/>
        <v/>
      </c>
      <c r="DO13" s="43" t="str">
        <f ca="1">IF(DM13&lt;&gt;"",RANK(DM13,DM4:DM23,DO3),"")</f>
        <v/>
      </c>
      <c r="DP13" s="45" t="str">
        <f ca="1">IF(DN13&lt;&gt;"",RANK(DN13,DN4:DN23,DP3),"")</f>
        <v/>
      </c>
      <c r="DQ13" s="45" t="str">
        <f t="shared" ca="1" si="78"/>
        <v/>
      </c>
      <c r="DR13" s="30" t="str">
        <f ca="1">IF(DL13&lt;&gt;"",VLOOKUP(SMALL(DJ4:DJ23,10),DJ4:DL23,3,FALSE),"")</f>
        <v/>
      </c>
      <c r="DS13" s="4"/>
      <c r="DT13" s="41" t="str">
        <f t="shared" ca="1" si="79"/>
        <v/>
      </c>
      <c r="DU13" s="37" t="str">
        <f t="shared" ca="1" si="80"/>
        <v/>
      </c>
      <c r="DV13" s="42" t="str">
        <f t="shared" ca="1" si="44"/>
        <v/>
      </c>
      <c r="DW13" s="43" t="str">
        <f t="shared" ca="1" si="81"/>
        <v/>
      </c>
      <c r="DX13" s="44" t="str">
        <f t="shared" ca="1" si="45"/>
        <v/>
      </c>
      <c r="DY13" s="43" t="str">
        <f ca="1">IF(DW13&lt;&gt;"",RANK(DW13,DW4:DW23,DY3),"")</f>
        <v/>
      </c>
      <c r="DZ13" s="45" t="str">
        <f ca="1">IF(DX13&lt;&gt;"",RANK(DX13,DX4:DX23,DZ3),"")</f>
        <v/>
      </c>
      <c r="EA13" s="45" t="str">
        <f t="shared" ca="1" si="82"/>
        <v/>
      </c>
      <c r="EB13" s="30" t="str">
        <f ca="1">IF(DV13&lt;&gt;"",VLOOKUP(SMALL(DT4:DT23,10),DT4:DV23,3,FALSE),"")</f>
        <v/>
      </c>
    </row>
    <row r="14" spans="1:153" x14ac:dyDescent="0.3">
      <c r="A14" s="15"/>
      <c r="B14" s="32">
        <f ca="1">IF(A14=1,0,[1]Partants!A12)</f>
        <v>0</v>
      </c>
      <c r="C14" s="33">
        <f ca="1">[1]Partants!B12</f>
        <v>0</v>
      </c>
      <c r="D14" s="34">
        <f ca="1">[1]Partants!E12</f>
        <v>0</v>
      </c>
      <c r="E14" s="18" t="e">
        <f t="shared" ca="1" si="46"/>
        <v>#NAME?</v>
      </c>
      <c r="F14" s="32" t="str">
        <f t="shared" ca="1" si="83"/>
        <v/>
      </c>
      <c r="G14" s="35" t="str">
        <f t="shared" ca="1" si="84"/>
        <v/>
      </c>
      <c r="H14" s="32" t="str">
        <f t="shared" ca="1" si="85"/>
        <v/>
      </c>
      <c r="I14" s="35" t="str">
        <f t="shared" ca="1" si="86"/>
        <v/>
      </c>
      <c r="J14" s="32" t="str">
        <f t="shared" ca="1" si="87"/>
        <v/>
      </c>
      <c r="K14" s="35" t="str">
        <f t="shared" ca="1" si="88"/>
        <v/>
      </c>
      <c r="L14" s="32" t="str">
        <f t="shared" ref="L4:L23" ca="1" si="93">IF($B14=0,"",IF(LEN($E14)&lt;6,"",ABS(RIGHT((LEFT($E14,7)),1))))</f>
        <v/>
      </c>
      <c r="M14" s="35" t="str">
        <f t="shared" ref="M4:M23" ca="1" si="94">IF($B14=0,"",IF(LEN($E14)&lt;6,"",ABS(RIGHT((LEFT($E14,8)),1))))</f>
        <v/>
      </c>
      <c r="N14" s="32" t="str">
        <f t="shared" ref="N4:N23" ca="1" si="95">IF($B14=0,"",IF(LEN($E14)&lt;6,"",ABS(RIGHT((LEFT($E14,9)),1))))</f>
        <v/>
      </c>
      <c r="O14" s="35" t="str">
        <f t="shared" ref="O4:O23" ca="1" si="96">IF($B14=0,"",IF(LEN($E14)&lt;6,"",ABS(RIGHT((LEFT($E14,10)),1))))</f>
        <v/>
      </c>
      <c r="P14" s="36" t="str">
        <f t="shared" ref="P4:P23" ca="1" si="97">IF($B14=0,"",IF(LEN($E14)&lt;6,"",ABS(RIGHT((LEFT($E14,11)),1))))</f>
        <v/>
      </c>
      <c r="Q14" s="32" t="str">
        <f t="shared" ref="Q4:Q23" ca="1" si="98">IF($B14=0,"",IF(LEN($E14)&lt;6,"",ABS(RIGHT((LEFT($E14,12)),1))))</f>
        <v/>
      </c>
      <c r="R14" s="37" t="str">
        <f t="shared" ref="R4:R23" ca="1" si="99">IF($B14=0,"",IF(LEN($E14)&lt;6,LEN($E14),6))</f>
        <v/>
      </c>
      <c r="T14" s="1">
        <v>11</v>
      </c>
      <c r="U14" s="9" t="str">
        <f t="shared" ca="1" si="89"/>
        <v/>
      </c>
      <c r="V14" s="9" t="str">
        <f t="shared" ca="1" si="90"/>
        <v/>
      </c>
      <c r="W14" s="9" t="str">
        <f t="shared" ca="1" si="47"/>
        <v/>
      </c>
      <c r="X14" s="9" t="str">
        <f t="shared" ca="1" si="48"/>
        <v/>
      </c>
      <c r="Y14" s="9" t="str">
        <f t="shared" ca="1" si="49"/>
        <v/>
      </c>
      <c r="Z14" s="9" t="str">
        <f t="shared" ca="1" si="50"/>
        <v/>
      </c>
      <c r="AA14" s="9" t="str">
        <f t="shared" ca="1" si="91"/>
        <v/>
      </c>
      <c r="AB14" s="36" t="str">
        <f t="shared" ca="1" si="1"/>
        <v/>
      </c>
      <c r="AC14" s="35" t="str">
        <f t="shared" ca="1" si="2"/>
        <v/>
      </c>
      <c r="AD14" s="35" t="str">
        <f t="shared" ca="1" si="3"/>
        <v/>
      </c>
      <c r="AE14" s="35" t="str">
        <f t="shared" ca="1" si="4"/>
        <v/>
      </c>
      <c r="AF14" s="35" t="str">
        <f t="shared" ca="1" si="5"/>
        <v/>
      </c>
      <c r="AG14" s="37" t="str">
        <f t="shared" ca="1" si="6"/>
        <v/>
      </c>
      <c r="AH14" s="21" t="str">
        <f t="shared" ca="1" si="92"/>
        <v/>
      </c>
      <c r="AI14" s="22" t="str">
        <f t="shared" ca="1" si="7"/>
        <v/>
      </c>
      <c r="AJ14" s="36" t="str">
        <f t="shared" ca="1" si="52"/>
        <v/>
      </c>
      <c r="AK14" s="32" t="str">
        <f t="shared" ca="1" si="53"/>
        <v/>
      </c>
      <c r="AL14" s="35" t="str">
        <f t="shared" ca="1" si="8"/>
        <v/>
      </c>
      <c r="AM14" s="32" t="str">
        <f t="shared" ca="1" si="9"/>
        <v/>
      </c>
      <c r="AN14" s="35" t="str">
        <f t="shared" ca="1" si="10"/>
        <v/>
      </c>
      <c r="AO14" s="32" t="str">
        <f t="shared" ca="1" si="11"/>
        <v/>
      </c>
      <c r="AP14" s="32" t="str">
        <f t="shared" ca="1" si="54"/>
        <v/>
      </c>
      <c r="AQ14" s="38" t="str">
        <f ca="1">IF(B14&lt;&gt;0,((SUMPRODUCT((COUNTIF(AJ14:AO14,{1,2,3,4,5,10})=0)*{48,24,14,9,4,1})/100))+(B14*0.0000001),"")</f>
        <v/>
      </c>
      <c r="AR14" s="39" t="str">
        <f t="shared" ca="1" si="55"/>
        <v/>
      </c>
      <c r="AS14" s="36" t="str">
        <f t="shared" ca="1" si="12"/>
        <v/>
      </c>
      <c r="AT14" s="35" t="str">
        <f t="shared" ca="1" si="13"/>
        <v/>
      </c>
      <c r="AU14" s="37" t="str">
        <f t="shared" ca="1" si="14"/>
        <v/>
      </c>
      <c r="AV14" s="32" t="str">
        <f t="shared" ca="1" si="15"/>
        <v/>
      </c>
      <c r="AW14" s="35" t="str">
        <f t="shared" ca="1" si="56"/>
        <v/>
      </c>
      <c r="AX14" s="25" t="str">
        <f t="shared" ca="1" si="57"/>
        <v/>
      </c>
      <c r="AY14" s="40" t="str">
        <f t="shared" ca="1" si="58"/>
        <v/>
      </c>
      <c r="AZ14" s="36" t="str">
        <f t="shared" ca="1" si="16"/>
        <v/>
      </c>
      <c r="BA14" s="35" t="str">
        <f t="shared" ca="1" si="17"/>
        <v/>
      </c>
      <c r="BB14" s="37" t="str">
        <f t="shared" ca="1" si="18"/>
        <v/>
      </c>
      <c r="BC14" s="40" t="str">
        <f t="shared" ca="1" si="19"/>
        <v/>
      </c>
      <c r="BD14" s="40" t="str">
        <f t="shared" ca="1" si="20"/>
        <v/>
      </c>
      <c r="BE14" s="36" t="str">
        <f t="shared" ca="1" si="59"/>
        <v/>
      </c>
      <c r="BF14" s="35" t="str">
        <f t="shared" ca="1" si="21"/>
        <v/>
      </c>
      <c r="BG14" s="37" t="str">
        <f t="shared" ca="1" si="22"/>
        <v/>
      </c>
      <c r="BH14" s="32" t="str">
        <f t="shared" ca="1" si="23"/>
        <v/>
      </c>
      <c r="BI14" s="32" t="str">
        <f t="shared" ca="1" si="24"/>
        <v/>
      </c>
      <c r="BJ14" s="32" t="str">
        <f t="shared" ca="1" si="25"/>
        <v/>
      </c>
      <c r="BK14" s="32" t="str">
        <f t="shared" ca="1" si="26"/>
        <v/>
      </c>
      <c r="BL14" s="26" t="str">
        <f t="shared" ca="1" si="60"/>
        <v/>
      </c>
      <c r="BM14" s="40" t="str">
        <f t="shared" ca="1" si="27"/>
        <v/>
      </c>
      <c r="BN14" s="4"/>
      <c r="BO14" s="32" t="str">
        <f t="shared" ca="1" si="61"/>
        <v/>
      </c>
      <c r="BP14" s="32" t="str">
        <f t="shared" ca="1" si="28"/>
        <v/>
      </c>
      <c r="BQ14" s="32" t="str">
        <f t="shared" ca="1" si="62"/>
        <v/>
      </c>
      <c r="BR14" s="32" t="str">
        <f t="shared" ca="1" si="62"/>
        <v/>
      </c>
      <c r="BS14" s="32" t="str">
        <f t="shared" ca="1" si="63"/>
        <v/>
      </c>
      <c r="BT14" s="32" t="str">
        <f t="shared" ca="1" si="63"/>
        <v/>
      </c>
      <c r="BU14" s="4"/>
      <c r="BV14" s="41" t="str">
        <f t="shared" ca="1" si="64"/>
        <v/>
      </c>
      <c r="BW14" s="37" t="str">
        <f t="shared" ca="1" si="65"/>
        <v/>
      </c>
      <c r="BX14" s="42" t="str">
        <f t="shared" ca="1" si="29"/>
        <v/>
      </c>
      <c r="BY14" s="43" t="str">
        <f t="shared" ca="1" si="30"/>
        <v/>
      </c>
      <c r="BZ14" s="44" t="str">
        <f t="shared" ca="1" si="31"/>
        <v/>
      </c>
      <c r="CA14" s="43" t="str">
        <f ca="1">IF(BY14&lt;&gt;"",RANK(BY14,BY4:BY23,CA3),"")</f>
        <v/>
      </c>
      <c r="CB14" s="45" t="str">
        <f ca="1">IF(BZ14&lt;&gt;"",RANK(BZ14,BZ4:BZ23,CB3),"")</f>
        <v/>
      </c>
      <c r="CC14" s="45" t="str">
        <f t="shared" ca="1" si="66"/>
        <v/>
      </c>
      <c r="CD14" s="30" t="str">
        <f ca="1">IF(BX14&lt;&gt;"",VLOOKUP(SMALL(BV4:BV23,11),BV4:BX23,3,FALSE),"")</f>
        <v/>
      </c>
      <c r="CE14" s="4"/>
      <c r="CF14" s="41" t="str">
        <f t="shared" ca="1" si="67"/>
        <v/>
      </c>
      <c r="CG14" s="37" t="str">
        <f t="shared" ca="1" si="68"/>
        <v/>
      </c>
      <c r="CH14" s="42" t="str">
        <f t="shared" ca="1" si="32"/>
        <v/>
      </c>
      <c r="CI14" s="43" t="str">
        <f t="shared" ca="1" si="33"/>
        <v/>
      </c>
      <c r="CJ14" s="44" t="str">
        <f t="shared" ca="1" si="34"/>
        <v/>
      </c>
      <c r="CK14" s="43" t="str">
        <f ca="1">IF(CI14&lt;&gt;"",RANK(CI14,CI4:CI23,CK3),"")</f>
        <v/>
      </c>
      <c r="CL14" s="45" t="str">
        <f ca="1">IF(CJ14&lt;&gt;"",RANK(CJ14,CJ4:CJ23,CL3),"")</f>
        <v/>
      </c>
      <c r="CM14" s="45" t="str">
        <f t="shared" ca="1" si="69"/>
        <v/>
      </c>
      <c r="CN14" s="30" t="str">
        <f ca="1">IF(CH14&lt;&gt;"",VLOOKUP(SMALL(CF4:CF23,11),CF4:CH23,3,FALSE),"")</f>
        <v/>
      </c>
      <c r="CO14" s="4"/>
      <c r="CP14" s="41" t="str">
        <f t="shared" ca="1" si="70"/>
        <v/>
      </c>
      <c r="CQ14" s="37" t="str">
        <f t="shared" ca="1" si="71"/>
        <v/>
      </c>
      <c r="CR14" s="42" t="str">
        <f t="shared" ca="1" si="35"/>
        <v/>
      </c>
      <c r="CS14" s="43" t="str">
        <f t="shared" ca="1" si="36"/>
        <v/>
      </c>
      <c r="CT14" s="44" t="str">
        <f t="shared" ca="1" si="37"/>
        <v/>
      </c>
      <c r="CU14" s="43" t="str">
        <f ca="1">IF(CS14&lt;&gt;"",RANK(CS14,CS4:CS23,CU3),"")</f>
        <v/>
      </c>
      <c r="CV14" s="45" t="str">
        <f ca="1">IF(CT14&lt;&gt;"",RANK(CT14,CT4:CT23,CV3),"")</f>
        <v/>
      </c>
      <c r="CW14" s="45" t="str">
        <f t="shared" ca="1" si="72"/>
        <v/>
      </c>
      <c r="CX14" s="30" t="str">
        <f ca="1">IF(CR14&lt;&gt;"",VLOOKUP(SMALL(CP4:CP23,11),CP4:CR23,3,FALSE),"")</f>
        <v/>
      </c>
      <c r="CY14" s="4"/>
      <c r="CZ14" s="41" t="str">
        <f t="shared" ca="1" si="73"/>
        <v/>
      </c>
      <c r="DA14" s="37" t="str">
        <f t="shared" ca="1" si="74"/>
        <v/>
      </c>
      <c r="DB14" s="42" t="str">
        <f t="shared" ca="1" si="38"/>
        <v/>
      </c>
      <c r="DC14" s="43" t="str">
        <f t="shared" ca="1" si="39"/>
        <v/>
      </c>
      <c r="DD14" s="44" t="str">
        <f t="shared" ca="1" si="40"/>
        <v/>
      </c>
      <c r="DE14" s="43" t="str">
        <f ca="1">IF(DC14&lt;&gt;"",RANK(DC14,DC4:DC23,DE3),"")</f>
        <v/>
      </c>
      <c r="DF14" s="45" t="str">
        <f ca="1">IF(DD14&lt;&gt;"",RANK(DD14,DD4:DD23,DF3),"")</f>
        <v/>
      </c>
      <c r="DG14" s="45" t="str">
        <f t="shared" ca="1" si="75"/>
        <v/>
      </c>
      <c r="DH14" s="30" t="str">
        <f ca="1">IF(DB14&lt;&gt;"",VLOOKUP(SMALL(CZ4:CZ23,11),CZ4:DB23,3,FALSE),"")</f>
        <v/>
      </c>
      <c r="DI14" s="4"/>
      <c r="DJ14" s="41" t="str">
        <f t="shared" ca="1" si="76"/>
        <v/>
      </c>
      <c r="DK14" s="37" t="str">
        <f t="shared" ca="1" si="77"/>
        <v/>
      </c>
      <c r="DL14" s="42" t="str">
        <f t="shared" ca="1" si="41"/>
        <v/>
      </c>
      <c r="DM14" s="43" t="str">
        <f t="shared" ca="1" si="42"/>
        <v/>
      </c>
      <c r="DN14" s="44" t="str">
        <f t="shared" ca="1" si="43"/>
        <v/>
      </c>
      <c r="DO14" s="43" t="str">
        <f ca="1">IF(DM14&lt;&gt;"",RANK(DM14,DM4:DM23,DO3),"")</f>
        <v/>
      </c>
      <c r="DP14" s="45" t="str">
        <f ca="1">IF(DN14&lt;&gt;"",RANK(DN14,DN4:DN23,DP3),"")</f>
        <v/>
      </c>
      <c r="DQ14" s="45" t="str">
        <f t="shared" ca="1" si="78"/>
        <v/>
      </c>
      <c r="DR14" s="30" t="str">
        <f ca="1">IF(DL14&lt;&gt;"",VLOOKUP(SMALL(DJ4:DJ23,11),DJ4:DL23,3,FALSE),"")</f>
        <v/>
      </c>
      <c r="DS14" s="4"/>
      <c r="DT14" s="41" t="str">
        <f t="shared" ca="1" si="79"/>
        <v/>
      </c>
      <c r="DU14" s="37" t="str">
        <f t="shared" ca="1" si="80"/>
        <v/>
      </c>
      <c r="DV14" s="42" t="str">
        <f t="shared" ca="1" si="44"/>
        <v/>
      </c>
      <c r="DW14" s="43" t="str">
        <f t="shared" ca="1" si="81"/>
        <v/>
      </c>
      <c r="DX14" s="44" t="str">
        <f t="shared" ca="1" si="45"/>
        <v/>
      </c>
      <c r="DY14" s="43" t="str">
        <f ca="1">IF(DW14&lt;&gt;"",RANK(DW14,DW4:DW23,DY3),"")</f>
        <v/>
      </c>
      <c r="DZ14" s="45" t="str">
        <f ca="1">IF(DX14&lt;&gt;"",RANK(DX14,DX4:DX23,DZ3),"")</f>
        <v/>
      </c>
      <c r="EA14" s="45" t="str">
        <f t="shared" ca="1" si="82"/>
        <v/>
      </c>
      <c r="EB14" s="30" t="str">
        <f ca="1">IF(DV14&lt;&gt;"",VLOOKUP(SMALL(DT4:DT23,11),DT4:DV23,3,FALSE),"")</f>
        <v/>
      </c>
    </row>
    <row r="15" spans="1:153" x14ac:dyDescent="0.3">
      <c r="A15" s="15"/>
      <c r="B15" s="32">
        <f ca="1">IF(A15=1,0,[1]Partants!A13)</f>
        <v>0</v>
      </c>
      <c r="C15" s="33">
        <f ca="1">[1]Partants!B13</f>
        <v>0</v>
      </c>
      <c r="D15" s="34">
        <f ca="1">[1]Partants!E13</f>
        <v>0</v>
      </c>
      <c r="E15" s="18" t="e">
        <f t="shared" ca="1" si="46"/>
        <v>#NAME?</v>
      </c>
      <c r="F15" s="32" t="str">
        <f t="shared" ca="1" si="83"/>
        <v/>
      </c>
      <c r="G15" s="35" t="str">
        <f t="shared" ca="1" si="84"/>
        <v/>
      </c>
      <c r="H15" s="32" t="str">
        <f ca="1">IFERROR(IF($B15=0,"",IF(LEN($E15)&lt;3,"",ABS(RIGHT((LEFT($E15,3)),1)))),0)</f>
        <v/>
      </c>
      <c r="I15" s="35" t="str">
        <f t="shared" ca="1" si="86"/>
        <v/>
      </c>
      <c r="J15" s="32" t="str">
        <f t="shared" ca="1" si="87"/>
        <v/>
      </c>
      <c r="K15" s="35" t="str">
        <f t="shared" ca="1" si="88"/>
        <v/>
      </c>
      <c r="L15" s="32" t="str">
        <f t="shared" ca="1" si="93"/>
        <v/>
      </c>
      <c r="M15" s="35" t="str">
        <f t="shared" ca="1" si="94"/>
        <v/>
      </c>
      <c r="N15" s="32" t="str">
        <f t="shared" ca="1" si="95"/>
        <v/>
      </c>
      <c r="O15" s="35" t="str">
        <f t="shared" ca="1" si="96"/>
        <v/>
      </c>
      <c r="P15" s="36" t="str">
        <f t="shared" ca="1" si="97"/>
        <v/>
      </c>
      <c r="Q15" s="32" t="str">
        <f t="shared" ca="1" si="98"/>
        <v/>
      </c>
      <c r="R15" s="37" t="str">
        <f t="shared" ca="1" si="99"/>
        <v/>
      </c>
      <c r="T15" s="1">
        <v>12</v>
      </c>
      <c r="U15" s="9" t="str">
        <f ca="1">IF(B15&lt;&gt;0,IF(F15="","",IF(F15=0,11,F15)),"")</f>
        <v/>
      </c>
      <c r="V15" s="9" t="str">
        <f t="shared" ca="1" si="90"/>
        <v/>
      </c>
      <c r="W15" s="9" t="str">
        <f t="shared" ca="1" si="47"/>
        <v/>
      </c>
      <c r="X15" s="9" t="str">
        <f t="shared" ca="1" si="48"/>
        <v/>
      </c>
      <c r="Y15" s="9" t="str">
        <f t="shared" ca="1" si="49"/>
        <v/>
      </c>
      <c r="Z15" s="9" t="str">
        <f t="shared" ca="1" si="50"/>
        <v/>
      </c>
      <c r="AA15" s="9" t="str">
        <f t="shared" ca="1" si="91"/>
        <v/>
      </c>
      <c r="AB15" s="36" t="str">
        <f t="shared" ca="1" si="1"/>
        <v/>
      </c>
      <c r="AC15" s="35" t="str">
        <f t="shared" ca="1" si="2"/>
        <v/>
      </c>
      <c r="AD15" s="35" t="str">
        <f t="shared" ca="1" si="3"/>
        <v/>
      </c>
      <c r="AE15" s="35" t="str">
        <f t="shared" ca="1" si="4"/>
        <v/>
      </c>
      <c r="AF15" s="35" t="str">
        <f t="shared" ca="1" si="5"/>
        <v/>
      </c>
      <c r="AG15" s="37" t="str">
        <f t="shared" ca="1" si="6"/>
        <v/>
      </c>
      <c r="AH15" s="21" t="str">
        <f t="shared" ca="1" si="92"/>
        <v/>
      </c>
      <c r="AI15" s="22" t="str">
        <f t="shared" ca="1" si="7"/>
        <v/>
      </c>
      <c r="AJ15" s="36" t="str">
        <f t="shared" ca="1" si="52"/>
        <v/>
      </c>
      <c r="AK15" s="32" t="str">
        <f t="shared" ca="1" si="53"/>
        <v/>
      </c>
      <c r="AL15" s="35" t="str">
        <f t="shared" ca="1" si="8"/>
        <v/>
      </c>
      <c r="AM15" s="32" t="str">
        <f t="shared" ca="1" si="9"/>
        <v/>
      </c>
      <c r="AN15" s="35" t="str">
        <f t="shared" ca="1" si="10"/>
        <v/>
      </c>
      <c r="AO15" s="32" t="str">
        <f t="shared" ca="1" si="11"/>
        <v/>
      </c>
      <c r="AP15" s="32" t="str">
        <f t="shared" ca="1" si="54"/>
        <v/>
      </c>
      <c r="AQ15" s="38" t="str">
        <f ca="1">IF(B15&lt;&gt;0,((SUMPRODUCT((COUNTIF(AJ15:AO15,{1,2,3,4,5,10})=0)*{48,24,14,9,4,1})/100))+(B15*0.0000001),"")</f>
        <v/>
      </c>
      <c r="AR15" s="39" t="str">
        <f t="shared" ca="1" si="55"/>
        <v/>
      </c>
      <c r="AS15" s="36" t="str">
        <f t="shared" ca="1" si="12"/>
        <v/>
      </c>
      <c r="AT15" s="35" t="str">
        <f t="shared" ca="1" si="13"/>
        <v/>
      </c>
      <c r="AU15" s="37" t="str">
        <f t="shared" ca="1" si="14"/>
        <v/>
      </c>
      <c r="AV15" s="32" t="str">
        <f t="shared" ca="1" si="15"/>
        <v/>
      </c>
      <c r="AW15" s="35" t="str">
        <f t="shared" ca="1" si="56"/>
        <v/>
      </c>
      <c r="AX15" s="25" t="str">
        <f t="shared" ca="1" si="57"/>
        <v/>
      </c>
      <c r="AY15" s="40" t="str">
        <f t="shared" ca="1" si="58"/>
        <v/>
      </c>
      <c r="AZ15" s="36" t="str">
        <f t="shared" ca="1" si="16"/>
        <v/>
      </c>
      <c r="BA15" s="35" t="str">
        <f t="shared" ca="1" si="17"/>
        <v/>
      </c>
      <c r="BB15" s="37" t="str">
        <f t="shared" ca="1" si="18"/>
        <v/>
      </c>
      <c r="BC15" s="40" t="str">
        <f t="shared" ca="1" si="19"/>
        <v/>
      </c>
      <c r="BD15" s="40" t="str">
        <f t="shared" ca="1" si="20"/>
        <v/>
      </c>
      <c r="BE15" s="36" t="str">
        <f t="shared" ca="1" si="59"/>
        <v/>
      </c>
      <c r="BF15" s="35" t="str">
        <f t="shared" ca="1" si="21"/>
        <v/>
      </c>
      <c r="BG15" s="37" t="str">
        <f t="shared" ca="1" si="22"/>
        <v/>
      </c>
      <c r="BH15" s="32" t="str">
        <f t="shared" ca="1" si="23"/>
        <v/>
      </c>
      <c r="BI15" s="32" t="str">
        <f t="shared" ca="1" si="24"/>
        <v/>
      </c>
      <c r="BJ15" s="32" t="str">
        <f t="shared" ca="1" si="25"/>
        <v/>
      </c>
      <c r="BK15" s="32" t="str">
        <f t="shared" ca="1" si="26"/>
        <v/>
      </c>
      <c r="BL15" s="26" t="str">
        <f t="shared" ca="1" si="60"/>
        <v/>
      </c>
      <c r="BM15" s="40" t="str">
        <f t="shared" ca="1" si="27"/>
        <v/>
      </c>
      <c r="BN15" s="4"/>
      <c r="BO15" s="32" t="str">
        <f t="shared" ca="1" si="61"/>
        <v/>
      </c>
      <c r="BP15" s="32" t="str">
        <f t="shared" ca="1" si="28"/>
        <v/>
      </c>
      <c r="BQ15" s="32" t="str">
        <f t="shared" ca="1" si="62"/>
        <v/>
      </c>
      <c r="BR15" s="32" t="str">
        <f t="shared" ca="1" si="62"/>
        <v/>
      </c>
      <c r="BS15" s="32" t="str">
        <f t="shared" ca="1" si="63"/>
        <v/>
      </c>
      <c r="BT15" s="32" t="str">
        <f t="shared" ca="1" si="63"/>
        <v/>
      </c>
      <c r="BU15" s="4"/>
      <c r="BV15" s="41" t="str">
        <f t="shared" ca="1" si="64"/>
        <v/>
      </c>
      <c r="BW15" s="37" t="str">
        <f t="shared" ca="1" si="65"/>
        <v/>
      </c>
      <c r="BX15" s="42" t="str">
        <f t="shared" ca="1" si="29"/>
        <v/>
      </c>
      <c r="BY15" s="43" t="str">
        <f t="shared" ca="1" si="30"/>
        <v/>
      </c>
      <c r="BZ15" s="44" t="str">
        <f t="shared" ca="1" si="31"/>
        <v/>
      </c>
      <c r="CA15" s="43" t="str">
        <f ca="1">IF(BY15&lt;&gt;"",RANK(BY15,BY4:BY23,CA3),"")</f>
        <v/>
      </c>
      <c r="CB15" s="45" t="str">
        <f ca="1">IF(BZ15&lt;&gt;"",RANK(BZ15,BZ4:BZ23,CB3),"")</f>
        <v/>
      </c>
      <c r="CC15" s="45" t="str">
        <f t="shared" ca="1" si="66"/>
        <v/>
      </c>
      <c r="CD15" s="30" t="str">
        <f ca="1">IF(BX15&lt;&gt;"",VLOOKUP(SMALL(BV4:BV23,12),BV4:BX23,3,FALSE),"")</f>
        <v/>
      </c>
      <c r="CE15" s="4"/>
      <c r="CF15" s="41" t="str">
        <f t="shared" ca="1" si="67"/>
        <v/>
      </c>
      <c r="CG15" s="37" t="str">
        <f t="shared" ca="1" si="68"/>
        <v/>
      </c>
      <c r="CH15" s="42" t="str">
        <f t="shared" ca="1" si="32"/>
        <v/>
      </c>
      <c r="CI15" s="43" t="str">
        <f t="shared" ca="1" si="33"/>
        <v/>
      </c>
      <c r="CJ15" s="44" t="str">
        <f t="shared" ca="1" si="34"/>
        <v/>
      </c>
      <c r="CK15" s="43" t="str">
        <f ca="1">IF(CI15&lt;&gt;"",RANK(CI15,CI4:CI23,CK3),"")</f>
        <v/>
      </c>
      <c r="CL15" s="45" t="str">
        <f ca="1">IF(CJ15&lt;&gt;"",RANK(CJ15,CJ4:CJ23,CL3),"")</f>
        <v/>
      </c>
      <c r="CM15" s="45" t="str">
        <f t="shared" ca="1" si="69"/>
        <v/>
      </c>
      <c r="CN15" s="30" t="str">
        <f ca="1">IF(CH15&lt;&gt;"",VLOOKUP(SMALL(CF4:CF23,12),CF4:CH23,3,FALSE),"")</f>
        <v/>
      </c>
      <c r="CO15" s="4"/>
      <c r="CP15" s="41" t="str">
        <f t="shared" ca="1" si="70"/>
        <v/>
      </c>
      <c r="CQ15" s="37" t="str">
        <f t="shared" ca="1" si="71"/>
        <v/>
      </c>
      <c r="CR15" s="42" t="str">
        <f t="shared" ca="1" si="35"/>
        <v/>
      </c>
      <c r="CS15" s="43" t="str">
        <f t="shared" ca="1" si="36"/>
        <v/>
      </c>
      <c r="CT15" s="44" t="str">
        <f t="shared" ca="1" si="37"/>
        <v/>
      </c>
      <c r="CU15" s="43" t="str">
        <f ca="1">IF(CS15&lt;&gt;"",RANK(CS15,CS4:CS23,CU3),"")</f>
        <v/>
      </c>
      <c r="CV15" s="45" t="str">
        <f ca="1">IF(CT15&lt;&gt;"",RANK(CT15,CT4:CT23,CV3),"")</f>
        <v/>
      </c>
      <c r="CW15" s="45" t="str">
        <f t="shared" ca="1" si="72"/>
        <v/>
      </c>
      <c r="CX15" s="30" t="str">
        <f ca="1">IF(CR15&lt;&gt;"",VLOOKUP(SMALL(CP4:CP23,12),CP4:CR23,3,FALSE),"")</f>
        <v/>
      </c>
      <c r="CY15" s="4"/>
      <c r="CZ15" s="41" t="str">
        <f t="shared" ca="1" si="73"/>
        <v/>
      </c>
      <c r="DA15" s="37" t="str">
        <f t="shared" ca="1" si="74"/>
        <v/>
      </c>
      <c r="DB15" s="42" t="str">
        <f t="shared" ca="1" si="38"/>
        <v/>
      </c>
      <c r="DC15" s="43" t="str">
        <f t="shared" ca="1" si="39"/>
        <v/>
      </c>
      <c r="DD15" s="44" t="str">
        <f t="shared" ca="1" si="40"/>
        <v/>
      </c>
      <c r="DE15" s="43" t="str">
        <f ca="1">IF(DC15&lt;&gt;"",RANK(DC15,DC4:DC23,DE3),"")</f>
        <v/>
      </c>
      <c r="DF15" s="45" t="str">
        <f ca="1">IF(DD15&lt;&gt;"",RANK(DD15,DD4:DD23,DF3),"")</f>
        <v/>
      </c>
      <c r="DG15" s="45" t="str">
        <f t="shared" ca="1" si="75"/>
        <v/>
      </c>
      <c r="DH15" s="30" t="str">
        <f ca="1">IF(DB15&lt;&gt;"",VLOOKUP(SMALL(CZ4:CZ23,12),CZ4:DB23,3,FALSE),"")</f>
        <v/>
      </c>
      <c r="DI15" s="4"/>
      <c r="DJ15" s="41" t="str">
        <f t="shared" ca="1" si="76"/>
        <v/>
      </c>
      <c r="DK15" s="37" t="str">
        <f t="shared" ca="1" si="77"/>
        <v/>
      </c>
      <c r="DL15" s="42" t="str">
        <f t="shared" ca="1" si="41"/>
        <v/>
      </c>
      <c r="DM15" s="43" t="str">
        <f t="shared" ca="1" si="42"/>
        <v/>
      </c>
      <c r="DN15" s="44" t="str">
        <f t="shared" ca="1" si="43"/>
        <v/>
      </c>
      <c r="DO15" s="43" t="str">
        <f ca="1">IF(DM15&lt;&gt;"",RANK(DM15,DM4:DM23,DO3),"")</f>
        <v/>
      </c>
      <c r="DP15" s="45" t="str">
        <f ca="1">IF(DN15&lt;&gt;"",RANK(DN15,DN4:DN23,DP3),"")</f>
        <v/>
      </c>
      <c r="DQ15" s="45" t="str">
        <f t="shared" ca="1" si="78"/>
        <v/>
      </c>
      <c r="DR15" s="30" t="str">
        <f ca="1">IF(DL15&lt;&gt;"",VLOOKUP(SMALL(DJ4:DJ23,12),DJ4:DL23,3,FALSE),"")</f>
        <v/>
      </c>
      <c r="DS15" s="4"/>
      <c r="DT15" s="41" t="str">
        <f t="shared" ca="1" si="79"/>
        <v/>
      </c>
      <c r="DU15" s="37" t="str">
        <f t="shared" ca="1" si="80"/>
        <v/>
      </c>
      <c r="DV15" s="42" t="str">
        <f t="shared" ca="1" si="44"/>
        <v/>
      </c>
      <c r="DW15" s="43" t="str">
        <f t="shared" ca="1" si="81"/>
        <v/>
      </c>
      <c r="DX15" s="44" t="str">
        <f t="shared" ca="1" si="45"/>
        <v/>
      </c>
      <c r="DY15" s="43" t="str">
        <f ca="1">IF(DW15&lt;&gt;"",RANK(DW15,DW4:DW23,DY3),"")</f>
        <v/>
      </c>
      <c r="DZ15" s="45" t="str">
        <f ca="1">IF(DX15&lt;&gt;"",RANK(DX15,DX4:DX23,DZ3),"")</f>
        <v/>
      </c>
      <c r="EA15" s="45" t="str">
        <f t="shared" ca="1" si="82"/>
        <v/>
      </c>
      <c r="EB15" s="30" t="str">
        <f ca="1">IF(DV15&lt;&gt;"",VLOOKUP(SMALL(DT4:DT23,12),DT4:DV23,3,FALSE),"")</f>
        <v/>
      </c>
    </row>
    <row r="16" spans="1:153" x14ac:dyDescent="0.3">
      <c r="A16" s="15"/>
      <c r="B16" s="32">
        <f ca="1">IF(A16=1,0,[1]Partants!A14)</f>
        <v>0</v>
      </c>
      <c r="C16" s="33">
        <f ca="1">[1]Partants!B14</f>
        <v>0</v>
      </c>
      <c r="D16" s="34">
        <f ca="1">[1]Partants!E14</f>
        <v>0</v>
      </c>
      <c r="E16" s="18" t="e">
        <f t="shared" ca="1" si="46"/>
        <v>#NAME?</v>
      </c>
      <c r="F16" s="32" t="str">
        <f t="shared" ca="1" si="83"/>
        <v/>
      </c>
      <c r="G16" s="35" t="str">
        <f t="shared" ca="1" si="84"/>
        <v/>
      </c>
      <c r="H16" s="32" t="str">
        <f t="shared" ca="1" si="85"/>
        <v/>
      </c>
      <c r="I16" s="35" t="str">
        <f t="shared" ca="1" si="86"/>
        <v/>
      </c>
      <c r="J16" s="32" t="str">
        <f t="shared" ca="1" si="87"/>
        <v/>
      </c>
      <c r="K16" s="35" t="str">
        <f t="shared" ca="1" si="88"/>
        <v/>
      </c>
      <c r="L16" s="32" t="str">
        <f t="shared" ca="1" si="93"/>
        <v/>
      </c>
      <c r="M16" s="35" t="str">
        <f t="shared" ca="1" si="94"/>
        <v/>
      </c>
      <c r="N16" s="32" t="str">
        <f t="shared" ca="1" si="95"/>
        <v/>
      </c>
      <c r="O16" s="35" t="str">
        <f t="shared" ca="1" si="96"/>
        <v/>
      </c>
      <c r="P16" s="36" t="str">
        <f t="shared" ca="1" si="97"/>
        <v/>
      </c>
      <c r="Q16" s="32" t="str">
        <f t="shared" ca="1" si="98"/>
        <v/>
      </c>
      <c r="R16" s="37" t="str">
        <f t="shared" ca="1" si="99"/>
        <v/>
      </c>
      <c r="T16" s="1">
        <v>13</v>
      </c>
      <c r="U16" s="9" t="str">
        <f t="shared" ca="1" si="89"/>
        <v/>
      </c>
      <c r="V16" s="9" t="str">
        <f t="shared" ca="1" si="90"/>
        <v/>
      </c>
      <c r="W16" s="9" t="str">
        <f t="shared" ca="1" si="47"/>
        <v/>
      </c>
      <c r="X16" s="9" t="str">
        <f t="shared" ca="1" si="48"/>
        <v/>
      </c>
      <c r="Y16" s="9" t="str">
        <f t="shared" ca="1" si="49"/>
        <v/>
      </c>
      <c r="Z16" s="9" t="str">
        <f t="shared" ca="1" si="50"/>
        <v/>
      </c>
      <c r="AA16" s="9" t="str">
        <f t="shared" ca="1" si="91"/>
        <v/>
      </c>
      <c r="AB16" s="36" t="str">
        <f t="shared" ca="1" si="1"/>
        <v/>
      </c>
      <c r="AC16" s="35" t="str">
        <f t="shared" ca="1" si="2"/>
        <v/>
      </c>
      <c r="AD16" s="35" t="str">
        <f t="shared" ca="1" si="3"/>
        <v/>
      </c>
      <c r="AE16" s="35" t="str">
        <f t="shared" ca="1" si="4"/>
        <v/>
      </c>
      <c r="AF16" s="35" t="str">
        <f t="shared" ca="1" si="5"/>
        <v/>
      </c>
      <c r="AG16" s="37" t="str">
        <f t="shared" ca="1" si="6"/>
        <v/>
      </c>
      <c r="AH16" s="21" t="str">
        <f t="shared" ca="1" si="92"/>
        <v/>
      </c>
      <c r="AI16" s="22" t="str">
        <f t="shared" ca="1" si="7"/>
        <v/>
      </c>
      <c r="AJ16" s="36" t="str">
        <f t="shared" ca="1" si="52"/>
        <v/>
      </c>
      <c r="AK16" s="32" t="str">
        <f t="shared" ca="1" si="53"/>
        <v/>
      </c>
      <c r="AL16" s="35" t="str">
        <f t="shared" ca="1" si="8"/>
        <v/>
      </c>
      <c r="AM16" s="32" t="str">
        <f t="shared" ca="1" si="9"/>
        <v/>
      </c>
      <c r="AN16" s="35" t="str">
        <f t="shared" ca="1" si="10"/>
        <v/>
      </c>
      <c r="AO16" s="32" t="str">
        <f t="shared" ca="1" si="11"/>
        <v/>
      </c>
      <c r="AP16" s="32" t="str">
        <f t="shared" ca="1" si="54"/>
        <v/>
      </c>
      <c r="AQ16" s="38" t="str">
        <f ca="1">IF(B16&lt;&gt;0,((SUMPRODUCT((COUNTIF(AJ16:AO16,{1,2,3,4,5,10})=0)*{48,24,14,9,4,1})/100))+(B16*0.0000001),"")</f>
        <v/>
      </c>
      <c r="AR16" s="39" t="str">
        <f t="shared" ca="1" si="55"/>
        <v/>
      </c>
      <c r="AS16" s="36" t="str">
        <f t="shared" ca="1" si="12"/>
        <v/>
      </c>
      <c r="AT16" s="35" t="str">
        <f t="shared" ca="1" si="13"/>
        <v/>
      </c>
      <c r="AU16" s="37" t="str">
        <f t="shared" ca="1" si="14"/>
        <v/>
      </c>
      <c r="AV16" s="32" t="str">
        <f t="shared" ca="1" si="15"/>
        <v/>
      </c>
      <c r="AW16" s="35" t="str">
        <f t="shared" ca="1" si="56"/>
        <v/>
      </c>
      <c r="AX16" s="25" t="str">
        <f t="shared" ca="1" si="57"/>
        <v/>
      </c>
      <c r="AY16" s="40" t="str">
        <f t="shared" ca="1" si="58"/>
        <v/>
      </c>
      <c r="AZ16" s="36" t="str">
        <f t="shared" ca="1" si="16"/>
        <v/>
      </c>
      <c r="BA16" s="35" t="str">
        <f t="shared" ca="1" si="17"/>
        <v/>
      </c>
      <c r="BB16" s="37" t="str">
        <f t="shared" ca="1" si="18"/>
        <v/>
      </c>
      <c r="BC16" s="40" t="str">
        <f t="shared" ca="1" si="19"/>
        <v/>
      </c>
      <c r="BD16" s="40" t="str">
        <f t="shared" ca="1" si="20"/>
        <v/>
      </c>
      <c r="BE16" s="36" t="str">
        <f t="shared" ca="1" si="59"/>
        <v/>
      </c>
      <c r="BF16" s="35" t="str">
        <f t="shared" ca="1" si="21"/>
        <v/>
      </c>
      <c r="BG16" s="37" t="str">
        <f t="shared" ca="1" si="22"/>
        <v/>
      </c>
      <c r="BH16" s="32" t="str">
        <f t="shared" ca="1" si="23"/>
        <v/>
      </c>
      <c r="BI16" s="32" t="str">
        <f t="shared" ca="1" si="24"/>
        <v/>
      </c>
      <c r="BJ16" s="32" t="str">
        <f t="shared" ca="1" si="25"/>
        <v/>
      </c>
      <c r="BK16" s="32" t="str">
        <f t="shared" ca="1" si="26"/>
        <v/>
      </c>
      <c r="BL16" s="26" t="str">
        <f t="shared" ca="1" si="60"/>
        <v/>
      </c>
      <c r="BM16" s="40" t="str">
        <f t="shared" ca="1" si="27"/>
        <v/>
      </c>
      <c r="BN16" s="4"/>
      <c r="BO16" s="32" t="str">
        <f t="shared" ca="1" si="61"/>
        <v/>
      </c>
      <c r="BP16" s="32" t="str">
        <f t="shared" ca="1" si="28"/>
        <v/>
      </c>
      <c r="BQ16" s="32" t="str">
        <f t="shared" ca="1" si="62"/>
        <v/>
      </c>
      <c r="BR16" s="32" t="str">
        <f t="shared" ca="1" si="62"/>
        <v/>
      </c>
      <c r="BS16" s="32" t="str">
        <f t="shared" ca="1" si="63"/>
        <v/>
      </c>
      <c r="BT16" s="32" t="str">
        <f t="shared" ca="1" si="63"/>
        <v/>
      </c>
      <c r="BU16" s="4"/>
      <c r="BV16" s="41" t="str">
        <f t="shared" ca="1" si="64"/>
        <v/>
      </c>
      <c r="BW16" s="37" t="str">
        <f t="shared" ca="1" si="65"/>
        <v/>
      </c>
      <c r="BX16" s="42" t="str">
        <f t="shared" ca="1" si="29"/>
        <v/>
      </c>
      <c r="BY16" s="43" t="str">
        <f t="shared" ca="1" si="30"/>
        <v/>
      </c>
      <c r="BZ16" s="44" t="str">
        <f t="shared" ca="1" si="31"/>
        <v/>
      </c>
      <c r="CA16" s="43" t="str">
        <f ca="1">IF(BY16&lt;&gt;"",RANK(BY16,BY4:BY23,CA3),"")</f>
        <v/>
      </c>
      <c r="CB16" s="45" t="str">
        <f ca="1">IF(BZ16&lt;&gt;"",RANK(BZ16,BZ4:BZ23,CB3),"")</f>
        <v/>
      </c>
      <c r="CC16" s="45" t="str">
        <f t="shared" ca="1" si="66"/>
        <v/>
      </c>
      <c r="CD16" s="30" t="str">
        <f ca="1">IF(BX16&lt;&gt;"",VLOOKUP(SMALL(BV4:BV23,13),BV4:BX23,3,FALSE),"")</f>
        <v/>
      </c>
      <c r="CE16" s="4"/>
      <c r="CF16" s="41" t="str">
        <f t="shared" ca="1" si="67"/>
        <v/>
      </c>
      <c r="CG16" s="37" t="str">
        <f t="shared" ca="1" si="68"/>
        <v/>
      </c>
      <c r="CH16" s="42" t="str">
        <f t="shared" ca="1" si="32"/>
        <v/>
      </c>
      <c r="CI16" s="43" t="str">
        <f t="shared" ca="1" si="33"/>
        <v/>
      </c>
      <c r="CJ16" s="44" t="str">
        <f t="shared" ca="1" si="34"/>
        <v/>
      </c>
      <c r="CK16" s="43" t="str">
        <f ca="1">IF(CI16&lt;&gt;"",RANK(CI16,CI4:CI23,CK3),"")</f>
        <v/>
      </c>
      <c r="CL16" s="45" t="str">
        <f ca="1">IF(CJ16&lt;&gt;"",RANK(CJ16,CJ4:CJ23,CL3),"")</f>
        <v/>
      </c>
      <c r="CM16" s="45" t="str">
        <f t="shared" ca="1" si="69"/>
        <v/>
      </c>
      <c r="CN16" s="30" t="str">
        <f ca="1">IF(CH16&lt;&gt;"",VLOOKUP(SMALL(CF4:CF23,13),CF4:CH23,3,FALSE),"")</f>
        <v/>
      </c>
      <c r="CO16" s="4"/>
      <c r="CP16" s="41" t="str">
        <f t="shared" ca="1" si="70"/>
        <v/>
      </c>
      <c r="CQ16" s="37" t="str">
        <f t="shared" ca="1" si="71"/>
        <v/>
      </c>
      <c r="CR16" s="42" t="str">
        <f t="shared" ca="1" si="35"/>
        <v/>
      </c>
      <c r="CS16" s="43" t="str">
        <f t="shared" ca="1" si="36"/>
        <v/>
      </c>
      <c r="CT16" s="44" t="str">
        <f t="shared" ca="1" si="37"/>
        <v/>
      </c>
      <c r="CU16" s="43" t="str">
        <f ca="1">IF(CS16&lt;&gt;"",RANK(CS16,CS4:CS23,CU3),"")</f>
        <v/>
      </c>
      <c r="CV16" s="45" t="str">
        <f ca="1">IF(CT16&lt;&gt;"",RANK(CT16,CT4:CT23,CV3),"")</f>
        <v/>
      </c>
      <c r="CW16" s="45" t="str">
        <f t="shared" ca="1" si="72"/>
        <v/>
      </c>
      <c r="CX16" s="30" t="str">
        <f ca="1">IF(CR16&lt;&gt;"",VLOOKUP(SMALL(CP4:CP23,13),CP4:CR23,3,FALSE),"")</f>
        <v/>
      </c>
      <c r="CY16" s="4"/>
      <c r="CZ16" s="41" t="str">
        <f t="shared" ca="1" si="73"/>
        <v/>
      </c>
      <c r="DA16" s="37" t="str">
        <f t="shared" ca="1" si="74"/>
        <v/>
      </c>
      <c r="DB16" s="42" t="str">
        <f t="shared" ca="1" si="38"/>
        <v/>
      </c>
      <c r="DC16" s="43" t="str">
        <f t="shared" ca="1" si="39"/>
        <v/>
      </c>
      <c r="DD16" s="44" t="str">
        <f t="shared" ca="1" si="40"/>
        <v/>
      </c>
      <c r="DE16" s="43" t="str">
        <f ca="1">IF(DC16&lt;&gt;"",RANK(DC16,DC4:DC23,DE3),"")</f>
        <v/>
      </c>
      <c r="DF16" s="45" t="str">
        <f ca="1">IF(DD16&lt;&gt;"",RANK(DD16,DD4:DD23,DF3),"")</f>
        <v/>
      </c>
      <c r="DG16" s="45" t="str">
        <f t="shared" ca="1" si="75"/>
        <v/>
      </c>
      <c r="DH16" s="30" t="str">
        <f ca="1">IF(DB16&lt;&gt;"",VLOOKUP(SMALL(CZ4:CZ23,13),CZ4:DB23,3,FALSE),"")</f>
        <v/>
      </c>
      <c r="DI16" s="4"/>
      <c r="DJ16" s="41" t="str">
        <f t="shared" ca="1" si="76"/>
        <v/>
      </c>
      <c r="DK16" s="37" t="str">
        <f t="shared" ca="1" si="77"/>
        <v/>
      </c>
      <c r="DL16" s="42" t="str">
        <f t="shared" ca="1" si="41"/>
        <v/>
      </c>
      <c r="DM16" s="43" t="str">
        <f t="shared" ca="1" si="42"/>
        <v/>
      </c>
      <c r="DN16" s="44" t="str">
        <f t="shared" ca="1" si="43"/>
        <v/>
      </c>
      <c r="DO16" s="43" t="str">
        <f ca="1">IF(DM16&lt;&gt;"",RANK(DM16,DM4:DM23,DO3),"")</f>
        <v/>
      </c>
      <c r="DP16" s="45" t="str">
        <f ca="1">IF(DN16&lt;&gt;"",RANK(DN16,DN4:DN23,DP3),"")</f>
        <v/>
      </c>
      <c r="DQ16" s="45" t="str">
        <f t="shared" ca="1" si="78"/>
        <v/>
      </c>
      <c r="DR16" s="30" t="str">
        <f ca="1">IF(DL16&lt;&gt;"",VLOOKUP(SMALL(DJ4:DJ23,13),DJ4:DL23,3,FALSE),"")</f>
        <v/>
      </c>
      <c r="DS16" s="4"/>
      <c r="DT16" s="41" t="str">
        <f t="shared" ca="1" si="79"/>
        <v/>
      </c>
      <c r="DU16" s="37" t="str">
        <f t="shared" ca="1" si="80"/>
        <v/>
      </c>
      <c r="DV16" s="42" t="str">
        <f t="shared" ca="1" si="44"/>
        <v/>
      </c>
      <c r="DW16" s="43" t="str">
        <f t="shared" ca="1" si="81"/>
        <v/>
      </c>
      <c r="DX16" s="44" t="str">
        <f t="shared" ca="1" si="45"/>
        <v/>
      </c>
      <c r="DY16" s="43" t="str">
        <f ca="1">IF(DW16&lt;&gt;"",RANK(DW16,DW4:DW23,DY3),"")</f>
        <v/>
      </c>
      <c r="DZ16" s="45" t="str">
        <f ca="1">IF(DX16&lt;&gt;"",RANK(DX16,DX4:DX23,DZ3),"")</f>
        <v/>
      </c>
      <c r="EA16" s="45" t="str">
        <f t="shared" ca="1" si="82"/>
        <v/>
      </c>
      <c r="EB16" s="30" t="str">
        <f ca="1">IF(DV16&lt;&gt;"",VLOOKUP(SMALL(DT4:DT23,13),DT4:DV23,3,FALSE),"")</f>
        <v/>
      </c>
    </row>
    <row r="17" spans="1:132" x14ac:dyDescent="0.3">
      <c r="A17" s="15"/>
      <c r="B17" s="32">
        <f ca="1">IF(A17=1,0,[1]Partants!A15)</f>
        <v>0</v>
      </c>
      <c r="C17" s="33">
        <f ca="1">[1]Partants!B15</f>
        <v>0</v>
      </c>
      <c r="D17" s="34">
        <f ca="1">[1]Partants!E15</f>
        <v>0</v>
      </c>
      <c r="E17" s="18" t="e">
        <f t="shared" ca="1" si="46"/>
        <v>#NAME?</v>
      </c>
      <c r="F17" s="32" t="str">
        <f t="shared" ca="1" si="83"/>
        <v/>
      </c>
      <c r="G17" s="35" t="str">
        <f t="shared" ca="1" si="84"/>
        <v/>
      </c>
      <c r="H17" s="32" t="str">
        <f t="shared" ca="1" si="85"/>
        <v/>
      </c>
      <c r="I17" s="35" t="str">
        <f t="shared" ca="1" si="86"/>
        <v/>
      </c>
      <c r="J17" s="32" t="str">
        <f t="shared" ca="1" si="87"/>
        <v/>
      </c>
      <c r="K17" s="35" t="str">
        <f t="shared" ca="1" si="88"/>
        <v/>
      </c>
      <c r="L17" s="32" t="str">
        <f t="shared" ca="1" si="93"/>
        <v/>
      </c>
      <c r="M17" s="35" t="str">
        <f t="shared" ca="1" si="94"/>
        <v/>
      </c>
      <c r="N17" s="32" t="str">
        <f t="shared" ca="1" si="95"/>
        <v/>
      </c>
      <c r="O17" s="35" t="str">
        <f t="shared" ca="1" si="96"/>
        <v/>
      </c>
      <c r="P17" s="36" t="str">
        <f t="shared" ca="1" si="97"/>
        <v/>
      </c>
      <c r="Q17" s="32" t="str">
        <f t="shared" ca="1" si="98"/>
        <v/>
      </c>
      <c r="R17" s="37" t="str">
        <f t="shared" ca="1" si="99"/>
        <v/>
      </c>
      <c r="T17" s="1">
        <v>14</v>
      </c>
      <c r="U17" s="9" t="str">
        <f t="shared" ca="1" si="89"/>
        <v/>
      </c>
      <c r="V17" s="9" t="str">
        <f t="shared" ca="1" si="90"/>
        <v/>
      </c>
      <c r="W17" s="9" t="str">
        <f t="shared" ca="1" si="47"/>
        <v/>
      </c>
      <c r="X17" s="9" t="str">
        <f t="shared" ca="1" si="48"/>
        <v/>
      </c>
      <c r="Y17" s="9" t="str">
        <f t="shared" ca="1" si="49"/>
        <v/>
      </c>
      <c r="Z17" s="9" t="str">
        <f t="shared" ca="1" si="50"/>
        <v/>
      </c>
      <c r="AA17" s="9" t="str">
        <f t="shared" ca="1" si="91"/>
        <v/>
      </c>
      <c r="AB17" s="36" t="str">
        <f t="shared" ca="1" si="1"/>
        <v/>
      </c>
      <c r="AC17" s="35" t="str">
        <f t="shared" ca="1" si="2"/>
        <v/>
      </c>
      <c r="AD17" s="35" t="str">
        <f t="shared" ca="1" si="3"/>
        <v/>
      </c>
      <c r="AE17" s="35" t="str">
        <f t="shared" ca="1" si="4"/>
        <v/>
      </c>
      <c r="AF17" s="35" t="str">
        <f t="shared" ca="1" si="5"/>
        <v/>
      </c>
      <c r="AG17" s="37" t="str">
        <f t="shared" ca="1" si="6"/>
        <v/>
      </c>
      <c r="AH17" s="21" t="str">
        <f t="shared" ca="1" si="92"/>
        <v/>
      </c>
      <c r="AI17" s="22" t="str">
        <f t="shared" ca="1" si="7"/>
        <v/>
      </c>
      <c r="AJ17" s="36" t="str">
        <f t="shared" ca="1" si="52"/>
        <v/>
      </c>
      <c r="AK17" s="32" t="str">
        <f t="shared" ca="1" si="53"/>
        <v/>
      </c>
      <c r="AL17" s="35" t="str">
        <f t="shared" ca="1" si="8"/>
        <v/>
      </c>
      <c r="AM17" s="32" t="str">
        <f t="shared" ca="1" si="9"/>
        <v/>
      </c>
      <c r="AN17" s="35" t="str">
        <f t="shared" ca="1" si="10"/>
        <v/>
      </c>
      <c r="AO17" s="32" t="str">
        <f t="shared" ca="1" si="11"/>
        <v/>
      </c>
      <c r="AP17" s="32" t="str">
        <f t="shared" ca="1" si="54"/>
        <v/>
      </c>
      <c r="AQ17" s="38" t="str">
        <f ca="1">IF(B17&lt;&gt;0,((SUMPRODUCT((COUNTIF(AJ17:AO17,{1,2,3,4,5,10})=0)*{48,24,14,9,4,1})/100))+(B17*0.0000001),"")</f>
        <v/>
      </c>
      <c r="AR17" s="39" t="str">
        <f t="shared" ca="1" si="55"/>
        <v/>
      </c>
      <c r="AS17" s="36" t="str">
        <f t="shared" ca="1" si="12"/>
        <v/>
      </c>
      <c r="AT17" s="35" t="str">
        <f t="shared" ca="1" si="13"/>
        <v/>
      </c>
      <c r="AU17" s="37" t="str">
        <f t="shared" ca="1" si="14"/>
        <v/>
      </c>
      <c r="AV17" s="32" t="str">
        <f t="shared" ca="1" si="15"/>
        <v/>
      </c>
      <c r="AW17" s="35" t="str">
        <f t="shared" ca="1" si="56"/>
        <v/>
      </c>
      <c r="AX17" s="25" t="str">
        <f t="shared" ca="1" si="57"/>
        <v/>
      </c>
      <c r="AY17" s="40" t="str">
        <f t="shared" ca="1" si="58"/>
        <v/>
      </c>
      <c r="AZ17" s="36" t="str">
        <f t="shared" ca="1" si="16"/>
        <v/>
      </c>
      <c r="BA17" s="35" t="str">
        <f t="shared" ca="1" si="17"/>
        <v/>
      </c>
      <c r="BB17" s="37" t="str">
        <f t="shared" ca="1" si="18"/>
        <v/>
      </c>
      <c r="BC17" s="40" t="str">
        <f t="shared" ca="1" si="19"/>
        <v/>
      </c>
      <c r="BD17" s="40" t="str">
        <f t="shared" ca="1" si="20"/>
        <v/>
      </c>
      <c r="BE17" s="36" t="str">
        <f t="shared" ca="1" si="59"/>
        <v/>
      </c>
      <c r="BF17" s="35" t="str">
        <f t="shared" ca="1" si="21"/>
        <v/>
      </c>
      <c r="BG17" s="37" t="str">
        <f t="shared" ca="1" si="22"/>
        <v/>
      </c>
      <c r="BH17" s="32" t="str">
        <f t="shared" ca="1" si="23"/>
        <v/>
      </c>
      <c r="BI17" s="32" t="str">
        <f t="shared" ca="1" si="24"/>
        <v/>
      </c>
      <c r="BJ17" s="32" t="str">
        <f t="shared" ca="1" si="25"/>
        <v/>
      </c>
      <c r="BK17" s="32" t="str">
        <f t="shared" ca="1" si="26"/>
        <v/>
      </c>
      <c r="BL17" s="26" t="str">
        <f t="shared" ca="1" si="60"/>
        <v/>
      </c>
      <c r="BM17" s="40" t="str">
        <f t="shared" ca="1" si="27"/>
        <v/>
      </c>
      <c r="BN17" s="4"/>
      <c r="BO17" s="32" t="str">
        <f t="shared" ca="1" si="61"/>
        <v/>
      </c>
      <c r="BP17" s="32" t="str">
        <f t="shared" ca="1" si="28"/>
        <v/>
      </c>
      <c r="BQ17" s="32" t="str">
        <f t="shared" ca="1" si="62"/>
        <v/>
      </c>
      <c r="BR17" s="32" t="str">
        <f t="shared" ca="1" si="62"/>
        <v/>
      </c>
      <c r="BS17" s="32" t="str">
        <f t="shared" ca="1" si="63"/>
        <v/>
      </c>
      <c r="BT17" s="32" t="str">
        <f t="shared" ca="1" si="63"/>
        <v/>
      </c>
      <c r="BU17" s="4"/>
      <c r="BV17" s="41" t="str">
        <f t="shared" ca="1" si="64"/>
        <v/>
      </c>
      <c r="BW17" s="37" t="str">
        <f t="shared" ca="1" si="65"/>
        <v/>
      </c>
      <c r="BX17" s="42" t="str">
        <f t="shared" ca="1" si="29"/>
        <v/>
      </c>
      <c r="BY17" s="43" t="str">
        <f t="shared" ca="1" si="30"/>
        <v/>
      </c>
      <c r="BZ17" s="44" t="str">
        <f t="shared" ca="1" si="31"/>
        <v/>
      </c>
      <c r="CA17" s="43" t="str">
        <f ca="1">IF(BY17&lt;&gt;"",RANK(BY17,BY4:BY23,CA3),"")</f>
        <v/>
      </c>
      <c r="CB17" s="45" t="str">
        <f ca="1">IF(BZ17&lt;&gt;"",RANK(BZ17,BZ4:BZ23,CB3),"")</f>
        <v/>
      </c>
      <c r="CC17" s="45" t="str">
        <f t="shared" ca="1" si="66"/>
        <v/>
      </c>
      <c r="CD17" s="30" t="str">
        <f ca="1">IF(BX17&lt;&gt;"",VLOOKUP(SMALL(BV4:BV23,14),BV4:BX23,3,FALSE),"")</f>
        <v/>
      </c>
      <c r="CE17" s="4"/>
      <c r="CF17" s="41" t="str">
        <f t="shared" ca="1" si="67"/>
        <v/>
      </c>
      <c r="CG17" s="37" t="str">
        <f t="shared" ca="1" si="68"/>
        <v/>
      </c>
      <c r="CH17" s="42" t="str">
        <f t="shared" ca="1" si="32"/>
        <v/>
      </c>
      <c r="CI17" s="43" t="str">
        <f t="shared" ca="1" si="33"/>
        <v/>
      </c>
      <c r="CJ17" s="44" t="str">
        <f t="shared" ca="1" si="34"/>
        <v/>
      </c>
      <c r="CK17" s="43" t="str">
        <f ca="1">IF(CI17&lt;&gt;"",RANK(CI17,CI4:CI23,CK3),"")</f>
        <v/>
      </c>
      <c r="CL17" s="45" t="str">
        <f ca="1">IF(CJ17&lt;&gt;"",RANK(CJ17,CJ4:CJ23,CL3),"")</f>
        <v/>
      </c>
      <c r="CM17" s="45" t="str">
        <f t="shared" ca="1" si="69"/>
        <v/>
      </c>
      <c r="CN17" s="30" t="str">
        <f ca="1">IF(CH17&lt;&gt;"",VLOOKUP(SMALL(CF4:CF23,14),CF4:CH23,3,FALSE),"")</f>
        <v/>
      </c>
      <c r="CO17" s="4"/>
      <c r="CP17" s="41" t="str">
        <f t="shared" ca="1" si="70"/>
        <v/>
      </c>
      <c r="CQ17" s="37" t="str">
        <f t="shared" ca="1" si="71"/>
        <v/>
      </c>
      <c r="CR17" s="42" t="str">
        <f t="shared" ca="1" si="35"/>
        <v/>
      </c>
      <c r="CS17" s="43" t="str">
        <f t="shared" ca="1" si="36"/>
        <v/>
      </c>
      <c r="CT17" s="44" t="str">
        <f t="shared" ca="1" si="37"/>
        <v/>
      </c>
      <c r="CU17" s="43" t="str">
        <f ca="1">IF(CS17&lt;&gt;"",RANK(CS17,CS4:CS23,CU3),"")</f>
        <v/>
      </c>
      <c r="CV17" s="45" t="str">
        <f ca="1">IF(CT17&lt;&gt;"",RANK(CT17,CT4:CT23,CV3),"")</f>
        <v/>
      </c>
      <c r="CW17" s="45" t="str">
        <f t="shared" ca="1" si="72"/>
        <v/>
      </c>
      <c r="CX17" s="30" t="str">
        <f ca="1">IF(CR17&lt;&gt;"",VLOOKUP(SMALL(CP4:CP23,14),CP4:CR23,3,FALSE),"")</f>
        <v/>
      </c>
      <c r="CY17" s="4"/>
      <c r="CZ17" s="41" t="str">
        <f t="shared" ca="1" si="73"/>
        <v/>
      </c>
      <c r="DA17" s="37" t="str">
        <f t="shared" ca="1" si="74"/>
        <v/>
      </c>
      <c r="DB17" s="42" t="str">
        <f t="shared" ca="1" si="38"/>
        <v/>
      </c>
      <c r="DC17" s="43" t="str">
        <f t="shared" ca="1" si="39"/>
        <v/>
      </c>
      <c r="DD17" s="44" t="str">
        <f t="shared" ca="1" si="40"/>
        <v/>
      </c>
      <c r="DE17" s="43" t="str">
        <f ca="1">IF(DC17&lt;&gt;"",RANK(DC17,DC4:DC23,DE3),"")</f>
        <v/>
      </c>
      <c r="DF17" s="45" t="str">
        <f ca="1">IF(DD17&lt;&gt;"",RANK(DD17,DD4:DD23,DF3),"")</f>
        <v/>
      </c>
      <c r="DG17" s="45" t="str">
        <f t="shared" ca="1" si="75"/>
        <v/>
      </c>
      <c r="DH17" s="30" t="str">
        <f ca="1">IF(DB17&lt;&gt;"",VLOOKUP(SMALL(CZ4:CZ23,14),CZ4:DB23,3,FALSE),"")</f>
        <v/>
      </c>
      <c r="DI17" s="4"/>
      <c r="DJ17" s="41" t="str">
        <f t="shared" ca="1" si="76"/>
        <v/>
      </c>
      <c r="DK17" s="37" t="str">
        <f t="shared" ca="1" si="77"/>
        <v/>
      </c>
      <c r="DL17" s="42" t="str">
        <f t="shared" ca="1" si="41"/>
        <v/>
      </c>
      <c r="DM17" s="43" t="str">
        <f t="shared" ca="1" si="42"/>
        <v/>
      </c>
      <c r="DN17" s="44" t="str">
        <f t="shared" ca="1" si="43"/>
        <v/>
      </c>
      <c r="DO17" s="43" t="str">
        <f ca="1">IF(DM17&lt;&gt;"",RANK(DM17,DM4:DM23,DO3),"")</f>
        <v/>
      </c>
      <c r="DP17" s="45" t="str">
        <f ca="1">IF(DN17&lt;&gt;"",RANK(DN17,DN4:DN23,DP3),"")</f>
        <v/>
      </c>
      <c r="DQ17" s="45" t="str">
        <f t="shared" ca="1" si="78"/>
        <v/>
      </c>
      <c r="DR17" s="30" t="str">
        <f ca="1">IF(DL17&lt;&gt;"",VLOOKUP(SMALL(DJ4:DJ23,14),DJ4:DL23,3,FALSE),"")</f>
        <v/>
      </c>
      <c r="DS17" s="4"/>
      <c r="DT17" s="41" t="str">
        <f t="shared" ca="1" si="79"/>
        <v/>
      </c>
      <c r="DU17" s="37" t="str">
        <f t="shared" ca="1" si="80"/>
        <v/>
      </c>
      <c r="DV17" s="42" t="str">
        <f t="shared" ca="1" si="44"/>
        <v/>
      </c>
      <c r="DW17" s="43" t="str">
        <f t="shared" ca="1" si="81"/>
        <v/>
      </c>
      <c r="DX17" s="44" t="str">
        <f t="shared" ca="1" si="45"/>
        <v/>
      </c>
      <c r="DY17" s="43" t="str">
        <f ca="1">IF(DW17&lt;&gt;"",RANK(DW17,DW4:DW23,DY3),"")</f>
        <v/>
      </c>
      <c r="DZ17" s="45" t="str">
        <f ca="1">IF(DX17&lt;&gt;"",RANK(DX17,DX4:DX23,DZ3),"")</f>
        <v/>
      </c>
      <c r="EA17" s="45" t="str">
        <f t="shared" ca="1" si="82"/>
        <v/>
      </c>
      <c r="EB17" s="30" t="str">
        <f ca="1">IF(DV17&lt;&gt;"",VLOOKUP(SMALL(DT4:DT23,14),DT4:DV23,3,FALSE),"")</f>
        <v/>
      </c>
    </row>
    <row r="18" spans="1:132" x14ac:dyDescent="0.3">
      <c r="A18" s="15"/>
      <c r="B18" s="32">
        <f ca="1">IF(A18=1,0,[1]Partants!A16)</f>
        <v>0</v>
      </c>
      <c r="C18" s="33">
        <f ca="1">[1]Partants!B16</f>
        <v>0</v>
      </c>
      <c r="D18" s="34">
        <f ca="1">[1]Partants!E16</f>
        <v>0</v>
      </c>
      <c r="E18" s="18" t="e">
        <f t="shared" ca="1" si="46"/>
        <v>#NAME?</v>
      </c>
      <c r="F18" s="32" t="str">
        <f t="shared" ca="1" si="83"/>
        <v/>
      </c>
      <c r="G18" s="35" t="str">
        <f t="shared" ca="1" si="84"/>
        <v/>
      </c>
      <c r="H18" s="32" t="str">
        <f t="shared" ca="1" si="85"/>
        <v/>
      </c>
      <c r="I18" s="35" t="str">
        <f t="shared" ca="1" si="86"/>
        <v/>
      </c>
      <c r="J18" s="32" t="str">
        <f t="shared" ca="1" si="87"/>
        <v/>
      </c>
      <c r="K18" s="35" t="str">
        <f t="shared" ca="1" si="88"/>
        <v/>
      </c>
      <c r="L18" s="32" t="str">
        <f t="shared" ca="1" si="93"/>
        <v/>
      </c>
      <c r="M18" s="35" t="str">
        <f t="shared" ca="1" si="94"/>
        <v/>
      </c>
      <c r="N18" s="32" t="str">
        <f t="shared" ca="1" si="95"/>
        <v/>
      </c>
      <c r="O18" s="35" t="str">
        <f t="shared" ca="1" si="96"/>
        <v/>
      </c>
      <c r="P18" s="36" t="str">
        <f t="shared" ca="1" si="97"/>
        <v/>
      </c>
      <c r="Q18" s="32" t="str">
        <f t="shared" ca="1" si="98"/>
        <v/>
      </c>
      <c r="R18" s="37" t="str">
        <f t="shared" ca="1" si="99"/>
        <v/>
      </c>
      <c r="T18" s="1">
        <v>15</v>
      </c>
      <c r="U18" s="9" t="str">
        <f t="shared" ca="1" si="89"/>
        <v/>
      </c>
      <c r="V18" s="9" t="str">
        <f t="shared" ca="1" si="90"/>
        <v/>
      </c>
      <c r="W18" s="9" t="str">
        <f t="shared" ca="1" si="47"/>
        <v/>
      </c>
      <c r="X18" s="9" t="str">
        <f t="shared" ca="1" si="48"/>
        <v/>
      </c>
      <c r="Y18" s="9" t="str">
        <f t="shared" ca="1" si="49"/>
        <v/>
      </c>
      <c r="Z18" s="9" t="str">
        <f t="shared" ca="1" si="50"/>
        <v/>
      </c>
      <c r="AA18" s="9" t="str">
        <f t="shared" ca="1" si="91"/>
        <v/>
      </c>
      <c r="AB18" s="36" t="str">
        <f t="shared" ca="1" si="1"/>
        <v/>
      </c>
      <c r="AC18" s="35" t="str">
        <f t="shared" ca="1" si="2"/>
        <v/>
      </c>
      <c r="AD18" s="35" t="str">
        <f t="shared" ca="1" si="3"/>
        <v/>
      </c>
      <c r="AE18" s="35" t="str">
        <f t="shared" ca="1" si="4"/>
        <v/>
      </c>
      <c r="AF18" s="35" t="str">
        <f t="shared" ca="1" si="5"/>
        <v/>
      </c>
      <c r="AG18" s="37" t="str">
        <f t="shared" ca="1" si="6"/>
        <v/>
      </c>
      <c r="AH18" s="21" t="str">
        <f t="shared" ca="1" si="92"/>
        <v/>
      </c>
      <c r="AI18" s="22" t="str">
        <f ca="1">IF(B18&lt;&gt;0,IF(U18="",36,(SUM(AB18:AG18)-AVERAGE(AB18:AG18))+(B18*0.00000000001)),"")</f>
        <v/>
      </c>
      <c r="AJ18" s="36" t="str">
        <f t="shared" ca="1" si="52"/>
        <v/>
      </c>
      <c r="AK18" s="32" t="str">
        <f t="shared" ca="1" si="53"/>
        <v/>
      </c>
      <c r="AL18" s="35" t="str">
        <f t="shared" ca="1" si="8"/>
        <v/>
      </c>
      <c r="AM18" s="32" t="str">
        <f t="shared" ca="1" si="9"/>
        <v/>
      </c>
      <c r="AN18" s="35" t="str">
        <f t="shared" ca="1" si="10"/>
        <v/>
      </c>
      <c r="AO18" s="32" t="str">
        <f t="shared" ca="1" si="11"/>
        <v/>
      </c>
      <c r="AP18" s="32" t="str">
        <f t="shared" ca="1" si="54"/>
        <v/>
      </c>
      <c r="AQ18" s="38" t="str">
        <f ca="1">IF(B18&lt;&gt;0,((SUMPRODUCT((COUNTIF(AJ18:AO18,{1,2,3,4,5,10})=0)*{48,24,14,9,4,1})/100))+(B18*0.0000001),"")</f>
        <v/>
      </c>
      <c r="AR18" s="39" t="str">
        <f t="shared" ca="1" si="55"/>
        <v/>
      </c>
      <c r="AS18" s="36" t="str">
        <f t="shared" ca="1" si="12"/>
        <v/>
      </c>
      <c r="AT18" s="35" t="str">
        <f t="shared" ca="1" si="13"/>
        <v/>
      </c>
      <c r="AU18" s="37" t="str">
        <f t="shared" ca="1" si="14"/>
        <v/>
      </c>
      <c r="AV18" s="32" t="str">
        <f t="shared" ca="1" si="15"/>
        <v/>
      </c>
      <c r="AW18" s="35" t="str">
        <f t="shared" ca="1" si="56"/>
        <v/>
      </c>
      <c r="AX18" s="25" t="str">
        <f t="shared" ca="1" si="57"/>
        <v/>
      </c>
      <c r="AY18" s="40" t="str">
        <f t="shared" ca="1" si="58"/>
        <v/>
      </c>
      <c r="AZ18" s="36" t="str">
        <f t="shared" ca="1" si="16"/>
        <v/>
      </c>
      <c r="BA18" s="35" t="str">
        <f t="shared" ca="1" si="17"/>
        <v/>
      </c>
      <c r="BB18" s="37" t="str">
        <f t="shared" ca="1" si="18"/>
        <v/>
      </c>
      <c r="BC18" s="40" t="str">
        <f t="shared" ca="1" si="19"/>
        <v/>
      </c>
      <c r="BD18" s="40" t="str">
        <f t="shared" ca="1" si="20"/>
        <v/>
      </c>
      <c r="BE18" s="36" t="str">
        <f t="shared" ca="1" si="59"/>
        <v/>
      </c>
      <c r="BF18" s="35" t="str">
        <f t="shared" ca="1" si="21"/>
        <v/>
      </c>
      <c r="BG18" s="37" t="str">
        <f t="shared" ca="1" si="22"/>
        <v/>
      </c>
      <c r="BH18" s="32" t="str">
        <f t="shared" ca="1" si="23"/>
        <v/>
      </c>
      <c r="BI18" s="32" t="str">
        <f t="shared" ca="1" si="24"/>
        <v/>
      </c>
      <c r="BJ18" s="32" t="str">
        <f t="shared" ca="1" si="25"/>
        <v/>
      </c>
      <c r="BK18" s="32" t="str">
        <f t="shared" ca="1" si="26"/>
        <v/>
      </c>
      <c r="BL18" s="26" t="str">
        <f t="shared" ca="1" si="60"/>
        <v/>
      </c>
      <c r="BM18" s="40" t="str">
        <f t="shared" ca="1" si="27"/>
        <v/>
      </c>
      <c r="BN18" s="4"/>
      <c r="BO18" s="32" t="str">
        <f t="shared" ca="1" si="61"/>
        <v/>
      </c>
      <c r="BP18" s="32" t="str">
        <f t="shared" ca="1" si="28"/>
        <v/>
      </c>
      <c r="BQ18" s="32" t="str">
        <f t="shared" ca="1" si="62"/>
        <v/>
      </c>
      <c r="BR18" s="32" t="str">
        <f t="shared" ca="1" si="62"/>
        <v/>
      </c>
      <c r="BS18" s="32" t="str">
        <f t="shared" ca="1" si="63"/>
        <v/>
      </c>
      <c r="BT18" s="32" t="str">
        <f t="shared" ca="1" si="63"/>
        <v/>
      </c>
      <c r="BU18" s="4"/>
      <c r="BV18" s="41" t="str">
        <f t="shared" ca="1" si="64"/>
        <v/>
      </c>
      <c r="BW18" s="37" t="str">
        <f t="shared" ca="1" si="65"/>
        <v/>
      </c>
      <c r="BX18" s="42" t="str">
        <f t="shared" ca="1" si="29"/>
        <v/>
      </c>
      <c r="BY18" s="43" t="str">
        <f t="shared" ca="1" si="30"/>
        <v/>
      </c>
      <c r="BZ18" s="44" t="str">
        <f t="shared" ca="1" si="31"/>
        <v/>
      </c>
      <c r="CA18" s="43" t="str">
        <f ca="1">IF(BY18&lt;&gt;"",RANK(BY18,BY4:BY23,CA3),"")</f>
        <v/>
      </c>
      <c r="CB18" s="45" t="str">
        <f ca="1">IF(BZ18&lt;&gt;"",RANK(BZ18,BZ4:BZ23,CB3),"")</f>
        <v/>
      </c>
      <c r="CC18" s="45" t="str">
        <f t="shared" ca="1" si="66"/>
        <v/>
      </c>
      <c r="CD18" s="30" t="str">
        <f ca="1">IF(BX18&lt;&gt;"",VLOOKUP(SMALL(BV4:BV23,15),BV4:BX23,3,FALSE),"")</f>
        <v/>
      </c>
      <c r="CE18" s="4"/>
      <c r="CF18" s="41" t="str">
        <f t="shared" ca="1" si="67"/>
        <v/>
      </c>
      <c r="CG18" s="37" t="str">
        <f t="shared" ca="1" si="68"/>
        <v/>
      </c>
      <c r="CH18" s="42" t="str">
        <f t="shared" ca="1" si="32"/>
        <v/>
      </c>
      <c r="CI18" s="43" t="str">
        <f t="shared" ca="1" si="33"/>
        <v/>
      </c>
      <c r="CJ18" s="44" t="str">
        <f t="shared" ca="1" si="34"/>
        <v/>
      </c>
      <c r="CK18" s="43" t="str">
        <f ca="1">IF(CI18&lt;&gt;"",RANK(CI18,CI4:CI23,CK3),"")</f>
        <v/>
      </c>
      <c r="CL18" s="45" t="str">
        <f ca="1">IF(CJ18&lt;&gt;"",RANK(CJ18,CJ4:CJ23,CL3),"")</f>
        <v/>
      </c>
      <c r="CM18" s="45" t="str">
        <f t="shared" ca="1" si="69"/>
        <v/>
      </c>
      <c r="CN18" s="30" t="str">
        <f ca="1">IF(CH18&lt;&gt;"",VLOOKUP(SMALL(CF4:CF23,15),CF4:CH23,3,FALSE),"")</f>
        <v/>
      </c>
      <c r="CO18" s="4"/>
      <c r="CP18" s="41" t="str">
        <f t="shared" ca="1" si="70"/>
        <v/>
      </c>
      <c r="CQ18" s="37" t="str">
        <f t="shared" ca="1" si="71"/>
        <v/>
      </c>
      <c r="CR18" s="42" t="str">
        <f t="shared" ca="1" si="35"/>
        <v/>
      </c>
      <c r="CS18" s="43" t="str">
        <f t="shared" ca="1" si="36"/>
        <v/>
      </c>
      <c r="CT18" s="44" t="str">
        <f t="shared" ca="1" si="37"/>
        <v/>
      </c>
      <c r="CU18" s="43" t="str">
        <f ca="1">IF(CS18&lt;&gt;"",RANK(CS18,CS4:CS23,CU3),"")</f>
        <v/>
      </c>
      <c r="CV18" s="45" t="str">
        <f ca="1">IF(CT18&lt;&gt;"",RANK(CT18,CT4:CT23,CV3),"")</f>
        <v/>
      </c>
      <c r="CW18" s="45" t="str">
        <f t="shared" ca="1" si="72"/>
        <v/>
      </c>
      <c r="CX18" s="30" t="str">
        <f ca="1">IF(CR18&lt;&gt;"",VLOOKUP(SMALL(CP4:CP23,15),CP4:CR23,3,FALSE),"")</f>
        <v/>
      </c>
      <c r="CY18" s="4"/>
      <c r="CZ18" s="41" t="str">
        <f t="shared" ca="1" si="73"/>
        <v/>
      </c>
      <c r="DA18" s="37" t="str">
        <f t="shared" ca="1" si="74"/>
        <v/>
      </c>
      <c r="DB18" s="42" t="str">
        <f t="shared" ca="1" si="38"/>
        <v/>
      </c>
      <c r="DC18" s="43" t="str">
        <f t="shared" ca="1" si="39"/>
        <v/>
      </c>
      <c r="DD18" s="44" t="str">
        <f t="shared" ca="1" si="40"/>
        <v/>
      </c>
      <c r="DE18" s="43" t="str">
        <f ca="1">IF(DC18&lt;&gt;"",RANK(DC18,DC4:DC23,DE3),"")</f>
        <v/>
      </c>
      <c r="DF18" s="45" t="str">
        <f ca="1">IF(DD18&lt;&gt;"",RANK(DD18,DD4:DD23,DF3),"")</f>
        <v/>
      </c>
      <c r="DG18" s="45" t="str">
        <f t="shared" ca="1" si="75"/>
        <v/>
      </c>
      <c r="DH18" s="30" t="str">
        <f ca="1">IF(DB18&lt;&gt;"",VLOOKUP(SMALL(CZ4:CZ23,15),CZ4:DB23,3,FALSE),"")</f>
        <v/>
      </c>
      <c r="DI18" s="4"/>
      <c r="DJ18" s="41" t="str">
        <f t="shared" ca="1" si="76"/>
        <v/>
      </c>
      <c r="DK18" s="37" t="str">
        <f t="shared" ca="1" si="77"/>
        <v/>
      </c>
      <c r="DL18" s="42" t="str">
        <f t="shared" ca="1" si="41"/>
        <v/>
      </c>
      <c r="DM18" s="43" t="str">
        <f t="shared" ca="1" si="42"/>
        <v/>
      </c>
      <c r="DN18" s="44" t="str">
        <f t="shared" ca="1" si="43"/>
        <v/>
      </c>
      <c r="DO18" s="43" t="str">
        <f ca="1">IF(DM18&lt;&gt;"",RANK(DM18,DM4:DM23,DO3),"")</f>
        <v/>
      </c>
      <c r="DP18" s="45" t="str">
        <f ca="1">IF(DN18&lt;&gt;"",RANK(DN18,DN4:DN23,DP3),"")</f>
        <v/>
      </c>
      <c r="DQ18" s="45" t="str">
        <f t="shared" ca="1" si="78"/>
        <v/>
      </c>
      <c r="DR18" s="30" t="str">
        <f ca="1">IF(DL18&lt;&gt;"",VLOOKUP(SMALL(DJ4:DJ23,15),DJ4:DL23,3,FALSE),"")</f>
        <v/>
      </c>
      <c r="DS18" s="4"/>
      <c r="DT18" s="41" t="str">
        <f t="shared" ca="1" si="79"/>
        <v/>
      </c>
      <c r="DU18" s="37" t="str">
        <f t="shared" ca="1" si="80"/>
        <v/>
      </c>
      <c r="DV18" s="42" t="str">
        <f t="shared" ca="1" si="44"/>
        <v/>
      </c>
      <c r="DW18" s="43" t="str">
        <f t="shared" ca="1" si="81"/>
        <v/>
      </c>
      <c r="DX18" s="44" t="str">
        <f t="shared" ca="1" si="45"/>
        <v/>
      </c>
      <c r="DY18" s="43" t="str">
        <f ca="1">IF(DW18&lt;&gt;"",RANK(DW18,DW4:DW23,DY3),"")</f>
        <v/>
      </c>
      <c r="DZ18" s="45" t="str">
        <f ca="1">IF(DX18&lt;&gt;"",RANK(DX18,DX4:DX23,DZ3),"")</f>
        <v/>
      </c>
      <c r="EA18" s="45" t="str">
        <f t="shared" ca="1" si="82"/>
        <v/>
      </c>
      <c r="EB18" s="30" t="str">
        <f ca="1">IF(DV18&lt;&gt;"",VLOOKUP(SMALL(DT4:DT23,15),DT4:DV23,3,FALSE),"")</f>
        <v/>
      </c>
    </row>
    <row r="19" spans="1:132" x14ac:dyDescent="0.3">
      <c r="A19" s="15"/>
      <c r="B19" s="32">
        <f ca="1">IF(A19=1,0,[1]Partants!A17)</f>
        <v>0</v>
      </c>
      <c r="C19" s="33">
        <f ca="1">[1]Partants!B17</f>
        <v>0</v>
      </c>
      <c r="D19" s="34">
        <f ca="1">[1]Partants!E17</f>
        <v>0</v>
      </c>
      <c r="E19" s="18" t="e">
        <f t="shared" ca="1" si="46"/>
        <v>#NAME?</v>
      </c>
      <c r="F19" s="32" t="str">
        <f t="shared" ca="1" si="83"/>
        <v/>
      </c>
      <c r="G19" s="35" t="str">
        <f t="shared" ca="1" si="84"/>
        <v/>
      </c>
      <c r="H19" s="32" t="str">
        <f t="shared" ca="1" si="85"/>
        <v/>
      </c>
      <c r="I19" s="35" t="str">
        <f t="shared" ca="1" si="86"/>
        <v/>
      </c>
      <c r="J19" s="32" t="str">
        <f t="shared" ca="1" si="87"/>
        <v/>
      </c>
      <c r="K19" s="35" t="str">
        <f t="shared" ca="1" si="88"/>
        <v/>
      </c>
      <c r="L19" s="32" t="str">
        <f t="shared" ca="1" si="93"/>
        <v/>
      </c>
      <c r="M19" s="35" t="str">
        <f t="shared" ca="1" si="94"/>
        <v/>
      </c>
      <c r="N19" s="32" t="str">
        <f t="shared" ca="1" si="95"/>
        <v/>
      </c>
      <c r="O19" s="35" t="str">
        <f t="shared" ca="1" si="96"/>
        <v/>
      </c>
      <c r="P19" s="36" t="str">
        <f t="shared" ca="1" si="97"/>
        <v/>
      </c>
      <c r="Q19" s="32" t="str">
        <f t="shared" ca="1" si="98"/>
        <v/>
      </c>
      <c r="R19" s="37" t="str">
        <f t="shared" ca="1" si="99"/>
        <v/>
      </c>
      <c r="T19" s="1">
        <v>16</v>
      </c>
      <c r="U19" s="9" t="str">
        <f t="shared" ca="1" si="89"/>
        <v/>
      </c>
      <c r="V19" s="9" t="str">
        <f t="shared" ca="1" si="90"/>
        <v/>
      </c>
      <c r="W19" s="9" t="str">
        <f t="shared" ca="1" si="47"/>
        <v/>
      </c>
      <c r="X19" s="9" t="str">
        <f t="shared" ca="1" si="48"/>
        <v/>
      </c>
      <c r="Y19" s="9" t="str">
        <f t="shared" ca="1" si="49"/>
        <v/>
      </c>
      <c r="Z19" s="9" t="str">
        <f t="shared" ca="1" si="50"/>
        <v/>
      </c>
      <c r="AA19" s="9" t="str">
        <f t="shared" ca="1" si="91"/>
        <v/>
      </c>
      <c r="AB19" s="36" t="str">
        <f t="shared" ca="1" si="1"/>
        <v/>
      </c>
      <c r="AC19" s="35" t="str">
        <f t="shared" ca="1" si="2"/>
        <v/>
      </c>
      <c r="AD19" s="35" t="str">
        <f t="shared" ca="1" si="3"/>
        <v/>
      </c>
      <c r="AE19" s="35" t="str">
        <f t="shared" ca="1" si="4"/>
        <v/>
      </c>
      <c r="AF19" s="35" t="str">
        <f t="shared" ca="1" si="5"/>
        <v/>
      </c>
      <c r="AG19" s="37" t="str">
        <f t="shared" ca="1" si="6"/>
        <v/>
      </c>
      <c r="AH19" s="21" t="str">
        <f t="shared" ca="1" si="92"/>
        <v/>
      </c>
      <c r="AI19" s="22" t="str">
        <f ca="1">IF(B19&lt;&gt;0,IF(U19="",36,(SUM(AB19:AG19)-AVERAGE(AB19:AG19))+(B19*0.00000000001)),"")</f>
        <v/>
      </c>
      <c r="AJ19" s="36" t="str">
        <f t="shared" ca="1" si="52"/>
        <v/>
      </c>
      <c r="AK19" s="32" t="str">
        <f t="shared" ca="1" si="53"/>
        <v/>
      </c>
      <c r="AL19" s="35" t="str">
        <f t="shared" ca="1" si="8"/>
        <v/>
      </c>
      <c r="AM19" s="32" t="str">
        <f t="shared" ca="1" si="9"/>
        <v/>
      </c>
      <c r="AN19" s="35" t="str">
        <f t="shared" ca="1" si="10"/>
        <v/>
      </c>
      <c r="AO19" s="32" t="str">
        <f t="shared" ca="1" si="11"/>
        <v/>
      </c>
      <c r="AP19" s="32" t="str">
        <f t="shared" ca="1" si="54"/>
        <v/>
      </c>
      <c r="AQ19" s="38" t="str">
        <f ca="1">IF(B19&lt;&gt;0,((SUMPRODUCT((COUNTIF(AJ19:AO19,{1,2,3,4,5,10})=0)*{48,24,14,9,4,1})/100))+(B19*0.0000001),"")</f>
        <v/>
      </c>
      <c r="AR19" s="39" t="str">
        <f t="shared" ca="1" si="55"/>
        <v/>
      </c>
      <c r="AS19" s="36" t="str">
        <f t="shared" ca="1" si="12"/>
        <v/>
      </c>
      <c r="AT19" s="35" t="str">
        <f t="shared" ca="1" si="13"/>
        <v/>
      </c>
      <c r="AU19" s="37" t="str">
        <f t="shared" ca="1" si="14"/>
        <v/>
      </c>
      <c r="AV19" s="32" t="str">
        <f t="shared" ca="1" si="15"/>
        <v/>
      </c>
      <c r="AW19" s="35" t="str">
        <f t="shared" ca="1" si="56"/>
        <v/>
      </c>
      <c r="AX19" s="25" t="str">
        <f t="shared" ca="1" si="57"/>
        <v/>
      </c>
      <c r="AY19" s="40" t="str">
        <f t="shared" ca="1" si="58"/>
        <v/>
      </c>
      <c r="AZ19" s="36" t="str">
        <f t="shared" ca="1" si="16"/>
        <v/>
      </c>
      <c r="BA19" s="35" t="str">
        <f t="shared" ca="1" si="17"/>
        <v/>
      </c>
      <c r="BB19" s="37" t="str">
        <f t="shared" ca="1" si="18"/>
        <v/>
      </c>
      <c r="BC19" s="40" t="str">
        <f t="shared" ca="1" si="19"/>
        <v/>
      </c>
      <c r="BD19" s="40" t="str">
        <f t="shared" ca="1" si="20"/>
        <v/>
      </c>
      <c r="BE19" s="36" t="str">
        <f t="shared" ca="1" si="59"/>
        <v/>
      </c>
      <c r="BF19" s="35" t="str">
        <f t="shared" ca="1" si="21"/>
        <v/>
      </c>
      <c r="BG19" s="37" t="str">
        <f t="shared" ca="1" si="22"/>
        <v/>
      </c>
      <c r="BH19" s="32" t="str">
        <f t="shared" ca="1" si="23"/>
        <v/>
      </c>
      <c r="BI19" s="32" t="str">
        <f t="shared" ca="1" si="24"/>
        <v/>
      </c>
      <c r="BJ19" s="32" t="str">
        <f t="shared" ca="1" si="25"/>
        <v/>
      </c>
      <c r="BK19" s="32" t="str">
        <f t="shared" ca="1" si="26"/>
        <v/>
      </c>
      <c r="BL19" s="26" t="str">
        <f t="shared" ca="1" si="60"/>
        <v/>
      </c>
      <c r="BM19" s="40" t="str">
        <f t="shared" ca="1" si="27"/>
        <v/>
      </c>
      <c r="BN19" s="4"/>
      <c r="BO19" s="32" t="str">
        <f t="shared" ca="1" si="61"/>
        <v/>
      </c>
      <c r="BP19" s="32" t="str">
        <f t="shared" ca="1" si="28"/>
        <v/>
      </c>
      <c r="BQ19" s="32" t="str">
        <f t="shared" ca="1" si="62"/>
        <v/>
      </c>
      <c r="BR19" s="32" t="str">
        <f t="shared" ca="1" si="62"/>
        <v/>
      </c>
      <c r="BS19" s="32" t="str">
        <f t="shared" ca="1" si="63"/>
        <v/>
      </c>
      <c r="BT19" s="32" t="str">
        <f t="shared" ca="1" si="63"/>
        <v/>
      </c>
      <c r="BU19" s="4"/>
      <c r="BV19" s="41" t="str">
        <f t="shared" ca="1" si="64"/>
        <v/>
      </c>
      <c r="BW19" s="37" t="str">
        <f t="shared" ca="1" si="65"/>
        <v/>
      </c>
      <c r="BX19" s="42" t="str">
        <f t="shared" ca="1" si="29"/>
        <v/>
      </c>
      <c r="BY19" s="43" t="str">
        <f t="shared" ca="1" si="30"/>
        <v/>
      </c>
      <c r="BZ19" s="44" t="str">
        <f t="shared" ca="1" si="31"/>
        <v/>
      </c>
      <c r="CA19" s="43" t="str">
        <f ca="1">IF(BY19&lt;&gt;"",RANK(BY19,BY4:BY23,CA3),"")</f>
        <v/>
      </c>
      <c r="CB19" s="45" t="str">
        <f ca="1">IF(BZ19&lt;&gt;"",RANK(BZ19,BZ4:BZ23,CB3),"")</f>
        <v/>
      </c>
      <c r="CC19" s="45" t="str">
        <f t="shared" ca="1" si="66"/>
        <v/>
      </c>
      <c r="CD19" s="30" t="str">
        <f ca="1">IF(BX19&lt;&gt;"",VLOOKUP(SMALL(BV4:BV23,16),BV4:BX23,3,FALSE),"")</f>
        <v/>
      </c>
      <c r="CE19" s="4"/>
      <c r="CF19" s="41" t="str">
        <f t="shared" ca="1" si="67"/>
        <v/>
      </c>
      <c r="CG19" s="37" t="str">
        <f t="shared" ca="1" si="68"/>
        <v/>
      </c>
      <c r="CH19" s="42" t="str">
        <f t="shared" ca="1" si="32"/>
        <v/>
      </c>
      <c r="CI19" s="43" t="str">
        <f t="shared" ca="1" si="33"/>
        <v/>
      </c>
      <c r="CJ19" s="44" t="str">
        <f t="shared" ca="1" si="34"/>
        <v/>
      </c>
      <c r="CK19" s="43" t="str">
        <f ca="1">IF(CI19&lt;&gt;"",RANK(CI19,CI4:CI23,CK3),"")</f>
        <v/>
      </c>
      <c r="CL19" s="45" t="str">
        <f ca="1">IF(CJ19&lt;&gt;"",RANK(CJ19,CJ4:CJ23,CL3),"")</f>
        <v/>
      </c>
      <c r="CM19" s="45" t="str">
        <f t="shared" ca="1" si="69"/>
        <v/>
      </c>
      <c r="CN19" s="30" t="str">
        <f ca="1">IF(CH19&lt;&gt;"",VLOOKUP(SMALL(CF4:CF23,16),CF4:CH23,3,FALSE),"")</f>
        <v/>
      </c>
      <c r="CO19" s="4"/>
      <c r="CP19" s="41" t="str">
        <f t="shared" ca="1" si="70"/>
        <v/>
      </c>
      <c r="CQ19" s="37" t="str">
        <f t="shared" ca="1" si="71"/>
        <v/>
      </c>
      <c r="CR19" s="42" t="str">
        <f t="shared" ca="1" si="35"/>
        <v/>
      </c>
      <c r="CS19" s="43" t="str">
        <f t="shared" ca="1" si="36"/>
        <v/>
      </c>
      <c r="CT19" s="44" t="str">
        <f t="shared" ca="1" si="37"/>
        <v/>
      </c>
      <c r="CU19" s="43" t="str">
        <f ca="1">IF(CS19&lt;&gt;"",RANK(CS19,CS4:CS23,CU3),"")</f>
        <v/>
      </c>
      <c r="CV19" s="45" t="str">
        <f ca="1">IF(CT19&lt;&gt;"",RANK(CT19,CT4:CT23,CV3),"")</f>
        <v/>
      </c>
      <c r="CW19" s="45" t="str">
        <f t="shared" ca="1" si="72"/>
        <v/>
      </c>
      <c r="CX19" s="30" t="str">
        <f ca="1">IF(CR19&lt;&gt;"",VLOOKUP(SMALL(CP4:CP23,16),CP4:CR23,3,FALSE),"")</f>
        <v/>
      </c>
      <c r="CY19" s="4"/>
      <c r="CZ19" s="41" t="str">
        <f t="shared" ca="1" si="73"/>
        <v/>
      </c>
      <c r="DA19" s="37" t="str">
        <f t="shared" ca="1" si="74"/>
        <v/>
      </c>
      <c r="DB19" s="42" t="str">
        <f t="shared" ca="1" si="38"/>
        <v/>
      </c>
      <c r="DC19" s="43" t="str">
        <f t="shared" ca="1" si="39"/>
        <v/>
      </c>
      <c r="DD19" s="44" t="str">
        <f t="shared" ca="1" si="40"/>
        <v/>
      </c>
      <c r="DE19" s="43" t="str">
        <f ca="1">IF(DC19&lt;&gt;"",RANK(DC19,DC4:DC23,DE3),"")</f>
        <v/>
      </c>
      <c r="DF19" s="45" t="str">
        <f ca="1">IF(DD19&lt;&gt;"",RANK(DD19,DD4:DD23,DF3),"")</f>
        <v/>
      </c>
      <c r="DG19" s="45" t="str">
        <f t="shared" ca="1" si="75"/>
        <v/>
      </c>
      <c r="DH19" s="30" t="str">
        <f ca="1">IF(DB19&lt;&gt;"",VLOOKUP(SMALL(CZ4:CZ23,16),CZ4:DB23,3,FALSE),"")</f>
        <v/>
      </c>
      <c r="DI19" s="4"/>
      <c r="DJ19" s="41" t="str">
        <f t="shared" ca="1" si="76"/>
        <v/>
      </c>
      <c r="DK19" s="37" t="str">
        <f t="shared" ca="1" si="77"/>
        <v/>
      </c>
      <c r="DL19" s="42" t="str">
        <f t="shared" ca="1" si="41"/>
        <v/>
      </c>
      <c r="DM19" s="43" t="str">
        <f t="shared" ca="1" si="42"/>
        <v/>
      </c>
      <c r="DN19" s="44" t="str">
        <f t="shared" ca="1" si="43"/>
        <v/>
      </c>
      <c r="DO19" s="43" t="str">
        <f ca="1">IF(DM19&lt;&gt;"",RANK(DM19,DM4:DM23,DO3),"")</f>
        <v/>
      </c>
      <c r="DP19" s="45" t="str">
        <f ca="1">IF(DN19&lt;&gt;"",RANK(DN19,DN4:DN23,DP3),"")</f>
        <v/>
      </c>
      <c r="DQ19" s="45" t="str">
        <f t="shared" ca="1" si="78"/>
        <v/>
      </c>
      <c r="DR19" s="30" t="str">
        <f ca="1">IF(DL19&lt;&gt;"",VLOOKUP(SMALL(DJ4:DJ23,16),DJ4:DL23,3,FALSE),"")</f>
        <v/>
      </c>
      <c r="DS19" s="4"/>
      <c r="DT19" s="41" t="str">
        <f t="shared" ca="1" si="79"/>
        <v/>
      </c>
      <c r="DU19" s="37" t="str">
        <f t="shared" ca="1" si="80"/>
        <v/>
      </c>
      <c r="DV19" s="42" t="str">
        <f t="shared" ca="1" si="44"/>
        <v/>
      </c>
      <c r="DW19" s="43" t="str">
        <f t="shared" ca="1" si="81"/>
        <v/>
      </c>
      <c r="DX19" s="44" t="str">
        <f t="shared" ca="1" si="45"/>
        <v/>
      </c>
      <c r="DY19" s="43" t="str">
        <f ca="1">IF(DW19&lt;&gt;"",RANK(DW19,DW4:DW23,DY3),"")</f>
        <v/>
      </c>
      <c r="DZ19" s="45" t="str">
        <f ca="1">IF(DX19&lt;&gt;"",RANK(DX19,DX4:DX23,DZ3),"")</f>
        <v/>
      </c>
      <c r="EA19" s="45" t="str">
        <f t="shared" ca="1" si="82"/>
        <v/>
      </c>
      <c r="EB19" s="30" t="str">
        <f ca="1">IF(DV19&lt;&gt;"",VLOOKUP(SMALL(DT4:DT23,16),DT4:DV23,3,FALSE),"")</f>
        <v/>
      </c>
    </row>
    <row r="20" spans="1:132" x14ac:dyDescent="0.3">
      <c r="A20" s="15"/>
      <c r="B20" s="32">
        <f ca="1">IF(A20=1,0,[1]Partants!A18)</f>
        <v>0</v>
      </c>
      <c r="C20" s="33">
        <f ca="1">[1]Partants!B18</f>
        <v>0</v>
      </c>
      <c r="D20" s="34">
        <f ca="1">[1]Partants!E18</f>
        <v>0</v>
      </c>
      <c r="E20" s="18" t="e">
        <f t="shared" ca="1" si="46"/>
        <v>#NAME?</v>
      </c>
      <c r="F20" s="32" t="str">
        <f t="shared" ca="1" si="83"/>
        <v/>
      </c>
      <c r="G20" s="35" t="str">
        <f t="shared" ca="1" si="84"/>
        <v/>
      </c>
      <c r="H20" s="32" t="str">
        <f t="shared" ca="1" si="85"/>
        <v/>
      </c>
      <c r="I20" s="35" t="str">
        <f t="shared" ca="1" si="86"/>
        <v/>
      </c>
      <c r="J20" s="32" t="str">
        <f t="shared" ca="1" si="87"/>
        <v/>
      </c>
      <c r="K20" s="35" t="str">
        <f t="shared" ca="1" si="88"/>
        <v/>
      </c>
      <c r="L20" s="32" t="str">
        <f t="shared" ca="1" si="93"/>
        <v/>
      </c>
      <c r="M20" s="35" t="str">
        <f t="shared" ca="1" si="94"/>
        <v/>
      </c>
      <c r="N20" s="32" t="str">
        <f t="shared" ca="1" si="95"/>
        <v/>
      </c>
      <c r="O20" s="35" t="str">
        <f t="shared" ca="1" si="96"/>
        <v/>
      </c>
      <c r="P20" s="36" t="str">
        <f t="shared" ca="1" si="97"/>
        <v/>
      </c>
      <c r="Q20" s="32" t="str">
        <f t="shared" ca="1" si="98"/>
        <v/>
      </c>
      <c r="R20" s="37" t="str">
        <f t="shared" ca="1" si="99"/>
        <v/>
      </c>
      <c r="T20" s="1">
        <v>17</v>
      </c>
      <c r="U20" s="9" t="str">
        <f t="shared" ca="1" si="89"/>
        <v/>
      </c>
      <c r="V20" s="9" t="str">
        <f t="shared" ca="1" si="90"/>
        <v/>
      </c>
      <c r="W20" s="9" t="str">
        <f t="shared" ca="1" si="47"/>
        <v/>
      </c>
      <c r="X20" s="9" t="str">
        <f t="shared" ca="1" si="48"/>
        <v/>
      </c>
      <c r="Y20" s="9" t="str">
        <f t="shared" ca="1" si="49"/>
        <v/>
      </c>
      <c r="Z20" s="9" t="str">
        <f t="shared" ca="1" si="50"/>
        <v/>
      </c>
      <c r="AA20" s="9" t="str">
        <f t="shared" ca="1" si="91"/>
        <v/>
      </c>
      <c r="AB20" s="36" t="str">
        <f t="shared" ca="1" si="1"/>
        <v/>
      </c>
      <c r="AC20" s="35" t="str">
        <f t="shared" ca="1" si="2"/>
        <v/>
      </c>
      <c r="AD20" s="35" t="str">
        <f t="shared" ca="1" si="3"/>
        <v/>
      </c>
      <c r="AE20" s="35" t="str">
        <f t="shared" ca="1" si="4"/>
        <v/>
      </c>
      <c r="AF20" s="35" t="str">
        <f t="shared" ca="1" si="5"/>
        <v/>
      </c>
      <c r="AG20" s="37" t="str">
        <f t="shared" ca="1" si="6"/>
        <v/>
      </c>
      <c r="AH20" s="21" t="str">
        <f t="shared" ca="1" si="92"/>
        <v/>
      </c>
      <c r="AI20" s="22" t="str">
        <f ca="1">IF(B20&lt;&gt;0,IF(U20="",36,(SUM(AB20:AG20)-AVERAGE(AB20:AG20))+(B20*0.00000000001)),"")</f>
        <v/>
      </c>
      <c r="AJ20" s="36" t="str">
        <f t="shared" ca="1" si="52"/>
        <v/>
      </c>
      <c r="AK20" s="32" t="str">
        <f t="shared" ca="1" si="53"/>
        <v/>
      </c>
      <c r="AL20" s="35" t="str">
        <f t="shared" ca="1" si="8"/>
        <v/>
      </c>
      <c r="AM20" s="32" t="str">
        <f t="shared" ca="1" si="9"/>
        <v/>
      </c>
      <c r="AN20" s="35" t="str">
        <f t="shared" ca="1" si="10"/>
        <v/>
      </c>
      <c r="AO20" s="32" t="str">
        <f t="shared" ca="1" si="11"/>
        <v/>
      </c>
      <c r="AP20" s="32" t="str">
        <f t="shared" ca="1" si="54"/>
        <v/>
      </c>
      <c r="AQ20" s="38" t="str">
        <f ca="1">IF(B20&lt;&gt;0,((SUMPRODUCT((COUNTIF(AJ20:AO20,{1,2,3,4,5,10})=0)*{48,24,14,9,4,1})/100))+(B20*0.0000001),"")</f>
        <v/>
      </c>
      <c r="AR20" s="39" t="str">
        <f t="shared" ca="1" si="55"/>
        <v/>
      </c>
      <c r="AS20" s="36" t="str">
        <f t="shared" ca="1" si="12"/>
        <v/>
      </c>
      <c r="AT20" s="35" t="str">
        <f t="shared" ca="1" si="13"/>
        <v/>
      </c>
      <c r="AU20" s="37" t="str">
        <f t="shared" ca="1" si="14"/>
        <v/>
      </c>
      <c r="AV20" s="32" t="str">
        <f t="shared" ca="1" si="15"/>
        <v/>
      </c>
      <c r="AW20" s="35" t="str">
        <f t="shared" ca="1" si="56"/>
        <v/>
      </c>
      <c r="AX20" s="25" t="str">
        <f t="shared" ca="1" si="57"/>
        <v/>
      </c>
      <c r="AY20" s="40" t="str">
        <f t="shared" ca="1" si="58"/>
        <v/>
      </c>
      <c r="AZ20" s="36" t="str">
        <f t="shared" ca="1" si="16"/>
        <v/>
      </c>
      <c r="BA20" s="35" t="str">
        <f t="shared" ca="1" si="17"/>
        <v/>
      </c>
      <c r="BB20" s="37" t="str">
        <f t="shared" ca="1" si="18"/>
        <v/>
      </c>
      <c r="BC20" s="40" t="str">
        <f t="shared" ca="1" si="19"/>
        <v/>
      </c>
      <c r="BD20" s="40" t="str">
        <f t="shared" ca="1" si="20"/>
        <v/>
      </c>
      <c r="BE20" s="36" t="str">
        <f t="shared" ca="1" si="59"/>
        <v/>
      </c>
      <c r="BF20" s="35" t="str">
        <f t="shared" ca="1" si="21"/>
        <v/>
      </c>
      <c r="BG20" s="37" t="str">
        <f t="shared" ca="1" si="22"/>
        <v/>
      </c>
      <c r="BH20" s="32" t="str">
        <f t="shared" ca="1" si="23"/>
        <v/>
      </c>
      <c r="BI20" s="32" t="str">
        <f t="shared" ca="1" si="24"/>
        <v/>
      </c>
      <c r="BJ20" s="32" t="str">
        <f t="shared" ca="1" si="25"/>
        <v/>
      </c>
      <c r="BK20" s="32" t="str">
        <f t="shared" ca="1" si="26"/>
        <v/>
      </c>
      <c r="BL20" s="26" t="str">
        <f t="shared" ca="1" si="60"/>
        <v/>
      </c>
      <c r="BM20" s="40" t="str">
        <f t="shared" ca="1" si="27"/>
        <v/>
      </c>
      <c r="BN20" s="4"/>
      <c r="BO20" s="32" t="str">
        <f t="shared" ca="1" si="61"/>
        <v/>
      </c>
      <c r="BP20" s="32" t="str">
        <f t="shared" ca="1" si="28"/>
        <v/>
      </c>
      <c r="BQ20" s="32" t="str">
        <f t="shared" ca="1" si="62"/>
        <v/>
      </c>
      <c r="BR20" s="32" t="str">
        <f t="shared" ca="1" si="62"/>
        <v/>
      </c>
      <c r="BS20" s="32" t="str">
        <f t="shared" ca="1" si="63"/>
        <v/>
      </c>
      <c r="BT20" s="32" t="str">
        <f t="shared" ca="1" si="63"/>
        <v/>
      </c>
      <c r="BU20" s="4"/>
      <c r="BV20" s="41" t="str">
        <f t="shared" ca="1" si="64"/>
        <v/>
      </c>
      <c r="BW20" s="37" t="str">
        <f t="shared" ca="1" si="65"/>
        <v/>
      </c>
      <c r="BX20" s="42" t="str">
        <f t="shared" ca="1" si="29"/>
        <v/>
      </c>
      <c r="BY20" s="43" t="str">
        <f t="shared" ca="1" si="30"/>
        <v/>
      </c>
      <c r="BZ20" s="44" t="str">
        <f t="shared" ca="1" si="31"/>
        <v/>
      </c>
      <c r="CA20" s="43" t="str">
        <f ca="1">IF(BY20&lt;&gt;"",RANK(BY20,BY4:BY23,CA3),"")</f>
        <v/>
      </c>
      <c r="CB20" s="45" t="str">
        <f ca="1">IF(BZ20&lt;&gt;"",RANK(BZ20,BZ4:BZ23,CB3),"")</f>
        <v/>
      </c>
      <c r="CC20" s="45" t="str">
        <f t="shared" ca="1" si="66"/>
        <v/>
      </c>
      <c r="CD20" s="30" t="str">
        <f ca="1">IF(BX20&lt;&gt;"",VLOOKUP(SMALL(BV4:BV23,17),BV4:BX23,3,FALSE),"")</f>
        <v/>
      </c>
      <c r="CE20" s="4"/>
      <c r="CF20" s="41" t="str">
        <f t="shared" ca="1" si="67"/>
        <v/>
      </c>
      <c r="CG20" s="37" t="str">
        <f t="shared" ca="1" si="68"/>
        <v/>
      </c>
      <c r="CH20" s="42" t="str">
        <f t="shared" ca="1" si="32"/>
        <v/>
      </c>
      <c r="CI20" s="43" t="str">
        <f t="shared" ca="1" si="33"/>
        <v/>
      </c>
      <c r="CJ20" s="44" t="str">
        <f t="shared" ca="1" si="34"/>
        <v/>
      </c>
      <c r="CK20" s="43" t="str">
        <f ca="1">IF(CI20&lt;&gt;"",RANK(CI20,CI4:CI23,CK3),"")</f>
        <v/>
      </c>
      <c r="CL20" s="45" t="str">
        <f ca="1">IF(CJ20&lt;&gt;"",RANK(CJ20,CJ4:CJ23,CL3),"")</f>
        <v/>
      </c>
      <c r="CM20" s="45" t="str">
        <f t="shared" ca="1" si="69"/>
        <v/>
      </c>
      <c r="CN20" s="30" t="str">
        <f ca="1">IF(CH20&lt;&gt;"",VLOOKUP(SMALL(CF4:CF23,17),CF4:CH23,3,FALSE),"")</f>
        <v/>
      </c>
      <c r="CO20" s="4"/>
      <c r="CP20" s="41" t="str">
        <f t="shared" ca="1" si="70"/>
        <v/>
      </c>
      <c r="CQ20" s="37" t="str">
        <f t="shared" ca="1" si="71"/>
        <v/>
      </c>
      <c r="CR20" s="42" t="str">
        <f t="shared" ca="1" si="35"/>
        <v/>
      </c>
      <c r="CS20" s="43" t="str">
        <f t="shared" ca="1" si="36"/>
        <v/>
      </c>
      <c r="CT20" s="44" t="str">
        <f t="shared" ca="1" si="37"/>
        <v/>
      </c>
      <c r="CU20" s="43" t="str">
        <f ca="1">IF(CS20&lt;&gt;"",RANK(CS20,CS4:CS23,CU3),"")</f>
        <v/>
      </c>
      <c r="CV20" s="45" t="str">
        <f ca="1">IF(CT20&lt;&gt;"",RANK(CT20,CT4:CT23,CV3),"")</f>
        <v/>
      </c>
      <c r="CW20" s="45" t="str">
        <f t="shared" ca="1" si="72"/>
        <v/>
      </c>
      <c r="CX20" s="30" t="str">
        <f ca="1">IF(CR20&lt;&gt;"",VLOOKUP(SMALL(CP4:CP23,17),CP4:CR23,3,FALSE),"")</f>
        <v/>
      </c>
      <c r="CY20" s="4"/>
      <c r="CZ20" s="41" t="str">
        <f t="shared" ca="1" si="73"/>
        <v/>
      </c>
      <c r="DA20" s="37" t="str">
        <f t="shared" ca="1" si="74"/>
        <v/>
      </c>
      <c r="DB20" s="42" t="str">
        <f t="shared" ca="1" si="38"/>
        <v/>
      </c>
      <c r="DC20" s="43" t="str">
        <f t="shared" ca="1" si="39"/>
        <v/>
      </c>
      <c r="DD20" s="44" t="str">
        <f t="shared" ca="1" si="40"/>
        <v/>
      </c>
      <c r="DE20" s="43" t="str">
        <f ca="1">IF(DC20&lt;&gt;"",RANK(DC20,DC4:DC23,DE3),"")</f>
        <v/>
      </c>
      <c r="DF20" s="45" t="str">
        <f ca="1">IF(DD20&lt;&gt;"",RANK(DD20,DD4:DD23,DF3),"")</f>
        <v/>
      </c>
      <c r="DG20" s="45" t="str">
        <f t="shared" ca="1" si="75"/>
        <v/>
      </c>
      <c r="DH20" s="30" t="str">
        <f ca="1">IF(DB20&lt;&gt;"",VLOOKUP(SMALL(CZ4:CZ23,17),CZ4:DB23,3,FALSE),"")</f>
        <v/>
      </c>
      <c r="DI20" s="4"/>
      <c r="DJ20" s="41" t="str">
        <f t="shared" ca="1" si="76"/>
        <v/>
      </c>
      <c r="DK20" s="37" t="str">
        <f t="shared" ca="1" si="77"/>
        <v/>
      </c>
      <c r="DL20" s="42" t="str">
        <f t="shared" ca="1" si="41"/>
        <v/>
      </c>
      <c r="DM20" s="43" t="str">
        <f t="shared" ca="1" si="42"/>
        <v/>
      </c>
      <c r="DN20" s="44" t="str">
        <f t="shared" ca="1" si="43"/>
        <v/>
      </c>
      <c r="DO20" s="43" t="str">
        <f ca="1">IF(DM20&lt;&gt;"",RANK(DM20,DM4:DM23,DO3),"")</f>
        <v/>
      </c>
      <c r="DP20" s="45" t="str">
        <f ca="1">IF(DN20&lt;&gt;"",RANK(DN20,DN4:DN23,DP3),"")</f>
        <v/>
      </c>
      <c r="DQ20" s="45" t="str">
        <f t="shared" ca="1" si="78"/>
        <v/>
      </c>
      <c r="DR20" s="30" t="str">
        <f ca="1">IF(DL20&lt;&gt;"",VLOOKUP(SMALL(DJ4:DJ23,17),DJ4:DL23,3,FALSE),"")</f>
        <v/>
      </c>
      <c r="DS20" s="4"/>
      <c r="DT20" s="41" t="str">
        <f t="shared" ca="1" si="79"/>
        <v/>
      </c>
      <c r="DU20" s="37" t="str">
        <f t="shared" ca="1" si="80"/>
        <v/>
      </c>
      <c r="DV20" s="42" t="str">
        <f t="shared" ca="1" si="44"/>
        <v/>
      </c>
      <c r="DW20" s="43" t="str">
        <f t="shared" ca="1" si="81"/>
        <v/>
      </c>
      <c r="DX20" s="44" t="str">
        <f t="shared" ca="1" si="45"/>
        <v/>
      </c>
      <c r="DY20" s="43" t="str">
        <f ca="1">IF(DW20&lt;&gt;"",RANK(DW20,DW4:DW23,DY3),"")</f>
        <v/>
      </c>
      <c r="DZ20" s="45" t="str">
        <f ca="1">IF(DX20&lt;&gt;"",RANK(DX20,DX4:DX23,DZ3),"")</f>
        <v/>
      </c>
      <c r="EA20" s="45" t="str">
        <f t="shared" ca="1" si="82"/>
        <v/>
      </c>
      <c r="EB20" s="30" t="str">
        <f ca="1">IF(DV20&lt;&gt;"",VLOOKUP(SMALL(DT4:DT23,17),DT4:DV23,3,FALSE),"")</f>
        <v/>
      </c>
    </row>
    <row r="21" spans="1:132" x14ac:dyDescent="0.3">
      <c r="A21" s="15"/>
      <c r="B21" s="32">
        <f ca="1">IF(A21=1,0,[1]Partants!A19)</f>
        <v>0</v>
      </c>
      <c r="C21" s="33">
        <f ca="1">[1]Partants!B19</f>
        <v>0</v>
      </c>
      <c r="D21" s="34">
        <f ca="1">[1]Partants!E19</f>
        <v>0</v>
      </c>
      <c r="E21" s="18" t="e">
        <f t="shared" ca="1" si="46"/>
        <v>#NAME?</v>
      </c>
      <c r="F21" s="32" t="str">
        <f t="shared" ca="1" si="83"/>
        <v/>
      </c>
      <c r="G21" s="35" t="str">
        <f t="shared" ca="1" si="84"/>
        <v/>
      </c>
      <c r="H21" s="32" t="str">
        <f t="shared" ca="1" si="85"/>
        <v/>
      </c>
      <c r="I21" s="35" t="str">
        <f t="shared" ca="1" si="86"/>
        <v/>
      </c>
      <c r="J21" s="32" t="str">
        <f t="shared" ca="1" si="87"/>
        <v/>
      </c>
      <c r="K21" s="35" t="str">
        <f t="shared" ca="1" si="88"/>
        <v/>
      </c>
      <c r="L21" s="32" t="str">
        <f t="shared" ca="1" si="93"/>
        <v/>
      </c>
      <c r="M21" s="35" t="str">
        <f t="shared" ca="1" si="94"/>
        <v/>
      </c>
      <c r="N21" s="32" t="str">
        <f t="shared" ca="1" si="95"/>
        <v/>
      </c>
      <c r="O21" s="35" t="str">
        <f t="shared" ca="1" si="96"/>
        <v/>
      </c>
      <c r="P21" s="36" t="str">
        <f t="shared" ca="1" si="97"/>
        <v/>
      </c>
      <c r="Q21" s="32" t="str">
        <f t="shared" ca="1" si="98"/>
        <v/>
      </c>
      <c r="R21" s="37" t="str">
        <f t="shared" ca="1" si="99"/>
        <v/>
      </c>
      <c r="T21" s="1">
        <v>18</v>
      </c>
      <c r="U21" s="9" t="str">
        <f t="shared" ca="1" si="89"/>
        <v/>
      </c>
      <c r="V21" s="9" t="str">
        <f t="shared" ca="1" si="90"/>
        <v/>
      </c>
      <c r="W21" s="9" t="str">
        <f t="shared" ca="1" si="47"/>
        <v/>
      </c>
      <c r="X21" s="9" t="str">
        <f t="shared" ca="1" si="48"/>
        <v/>
      </c>
      <c r="Y21" s="9" t="str">
        <f t="shared" ca="1" si="49"/>
        <v/>
      </c>
      <c r="Z21" s="9" t="str">
        <f t="shared" ca="1" si="50"/>
        <v/>
      </c>
      <c r="AA21" s="9" t="str">
        <f t="shared" ca="1" si="91"/>
        <v/>
      </c>
      <c r="AB21" s="36" t="str">
        <f t="shared" ca="1" si="1"/>
        <v/>
      </c>
      <c r="AC21" s="35" t="str">
        <f t="shared" ca="1" si="2"/>
        <v/>
      </c>
      <c r="AD21" s="35" t="str">
        <f t="shared" ca="1" si="3"/>
        <v/>
      </c>
      <c r="AE21" s="35" t="str">
        <f t="shared" ca="1" si="4"/>
        <v/>
      </c>
      <c r="AF21" s="35" t="str">
        <f t="shared" ca="1" si="5"/>
        <v/>
      </c>
      <c r="AG21" s="37" t="str">
        <f t="shared" ca="1" si="6"/>
        <v/>
      </c>
      <c r="AH21" s="21" t="str">
        <f t="shared" ca="1" si="92"/>
        <v/>
      </c>
      <c r="AI21" s="22" t="str">
        <f ca="1">IF(B21&lt;&gt;0,IF(U21="",36,(SUM(AB21:AG21)-AVERAGE(AB21:AG21))+(B21*0.00000000001)),"")</f>
        <v/>
      </c>
      <c r="AJ21" s="36" t="str">
        <f t="shared" ca="1" si="52"/>
        <v/>
      </c>
      <c r="AK21" s="32" t="str">
        <f t="shared" ca="1" si="53"/>
        <v/>
      </c>
      <c r="AL21" s="35" t="str">
        <f t="shared" ca="1" si="8"/>
        <v/>
      </c>
      <c r="AM21" s="32" t="str">
        <f t="shared" ca="1" si="9"/>
        <v/>
      </c>
      <c r="AN21" s="35" t="str">
        <f t="shared" ca="1" si="10"/>
        <v/>
      </c>
      <c r="AO21" s="32" t="str">
        <f t="shared" ca="1" si="11"/>
        <v/>
      </c>
      <c r="AP21" s="32" t="str">
        <f t="shared" ca="1" si="54"/>
        <v/>
      </c>
      <c r="AQ21" s="38" t="str">
        <f ca="1">IF(B21&lt;&gt;0,((SUMPRODUCT((COUNTIF(AJ21:AO21,{1,2,3,4,5,10})=0)*{48,24,14,9,4,1})/100))+(B21*0.0000001),"")</f>
        <v/>
      </c>
      <c r="AR21" s="39" t="str">
        <f t="shared" ca="1" si="55"/>
        <v/>
      </c>
      <c r="AS21" s="36" t="str">
        <f t="shared" ca="1" si="12"/>
        <v/>
      </c>
      <c r="AT21" s="35" t="str">
        <f t="shared" ca="1" si="13"/>
        <v/>
      </c>
      <c r="AU21" s="37" t="str">
        <f t="shared" ca="1" si="14"/>
        <v/>
      </c>
      <c r="AV21" s="32" t="str">
        <f t="shared" ca="1" si="15"/>
        <v/>
      </c>
      <c r="AW21" s="35" t="str">
        <f t="shared" ca="1" si="56"/>
        <v/>
      </c>
      <c r="AX21" s="25" t="str">
        <f t="shared" ca="1" si="57"/>
        <v/>
      </c>
      <c r="AY21" s="40" t="str">
        <f t="shared" ca="1" si="58"/>
        <v/>
      </c>
      <c r="AZ21" s="36" t="str">
        <f t="shared" ca="1" si="16"/>
        <v/>
      </c>
      <c r="BA21" s="35" t="str">
        <f t="shared" ca="1" si="17"/>
        <v/>
      </c>
      <c r="BB21" s="37" t="str">
        <f t="shared" ca="1" si="18"/>
        <v/>
      </c>
      <c r="BC21" s="40" t="str">
        <f t="shared" ca="1" si="19"/>
        <v/>
      </c>
      <c r="BD21" s="40" t="str">
        <f t="shared" ca="1" si="20"/>
        <v/>
      </c>
      <c r="BE21" s="36" t="str">
        <f t="shared" ca="1" si="59"/>
        <v/>
      </c>
      <c r="BF21" s="35" t="str">
        <f t="shared" ca="1" si="21"/>
        <v/>
      </c>
      <c r="BG21" s="37" t="str">
        <f t="shared" ca="1" si="22"/>
        <v/>
      </c>
      <c r="BH21" s="32" t="str">
        <f t="shared" ca="1" si="23"/>
        <v/>
      </c>
      <c r="BI21" s="32" t="str">
        <f t="shared" ca="1" si="24"/>
        <v/>
      </c>
      <c r="BJ21" s="32" t="str">
        <f t="shared" ca="1" si="25"/>
        <v/>
      </c>
      <c r="BK21" s="32" t="str">
        <f t="shared" ca="1" si="26"/>
        <v/>
      </c>
      <c r="BL21" s="26" t="str">
        <f t="shared" ca="1" si="60"/>
        <v/>
      </c>
      <c r="BM21" s="40" t="str">
        <f t="shared" ca="1" si="27"/>
        <v/>
      </c>
      <c r="BN21" s="4"/>
      <c r="BO21" s="32" t="str">
        <f t="shared" ca="1" si="61"/>
        <v/>
      </c>
      <c r="BP21" s="32" t="str">
        <f t="shared" ca="1" si="28"/>
        <v/>
      </c>
      <c r="BQ21" s="32" t="str">
        <f t="shared" ca="1" si="62"/>
        <v/>
      </c>
      <c r="BR21" s="32" t="str">
        <f t="shared" ca="1" si="62"/>
        <v/>
      </c>
      <c r="BS21" s="32" t="str">
        <f t="shared" ca="1" si="63"/>
        <v/>
      </c>
      <c r="BT21" s="32" t="str">
        <f t="shared" ca="1" si="63"/>
        <v/>
      </c>
      <c r="BU21" s="4"/>
      <c r="BV21" s="41" t="str">
        <f t="shared" ca="1" si="64"/>
        <v/>
      </c>
      <c r="BW21" s="37" t="str">
        <f t="shared" ca="1" si="65"/>
        <v/>
      </c>
      <c r="BX21" s="42" t="str">
        <f t="shared" ca="1" si="29"/>
        <v/>
      </c>
      <c r="BY21" s="43" t="str">
        <f t="shared" ca="1" si="30"/>
        <v/>
      </c>
      <c r="BZ21" s="44" t="str">
        <f t="shared" ca="1" si="31"/>
        <v/>
      </c>
      <c r="CA21" s="43" t="str">
        <f ca="1">IF(BY21&lt;&gt;"",RANK(BY21,BY4:BY23,CA3),"")</f>
        <v/>
      </c>
      <c r="CB21" s="45" t="str">
        <f ca="1">IF(BZ21&lt;&gt;"",RANK(BZ21,BZ4:BZ23,CB3),"")</f>
        <v/>
      </c>
      <c r="CC21" s="45" t="str">
        <f t="shared" ca="1" si="66"/>
        <v/>
      </c>
      <c r="CD21" s="30" t="str">
        <f ca="1">IF(BX21&lt;&gt;"",VLOOKUP(SMALL(BV4:BV23,18),BV4:BX23,3,FALSE),"")</f>
        <v/>
      </c>
      <c r="CE21" s="4"/>
      <c r="CF21" s="41" t="str">
        <f t="shared" ca="1" si="67"/>
        <v/>
      </c>
      <c r="CG21" s="37" t="str">
        <f t="shared" ca="1" si="68"/>
        <v/>
      </c>
      <c r="CH21" s="42" t="str">
        <f t="shared" ca="1" si="32"/>
        <v/>
      </c>
      <c r="CI21" s="43" t="str">
        <f t="shared" ca="1" si="33"/>
        <v/>
      </c>
      <c r="CJ21" s="44" t="str">
        <f t="shared" ca="1" si="34"/>
        <v/>
      </c>
      <c r="CK21" s="43" t="str">
        <f ca="1">IF(CI21&lt;&gt;"",RANK(CI21,CI4:CI23,CK3),"")</f>
        <v/>
      </c>
      <c r="CL21" s="45" t="str">
        <f ca="1">IF(CJ21&lt;&gt;"",RANK(CJ21,CJ4:CJ23,CL3),"")</f>
        <v/>
      </c>
      <c r="CM21" s="45" t="str">
        <f t="shared" ca="1" si="69"/>
        <v/>
      </c>
      <c r="CN21" s="30" t="str">
        <f ca="1">IF(CH21&lt;&gt;"",VLOOKUP(SMALL(CF4:CF23,18),CF4:CH23,3,FALSE),"")</f>
        <v/>
      </c>
      <c r="CO21" s="4"/>
      <c r="CP21" s="41" t="str">
        <f t="shared" ca="1" si="70"/>
        <v/>
      </c>
      <c r="CQ21" s="37" t="str">
        <f t="shared" ca="1" si="71"/>
        <v/>
      </c>
      <c r="CR21" s="42" t="str">
        <f t="shared" ca="1" si="35"/>
        <v/>
      </c>
      <c r="CS21" s="43" t="str">
        <f t="shared" ca="1" si="36"/>
        <v/>
      </c>
      <c r="CT21" s="44" t="str">
        <f t="shared" ca="1" si="37"/>
        <v/>
      </c>
      <c r="CU21" s="43" t="str">
        <f ca="1">IF(CS21&lt;&gt;"",RANK(CS21,CS4:CS23,CU3),"")</f>
        <v/>
      </c>
      <c r="CV21" s="45" t="str">
        <f ca="1">IF(CT21&lt;&gt;"",RANK(CT21,CT4:CT23,CV3),"")</f>
        <v/>
      </c>
      <c r="CW21" s="45" t="str">
        <f t="shared" ca="1" si="72"/>
        <v/>
      </c>
      <c r="CX21" s="30" t="str">
        <f ca="1">IF(CR21&lt;&gt;"",VLOOKUP(SMALL(CP4:CP23,18),CP4:CR23,3,FALSE),"")</f>
        <v/>
      </c>
      <c r="CY21" s="4"/>
      <c r="CZ21" s="41" t="str">
        <f t="shared" ca="1" si="73"/>
        <v/>
      </c>
      <c r="DA21" s="37" t="str">
        <f t="shared" ca="1" si="74"/>
        <v/>
      </c>
      <c r="DB21" s="42" t="str">
        <f t="shared" ca="1" si="38"/>
        <v/>
      </c>
      <c r="DC21" s="43" t="str">
        <f t="shared" ca="1" si="39"/>
        <v/>
      </c>
      <c r="DD21" s="44" t="str">
        <f t="shared" ca="1" si="40"/>
        <v/>
      </c>
      <c r="DE21" s="43" t="str">
        <f ca="1">IF(DC21&lt;&gt;"",RANK(DC21,DC4:DC23,DE3),"")</f>
        <v/>
      </c>
      <c r="DF21" s="45" t="str">
        <f ca="1">IF(DD21&lt;&gt;"",RANK(DD21,DD4:DD23,DF3),"")</f>
        <v/>
      </c>
      <c r="DG21" s="45" t="str">
        <f t="shared" ca="1" si="75"/>
        <v/>
      </c>
      <c r="DH21" s="30" t="str">
        <f ca="1">IF(DB21&lt;&gt;"",VLOOKUP(SMALL(CZ4:CZ23,18),CZ4:DB23,3,FALSE),"")</f>
        <v/>
      </c>
      <c r="DI21" s="4"/>
      <c r="DJ21" s="41" t="str">
        <f t="shared" ca="1" si="76"/>
        <v/>
      </c>
      <c r="DK21" s="37" t="str">
        <f t="shared" ca="1" si="77"/>
        <v/>
      </c>
      <c r="DL21" s="42" t="str">
        <f t="shared" ca="1" si="41"/>
        <v/>
      </c>
      <c r="DM21" s="43" t="str">
        <f t="shared" ca="1" si="42"/>
        <v/>
      </c>
      <c r="DN21" s="44" t="str">
        <f t="shared" ca="1" si="43"/>
        <v/>
      </c>
      <c r="DO21" s="43" t="str">
        <f ca="1">IF(DM21&lt;&gt;"",RANK(DM21,DM4:DM23,DO3),"")</f>
        <v/>
      </c>
      <c r="DP21" s="45" t="str">
        <f ca="1">IF(DN21&lt;&gt;"",RANK(DN21,DN4:DN23,DP3),"")</f>
        <v/>
      </c>
      <c r="DQ21" s="45" t="str">
        <f t="shared" ca="1" si="78"/>
        <v/>
      </c>
      <c r="DR21" s="30" t="str">
        <f ca="1">IF(DL21&lt;&gt;"",VLOOKUP(SMALL(DJ4:DJ23,18),DJ4:DL23,3,FALSE),"")</f>
        <v/>
      </c>
      <c r="DS21" s="4"/>
      <c r="DT21" s="41" t="str">
        <f t="shared" ca="1" si="79"/>
        <v/>
      </c>
      <c r="DU21" s="37" t="str">
        <f t="shared" ca="1" si="80"/>
        <v/>
      </c>
      <c r="DV21" s="42" t="str">
        <f t="shared" ca="1" si="44"/>
        <v/>
      </c>
      <c r="DW21" s="43" t="str">
        <f t="shared" ca="1" si="81"/>
        <v/>
      </c>
      <c r="DX21" s="44" t="str">
        <f t="shared" ca="1" si="45"/>
        <v/>
      </c>
      <c r="DY21" s="43" t="str">
        <f ca="1">IF(DW21&lt;&gt;"",RANK(DW21,DW4:DW23,DY3),"")</f>
        <v/>
      </c>
      <c r="DZ21" s="45" t="str">
        <f ca="1">IF(DX21&lt;&gt;"",RANK(DX21,DX4:DX23,DZ3),"")</f>
        <v/>
      </c>
      <c r="EA21" s="45" t="str">
        <f t="shared" ca="1" si="82"/>
        <v/>
      </c>
      <c r="EB21" s="30" t="str">
        <f ca="1">IF(DV21&lt;&gt;"",VLOOKUP(SMALL(DT4:DT23,18),DT4:DV23,3,FALSE),"")</f>
        <v/>
      </c>
    </row>
    <row r="22" spans="1:132" x14ac:dyDescent="0.3">
      <c r="A22" s="15"/>
      <c r="B22" s="32">
        <f ca="1">IF(A22=1,0,[1]Partants!A20)</f>
        <v>0</v>
      </c>
      <c r="C22" s="33">
        <f ca="1">[1]Partants!B20</f>
        <v>0</v>
      </c>
      <c r="D22" s="34">
        <f ca="1">[1]Partants!E20</f>
        <v>0</v>
      </c>
      <c r="E22" s="18" t="e">
        <f t="shared" ca="1" si="46"/>
        <v>#NAME?</v>
      </c>
      <c r="F22" s="32" t="str">
        <f t="shared" ca="1" si="83"/>
        <v/>
      </c>
      <c r="G22" s="35" t="str">
        <f t="shared" ca="1" si="84"/>
        <v/>
      </c>
      <c r="H22" s="32" t="str">
        <f t="shared" ca="1" si="85"/>
        <v/>
      </c>
      <c r="I22" s="35" t="str">
        <f t="shared" ca="1" si="86"/>
        <v/>
      </c>
      <c r="J22" s="32" t="str">
        <f t="shared" ca="1" si="87"/>
        <v/>
      </c>
      <c r="K22" s="35" t="str">
        <f t="shared" ca="1" si="88"/>
        <v/>
      </c>
      <c r="L22" s="32" t="str">
        <f t="shared" ca="1" si="93"/>
        <v/>
      </c>
      <c r="M22" s="35" t="str">
        <f t="shared" ca="1" si="94"/>
        <v/>
      </c>
      <c r="N22" s="32" t="str">
        <f t="shared" ca="1" si="95"/>
        <v/>
      </c>
      <c r="O22" s="35" t="str">
        <f t="shared" ca="1" si="96"/>
        <v/>
      </c>
      <c r="P22" s="36" t="str">
        <f t="shared" ca="1" si="97"/>
        <v/>
      </c>
      <c r="Q22" s="32" t="str">
        <f t="shared" ca="1" si="98"/>
        <v/>
      </c>
      <c r="R22" s="37" t="str">
        <f t="shared" ca="1" si="99"/>
        <v/>
      </c>
      <c r="T22" s="1">
        <v>19</v>
      </c>
      <c r="U22" s="9" t="str">
        <f t="shared" ca="1" si="89"/>
        <v/>
      </c>
      <c r="V22" s="9" t="str">
        <f t="shared" ca="1" si="90"/>
        <v/>
      </c>
      <c r="W22" s="9" t="str">
        <f t="shared" ca="1" si="47"/>
        <v/>
      </c>
      <c r="X22" s="9" t="str">
        <f t="shared" ca="1" si="48"/>
        <v/>
      </c>
      <c r="Y22" s="9" t="str">
        <f t="shared" ca="1" si="49"/>
        <v/>
      </c>
      <c r="Z22" s="9" t="str">
        <f t="shared" ca="1" si="50"/>
        <v/>
      </c>
      <c r="AA22" s="9" t="str">
        <f t="shared" ca="1" si="91"/>
        <v/>
      </c>
      <c r="AB22" s="36" t="str">
        <f t="shared" ca="1" si="1"/>
        <v/>
      </c>
      <c r="AC22" s="35" t="str">
        <f t="shared" ca="1" si="2"/>
        <v/>
      </c>
      <c r="AD22" s="35" t="str">
        <f t="shared" ca="1" si="3"/>
        <v/>
      </c>
      <c r="AE22" s="35" t="str">
        <f t="shared" ca="1" si="4"/>
        <v/>
      </c>
      <c r="AF22" s="35" t="str">
        <f t="shared" ca="1" si="5"/>
        <v/>
      </c>
      <c r="AG22" s="37" t="str">
        <f t="shared" ca="1" si="6"/>
        <v/>
      </c>
      <c r="AH22" s="21" t="str">
        <f t="shared" ca="1" si="92"/>
        <v/>
      </c>
      <c r="AI22" s="22" t="str">
        <f t="shared" ca="1" si="7"/>
        <v/>
      </c>
      <c r="AJ22" s="36" t="str">
        <f t="shared" ca="1" si="52"/>
        <v/>
      </c>
      <c r="AK22" s="32" t="str">
        <f t="shared" ca="1" si="53"/>
        <v/>
      </c>
      <c r="AL22" s="35" t="str">
        <f t="shared" ca="1" si="8"/>
        <v/>
      </c>
      <c r="AM22" s="32" t="str">
        <f t="shared" ca="1" si="9"/>
        <v/>
      </c>
      <c r="AN22" s="35" t="str">
        <f t="shared" ca="1" si="10"/>
        <v/>
      </c>
      <c r="AO22" s="32" t="str">
        <f t="shared" ca="1" si="11"/>
        <v/>
      </c>
      <c r="AP22" s="32" t="str">
        <f t="shared" ca="1" si="54"/>
        <v/>
      </c>
      <c r="AQ22" s="38" t="str">
        <f ca="1">IF(B22&lt;&gt;0,((SUMPRODUCT((COUNTIF(AJ22:AO22,{1,2,3,4,5,10})=0)*{48,24,14,9,4,1})/100))+(B22*0.0000001),"")</f>
        <v/>
      </c>
      <c r="AR22" s="39" t="str">
        <f t="shared" ca="1" si="55"/>
        <v/>
      </c>
      <c r="AS22" s="36" t="str">
        <f t="shared" ca="1" si="12"/>
        <v/>
      </c>
      <c r="AT22" s="35" t="str">
        <f t="shared" ca="1" si="13"/>
        <v/>
      </c>
      <c r="AU22" s="37" t="str">
        <f t="shared" ca="1" si="14"/>
        <v/>
      </c>
      <c r="AV22" s="32" t="str">
        <f t="shared" ca="1" si="15"/>
        <v/>
      </c>
      <c r="AW22" s="35" t="str">
        <f t="shared" ca="1" si="56"/>
        <v/>
      </c>
      <c r="AX22" s="25" t="str">
        <f t="shared" ca="1" si="57"/>
        <v/>
      </c>
      <c r="AY22" s="40" t="str">
        <f t="shared" ca="1" si="58"/>
        <v/>
      </c>
      <c r="AZ22" s="36" t="str">
        <f t="shared" ca="1" si="16"/>
        <v/>
      </c>
      <c r="BA22" s="35" t="str">
        <f t="shared" ca="1" si="17"/>
        <v/>
      </c>
      <c r="BB22" s="37" t="str">
        <f t="shared" ca="1" si="18"/>
        <v/>
      </c>
      <c r="BC22" s="40" t="str">
        <f t="shared" ca="1" si="19"/>
        <v/>
      </c>
      <c r="BD22" s="40" t="str">
        <f t="shared" ca="1" si="20"/>
        <v/>
      </c>
      <c r="BE22" s="36" t="str">
        <f t="shared" ca="1" si="59"/>
        <v/>
      </c>
      <c r="BF22" s="35" t="str">
        <f t="shared" ca="1" si="21"/>
        <v/>
      </c>
      <c r="BG22" s="37" t="str">
        <f t="shared" ca="1" si="22"/>
        <v/>
      </c>
      <c r="BH22" s="32" t="str">
        <f t="shared" ca="1" si="23"/>
        <v/>
      </c>
      <c r="BI22" s="32" t="str">
        <f t="shared" ca="1" si="24"/>
        <v/>
      </c>
      <c r="BJ22" s="32" t="str">
        <f t="shared" ca="1" si="25"/>
        <v/>
      </c>
      <c r="BK22" s="32" t="str">
        <f t="shared" ca="1" si="26"/>
        <v/>
      </c>
      <c r="BL22" s="26" t="str">
        <f t="shared" ca="1" si="60"/>
        <v/>
      </c>
      <c r="BM22" s="40" t="str">
        <f t="shared" ca="1" si="27"/>
        <v/>
      </c>
      <c r="BN22" s="4"/>
      <c r="BO22" s="32" t="str">
        <f t="shared" ca="1" si="61"/>
        <v/>
      </c>
      <c r="BP22" s="32" t="str">
        <f t="shared" ca="1" si="28"/>
        <v/>
      </c>
      <c r="BQ22" s="32" t="str">
        <f t="shared" ca="1" si="62"/>
        <v/>
      </c>
      <c r="BR22" s="32" t="str">
        <f t="shared" ca="1" si="62"/>
        <v/>
      </c>
      <c r="BS22" s="32" t="str">
        <f t="shared" ca="1" si="63"/>
        <v/>
      </c>
      <c r="BT22" s="32" t="str">
        <f t="shared" ca="1" si="63"/>
        <v/>
      </c>
      <c r="BU22" s="4"/>
      <c r="BV22" s="41" t="str">
        <f t="shared" ca="1" si="64"/>
        <v/>
      </c>
      <c r="BW22" s="37" t="str">
        <f t="shared" ca="1" si="65"/>
        <v/>
      </c>
      <c r="BX22" s="42" t="str">
        <f t="shared" ca="1" si="29"/>
        <v/>
      </c>
      <c r="BY22" s="43" t="str">
        <f t="shared" ca="1" si="30"/>
        <v/>
      </c>
      <c r="BZ22" s="44" t="str">
        <f t="shared" ca="1" si="31"/>
        <v/>
      </c>
      <c r="CA22" s="43" t="str">
        <f ca="1">IF(BY22&lt;&gt;"",RANK(BY22,BY4:BY23,CA3),"")</f>
        <v/>
      </c>
      <c r="CB22" s="45" t="str">
        <f ca="1">IF(BZ22&lt;&gt;"",RANK(BZ22,BZ4:BZ23,CB3),"")</f>
        <v/>
      </c>
      <c r="CC22" s="45" t="str">
        <f t="shared" ca="1" si="66"/>
        <v/>
      </c>
      <c r="CD22" s="30" t="str">
        <f ca="1">IF(BX22&lt;&gt;"",VLOOKUP(SMALL(BV4:BV23,19),BV4:BX23,3,FALSE),"")</f>
        <v/>
      </c>
      <c r="CE22" s="4"/>
      <c r="CF22" s="41" t="str">
        <f t="shared" ca="1" si="67"/>
        <v/>
      </c>
      <c r="CG22" s="37" t="str">
        <f t="shared" ca="1" si="68"/>
        <v/>
      </c>
      <c r="CH22" s="42" t="str">
        <f t="shared" ca="1" si="32"/>
        <v/>
      </c>
      <c r="CI22" s="43" t="str">
        <f t="shared" ca="1" si="33"/>
        <v/>
      </c>
      <c r="CJ22" s="44" t="str">
        <f t="shared" ca="1" si="34"/>
        <v/>
      </c>
      <c r="CK22" s="43" t="str">
        <f ca="1">IF(CI22&lt;&gt;"",RANK(CI22,CI4:CI23,CK3),"")</f>
        <v/>
      </c>
      <c r="CL22" s="45" t="str">
        <f ca="1">IF(CJ22&lt;&gt;"",RANK(CJ22,CJ4:CJ23,CL3),"")</f>
        <v/>
      </c>
      <c r="CM22" s="45" t="str">
        <f t="shared" ca="1" si="69"/>
        <v/>
      </c>
      <c r="CN22" s="30" t="str">
        <f ca="1">IF(CH22&lt;&gt;"",VLOOKUP(SMALL(CF4:CF23,19),CF4:CH23,3,FALSE),"")</f>
        <v/>
      </c>
      <c r="CO22" s="4"/>
      <c r="CP22" s="41" t="str">
        <f t="shared" ca="1" si="70"/>
        <v/>
      </c>
      <c r="CQ22" s="37" t="str">
        <f t="shared" ca="1" si="71"/>
        <v/>
      </c>
      <c r="CR22" s="42" t="str">
        <f t="shared" ca="1" si="35"/>
        <v/>
      </c>
      <c r="CS22" s="43" t="str">
        <f t="shared" ca="1" si="36"/>
        <v/>
      </c>
      <c r="CT22" s="44" t="str">
        <f t="shared" ca="1" si="37"/>
        <v/>
      </c>
      <c r="CU22" s="43" t="str">
        <f ca="1">IF(CS22&lt;&gt;"",RANK(CS22,CS4:CS23,CU3),"")</f>
        <v/>
      </c>
      <c r="CV22" s="45" t="str">
        <f ca="1">IF(CT22&lt;&gt;"",RANK(CT22,CT4:CT23,CV3),"")</f>
        <v/>
      </c>
      <c r="CW22" s="45" t="str">
        <f t="shared" ca="1" si="72"/>
        <v/>
      </c>
      <c r="CX22" s="30" t="str">
        <f ca="1">IF(CR22&lt;&gt;"",VLOOKUP(SMALL(CP4:CP23,19),CP4:CR23,3,FALSE),"")</f>
        <v/>
      </c>
      <c r="CY22" s="4"/>
      <c r="CZ22" s="41" t="str">
        <f t="shared" ca="1" si="73"/>
        <v/>
      </c>
      <c r="DA22" s="37" t="str">
        <f t="shared" ca="1" si="74"/>
        <v/>
      </c>
      <c r="DB22" s="42" t="str">
        <f t="shared" ca="1" si="38"/>
        <v/>
      </c>
      <c r="DC22" s="43" t="str">
        <f t="shared" ca="1" si="39"/>
        <v/>
      </c>
      <c r="DD22" s="44" t="str">
        <f t="shared" ca="1" si="40"/>
        <v/>
      </c>
      <c r="DE22" s="43" t="str">
        <f ca="1">IF(DC22&lt;&gt;"",RANK(DC22,DC4:DC23,DE3),"")</f>
        <v/>
      </c>
      <c r="DF22" s="45" t="str">
        <f ca="1">IF(DD22&lt;&gt;"",RANK(DD22,DD4:DD23,DF3),"")</f>
        <v/>
      </c>
      <c r="DG22" s="45" t="str">
        <f t="shared" ca="1" si="75"/>
        <v/>
      </c>
      <c r="DH22" s="30" t="str">
        <f ca="1">IF(DB22&lt;&gt;"",VLOOKUP(SMALL(CZ4:CZ23,19),CZ4:DB23,3,FALSE),"")</f>
        <v/>
      </c>
      <c r="DI22" s="4"/>
      <c r="DJ22" s="41" t="str">
        <f t="shared" ca="1" si="76"/>
        <v/>
      </c>
      <c r="DK22" s="37" t="str">
        <f t="shared" ca="1" si="77"/>
        <v/>
      </c>
      <c r="DL22" s="42" t="str">
        <f t="shared" ca="1" si="41"/>
        <v/>
      </c>
      <c r="DM22" s="43" t="str">
        <f t="shared" ca="1" si="42"/>
        <v/>
      </c>
      <c r="DN22" s="44" t="str">
        <f t="shared" ca="1" si="43"/>
        <v/>
      </c>
      <c r="DO22" s="43" t="str">
        <f ca="1">IF(DM22&lt;&gt;"",RANK(DM22,DM4:DM23,DO3),"")</f>
        <v/>
      </c>
      <c r="DP22" s="45" t="str">
        <f ca="1">IF(DN22&lt;&gt;"",RANK(DN22,DN4:DN23,DP3),"")</f>
        <v/>
      </c>
      <c r="DQ22" s="45" t="str">
        <f t="shared" ca="1" si="78"/>
        <v/>
      </c>
      <c r="DR22" s="30" t="str">
        <f ca="1">IF(DL22&lt;&gt;"",VLOOKUP(SMALL(DJ4:DJ23,19),DJ4:DL23,3,FALSE),"")</f>
        <v/>
      </c>
      <c r="DS22" s="4"/>
      <c r="DT22" s="41" t="str">
        <f t="shared" ca="1" si="79"/>
        <v/>
      </c>
      <c r="DU22" s="37" t="str">
        <f t="shared" ca="1" si="80"/>
        <v/>
      </c>
      <c r="DV22" s="42" t="str">
        <f t="shared" ca="1" si="44"/>
        <v/>
      </c>
      <c r="DW22" s="43" t="str">
        <f t="shared" ca="1" si="81"/>
        <v/>
      </c>
      <c r="DX22" s="44" t="str">
        <f t="shared" ca="1" si="45"/>
        <v/>
      </c>
      <c r="DY22" s="43" t="str">
        <f ca="1">IF(DW22&lt;&gt;"",RANK(DW22,DW4:DW23,DY3),"")</f>
        <v/>
      </c>
      <c r="DZ22" s="45" t="str">
        <f ca="1">IF(DX22&lt;&gt;"",RANK(DX22,DX4:DX23,DZ3),"")</f>
        <v/>
      </c>
      <c r="EA22" s="45" t="str">
        <f t="shared" ca="1" si="82"/>
        <v/>
      </c>
      <c r="EB22" s="30" t="str">
        <f ca="1">IF(DV22&lt;&gt;"",VLOOKUP(SMALL(DT4:DT23,19),DT4:DV23,3,FALSE),"")</f>
        <v/>
      </c>
    </row>
    <row r="23" spans="1:132" x14ac:dyDescent="0.3">
      <c r="A23" s="15"/>
      <c r="B23" s="48">
        <f ca="1">IF(A23=1,0,[1]Partants!A21)</f>
        <v>0</v>
      </c>
      <c r="C23" s="49">
        <f ca="1">[1]Partants!B21</f>
        <v>0</v>
      </c>
      <c r="D23" s="50">
        <f ca="1">[1]Partants!E21</f>
        <v>0</v>
      </c>
      <c r="E23" s="18" t="e">
        <f t="shared" ca="1" si="46"/>
        <v>#NAME?</v>
      </c>
      <c r="F23" s="32" t="str">
        <f t="shared" ca="1" si="83"/>
        <v/>
      </c>
      <c r="G23" s="51" t="str">
        <f t="shared" ca="1" si="84"/>
        <v/>
      </c>
      <c r="H23" s="48" t="str">
        <f t="shared" ca="1" si="85"/>
        <v/>
      </c>
      <c r="I23" s="51" t="str">
        <f t="shared" ca="1" si="86"/>
        <v/>
      </c>
      <c r="J23" s="48" t="str">
        <f t="shared" ca="1" si="87"/>
        <v/>
      </c>
      <c r="K23" s="51" t="str">
        <f t="shared" ca="1" si="88"/>
        <v/>
      </c>
      <c r="L23" s="48" t="str">
        <f t="shared" ca="1" si="93"/>
        <v/>
      </c>
      <c r="M23" s="51" t="str">
        <f t="shared" ca="1" si="94"/>
        <v/>
      </c>
      <c r="N23" s="48" t="str">
        <f t="shared" ca="1" si="95"/>
        <v/>
      </c>
      <c r="O23" s="51" t="str">
        <f t="shared" ca="1" si="96"/>
        <v/>
      </c>
      <c r="P23" s="52" t="str">
        <f t="shared" ca="1" si="97"/>
        <v/>
      </c>
      <c r="Q23" s="48" t="str">
        <f t="shared" ca="1" si="98"/>
        <v/>
      </c>
      <c r="R23" s="53" t="str">
        <f t="shared" ca="1" si="99"/>
        <v/>
      </c>
      <c r="T23" s="1">
        <v>20</v>
      </c>
      <c r="U23" s="9" t="str">
        <f t="shared" ca="1" si="89"/>
        <v/>
      </c>
      <c r="V23" s="9" t="str">
        <f t="shared" ca="1" si="90"/>
        <v/>
      </c>
      <c r="W23" s="9" t="str">
        <f t="shared" ca="1" si="47"/>
        <v/>
      </c>
      <c r="X23" s="9" t="str">
        <f t="shared" ca="1" si="48"/>
        <v/>
      </c>
      <c r="Y23" s="9" t="str">
        <f t="shared" ca="1" si="49"/>
        <v/>
      </c>
      <c r="Z23" s="9" t="str">
        <f t="shared" ca="1" si="50"/>
        <v/>
      </c>
      <c r="AA23" s="9" t="str">
        <f t="shared" ca="1" si="91"/>
        <v/>
      </c>
      <c r="AB23" s="52" t="str">
        <f t="shared" ca="1" si="1"/>
        <v/>
      </c>
      <c r="AC23" s="51" t="str">
        <f t="shared" ca="1" si="2"/>
        <v/>
      </c>
      <c r="AD23" s="51" t="str">
        <f t="shared" ca="1" si="3"/>
        <v/>
      </c>
      <c r="AE23" s="51" t="str">
        <f t="shared" ca="1" si="4"/>
        <v/>
      </c>
      <c r="AF23" s="51" t="str">
        <f t="shared" ca="1" si="5"/>
        <v/>
      </c>
      <c r="AG23" s="53" t="str">
        <f t="shared" ca="1" si="6"/>
        <v/>
      </c>
      <c r="AH23" s="21" t="str">
        <f t="shared" ca="1" si="92"/>
        <v/>
      </c>
      <c r="AI23" s="54" t="str">
        <f t="shared" ca="1" si="7"/>
        <v/>
      </c>
      <c r="AJ23" s="52" t="str">
        <f t="shared" ca="1" si="52"/>
        <v/>
      </c>
      <c r="AK23" s="48" t="str">
        <f t="shared" ca="1" si="53"/>
        <v/>
      </c>
      <c r="AL23" s="51" t="str">
        <f t="shared" ca="1" si="8"/>
        <v/>
      </c>
      <c r="AM23" s="48" t="str">
        <f t="shared" ca="1" si="9"/>
        <v/>
      </c>
      <c r="AN23" s="51" t="str">
        <f t="shared" ca="1" si="10"/>
        <v/>
      </c>
      <c r="AO23" s="48" t="str">
        <f t="shared" ca="1" si="11"/>
        <v/>
      </c>
      <c r="AP23" s="48" t="str">
        <f t="shared" ca="1" si="54"/>
        <v/>
      </c>
      <c r="AQ23" s="55" t="str">
        <f ca="1">IF(B23&lt;&gt;0,((SUMPRODUCT((COUNTIF(AJ23:AO23,{1,2,3,4,5,10})=0)*{48,24,14,9,4,1})/100))+(B23*0.0000001),"")</f>
        <v/>
      </c>
      <c r="AR23" s="56" t="str">
        <f t="shared" ca="1" si="55"/>
        <v/>
      </c>
      <c r="AS23" s="52" t="str">
        <f t="shared" ca="1" si="12"/>
        <v/>
      </c>
      <c r="AT23" s="51" t="str">
        <f t="shared" ca="1" si="13"/>
        <v/>
      </c>
      <c r="AU23" s="53" t="str">
        <f t="shared" ca="1" si="14"/>
        <v/>
      </c>
      <c r="AV23" s="48" t="str">
        <f t="shared" ca="1" si="15"/>
        <v/>
      </c>
      <c r="AW23" s="51" t="str">
        <f t="shared" ca="1" si="56"/>
        <v/>
      </c>
      <c r="AX23" s="25" t="str">
        <f t="shared" ca="1" si="57"/>
        <v/>
      </c>
      <c r="AY23" s="57" t="str">
        <f t="shared" ca="1" si="58"/>
        <v/>
      </c>
      <c r="AZ23" s="52" t="str">
        <f t="shared" ca="1" si="16"/>
        <v/>
      </c>
      <c r="BA23" s="51" t="str">
        <f t="shared" ca="1" si="17"/>
        <v/>
      </c>
      <c r="BB23" s="53" t="str">
        <f t="shared" ca="1" si="18"/>
        <v/>
      </c>
      <c r="BC23" s="57" t="str">
        <f t="shared" ca="1" si="19"/>
        <v/>
      </c>
      <c r="BD23" s="57" t="str">
        <f t="shared" ca="1" si="20"/>
        <v/>
      </c>
      <c r="BE23" s="52" t="str">
        <f t="shared" ca="1" si="59"/>
        <v/>
      </c>
      <c r="BF23" s="51" t="str">
        <f t="shared" ca="1" si="21"/>
        <v/>
      </c>
      <c r="BG23" s="53" t="str">
        <f t="shared" ca="1" si="22"/>
        <v/>
      </c>
      <c r="BH23" s="48" t="str">
        <f t="shared" ca="1" si="23"/>
        <v/>
      </c>
      <c r="BI23" s="48" t="str">
        <f t="shared" ca="1" si="24"/>
        <v/>
      </c>
      <c r="BJ23" s="48" t="str">
        <f t="shared" ca="1" si="25"/>
        <v/>
      </c>
      <c r="BK23" s="48" t="str">
        <f t="shared" ca="1" si="26"/>
        <v/>
      </c>
      <c r="BL23" s="26" t="str">
        <f t="shared" ca="1" si="60"/>
        <v/>
      </c>
      <c r="BM23" s="57" t="str">
        <f t="shared" ca="1" si="27"/>
        <v/>
      </c>
      <c r="BN23" s="4"/>
      <c r="BO23" s="48" t="str">
        <f t="shared" ca="1" si="61"/>
        <v/>
      </c>
      <c r="BP23" s="48" t="str">
        <f t="shared" ca="1" si="28"/>
        <v/>
      </c>
      <c r="BQ23" s="48" t="str">
        <f t="shared" ca="1" si="62"/>
        <v/>
      </c>
      <c r="BR23" s="48" t="str">
        <f t="shared" ca="1" si="62"/>
        <v/>
      </c>
      <c r="BS23" s="48" t="str">
        <f t="shared" ca="1" si="63"/>
        <v/>
      </c>
      <c r="BT23" s="48" t="str">
        <f t="shared" ca="1" si="63"/>
        <v/>
      </c>
      <c r="BU23" s="4"/>
      <c r="BV23" s="58" t="str">
        <f t="shared" ca="1" si="64"/>
        <v/>
      </c>
      <c r="BW23" s="53" t="str">
        <f t="shared" ca="1" si="65"/>
        <v/>
      </c>
      <c r="BX23" s="59" t="str">
        <f t="shared" ca="1" si="29"/>
        <v/>
      </c>
      <c r="BY23" s="60" t="str">
        <f t="shared" ca="1" si="30"/>
        <v/>
      </c>
      <c r="BZ23" s="61" t="str">
        <f t="shared" ca="1" si="31"/>
        <v/>
      </c>
      <c r="CA23" s="60" t="str">
        <f ca="1">IF(BY23&lt;&gt;"",RANK(BY23,BY4:BY23,CA3),"")</f>
        <v/>
      </c>
      <c r="CB23" s="62" t="str">
        <f ca="1">IF(BZ23&lt;&gt;"",RANK(BZ23,BZ4:BZ23,CB3),"")</f>
        <v/>
      </c>
      <c r="CC23" s="62" t="str">
        <f t="shared" ca="1" si="66"/>
        <v/>
      </c>
      <c r="CD23" s="63" t="str">
        <f ca="1">IF(BX23&lt;&gt;"",VLOOKUP(SMALL(BV4:BV23,20),BV4:BX23,3,FALSE),"")</f>
        <v/>
      </c>
      <c r="CE23" s="4"/>
      <c r="CF23" s="58" t="str">
        <f t="shared" ca="1" si="67"/>
        <v/>
      </c>
      <c r="CG23" s="53" t="str">
        <f t="shared" ca="1" si="68"/>
        <v/>
      </c>
      <c r="CH23" s="59" t="str">
        <f t="shared" ca="1" si="32"/>
        <v/>
      </c>
      <c r="CI23" s="60" t="str">
        <f t="shared" ca="1" si="33"/>
        <v/>
      </c>
      <c r="CJ23" s="61" t="str">
        <f t="shared" ca="1" si="34"/>
        <v/>
      </c>
      <c r="CK23" s="60" t="str">
        <f ca="1">IF(CI23&lt;&gt;"",RANK(CI23,CI4:CI23,CK3),"")</f>
        <v/>
      </c>
      <c r="CL23" s="62" t="str">
        <f ca="1">IF(CJ23&lt;&gt;"",RANK(CJ23,CJ4:CJ23,CL3),"")</f>
        <v/>
      </c>
      <c r="CM23" s="62" t="str">
        <f t="shared" ca="1" si="69"/>
        <v/>
      </c>
      <c r="CN23" s="63" t="str">
        <f ca="1">IF(CH23&lt;&gt;"",VLOOKUP(SMALL(CF4:CF23,20),CF4:CH23,3,FALSE),"")</f>
        <v/>
      </c>
      <c r="CO23" s="4"/>
      <c r="CP23" s="58" t="str">
        <f t="shared" ca="1" si="70"/>
        <v/>
      </c>
      <c r="CQ23" s="53" t="str">
        <f t="shared" ca="1" si="71"/>
        <v/>
      </c>
      <c r="CR23" s="59" t="str">
        <f t="shared" ca="1" si="35"/>
        <v/>
      </c>
      <c r="CS23" s="60" t="str">
        <f t="shared" ca="1" si="36"/>
        <v/>
      </c>
      <c r="CT23" s="61" t="str">
        <f t="shared" ca="1" si="37"/>
        <v/>
      </c>
      <c r="CU23" s="60" t="str">
        <f ca="1">IF(CS23&lt;&gt;"",RANK(CS23,CS4:CS23,CU3),"")</f>
        <v/>
      </c>
      <c r="CV23" s="62" t="str">
        <f ca="1">IF(CT23&lt;&gt;"",RANK(CT23,CT4:CT23,CV3),"")</f>
        <v/>
      </c>
      <c r="CW23" s="62" t="str">
        <f t="shared" ca="1" si="72"/>
        <v/>
      </c>
      <c r="CX23" s="63" t="str">
        <f ca="1">IF(CR23&lt;&gt;"",VLOOKUP(SMALL(CP4:CP23,20),CP4:CR23,3,FALSE),"")</f>
        <v/>
      </c>
      <c r="CY23" s="4"/>
      <c r="CZ23" s="58" t="str">
        <f t="shared" ca="1" si="73"/>
        <v/>
      </c>
      <c r="DA23" s="53" t="str">
        <f t="shared" ca="1" si="74"/>
        <v/>
      </c>
      <c r="DB23" s="59" t="str">
        <f t="shared" ca="1" si="38"/>
        <v/>
      </c>
      <c r="DC23" s="60" t="str">
        <f t="shared" ca="1" si="39"/>
        <v/>
      </c>
      <c r="DD23" s="61" t="str">
        <f t="shared" ca="1" si="40"/>
        <v/>
      </c>
      <c r="DE23" s="60" t="str">
        <f ca="1">IF(DC23&lt;&gt;"",RANK(DC23,DC4:DC23,DE3),"")</f>
        <v/>
      </c>
      <c r="DF23" s="62" t="str">
        <f ca="1">IF(DD23&lt;&gt;"",RANK(DD23,DD4:DD23,DF3),"")</f>
        <v/>
      </c>
      <c r="DG23" s="62" t="str">
        <f t="shared" ca="1" si="75"/>
        <v/>
      </c>
      <c r="DH23" s="63" t="str">
        <f ca="1">IF(DB23&lt;&gt;"",VLOOKUP(SMALL(CZ4:CZ23,20),CZ4:DB23,3,FALSE),"")</f>
        <v/>
      </c>
      <c r="DI23" s="4"/>
      <c r="DJ23" s="58" t="str">
        <f t="shared" ca="1" si="76"/>
        <v/>
      </c>
      <c r="DK23" s="53" t="str">
        <f t="shared" ca="1" si="77"/>
        <v/>
      </c>
      <c r="DL23" s="59" t="str">
        <f t="shared" ca="1" si="41"/>
        <v/>
      </c>
      <c r="DM23" s="60" t="str">
        <f t="shared" ca="1" si="42"/>
        <v/>
      </c>
      <c r="DN23" s="61" t="str">
        <f t="shared" ca="1" si="43"/>
        <v/>
      </c>
      <c r="DO23" s="60" t="str">
        <f ca="1">IF(DM23&lt;&gt;"",RANK(DM23,DM4:DM23,DO3),"")</f>
        <v/>
      </c>
      <c r="DP23" s="62" t="str">
        <f ca="1">IF(DN23&lt;&gt;"",RANK(DN23,DN4:DN23,DP3),"")</f>
        <v/>
      </c>
      <c r="DQ23" s="62" t="str">
        <f t="shared" ca="1" si="78"/>
        <v/>
      </c>
      <c r="DR23" s="63" t="str">
        <f ca="1">IF(DL23&lt;&gt;"",VLOOKUP(SMALL(DJ4:DJ23,20),DJ4:DL23,3,FALSE),"")</f>
        <v/>
      </c>
      <c r="DS23" s="4"/>
      <c r="DT23" s="58" t="str">
        <f t="shared" ca="1" si="79"/>
        <v/>
      </c>
      <c r="DU23" s="53" t="str">
        <f t="shared" ca="1" si="80"/>
        <v/>
      </c>
      <c r="DV23" s="59" t="str">
        <f t="shared" ca="1" si="44"/>
        <v/>
      </c>
      <c r="DW23" s="60" t="str">
        <f t="shared" ca="1" si="81"/>
        <v/>
      </c>
      <c r="DX23" s="61" t="str">
        <f t="shared" ca="1" si="45"/>
        <v/>
      </c>
      <c r="DY23" s="60" t="str">
        <f ca="1">IF(DW23&lt;&gt;"",RANK(DW23,DW4:DW23,DY3),"")</f>
        <v/>
      </c>
      <c r="DZ23" s="62" t="str">
        <f ca="1">IF(DX23&lt;&gt;"",RANK(DX23,DX4:DX23,DZ3),"")</f>
        <v/>
      </c>
      <c r="EA23" s="62" t="str">
        <f t="shared" ca="1" si="82"/>
        <v/>
      </c>
      <c r="EB23" s="63" t="str">
        <f ca="1">IF(DV23&lt;&gt;"",VLOOKUP(SMALL(DT4:DT23,20),DT4:DV23,3,FALSE),"")</f>
        <v/>
      </c>
    </row>
    <row r="24" spans="1:132" x14ac:dyDescent="0.3">
      <c r="AE24" s="64"/>
      <c r="AH24" s="65" t="e">
        <f ca="1">AVERAGE(AH4:AH19)</f>
        <v>#REF!</v>
      </c>
      <c r="AI24" s="64">
        <f ca="1">AVERAGE(AI4:AI12)</f>
        <v>19.270833333378331</v>
      </c>
      <c r="BO24" s="64">
        <f ca="1">AVERAGE(BO4:BO23)</f>
        <v>129.5</v>
      </c>
      <c r="BP24" s="1">
        <f t="shared" ref="BP24:BT24" ca="1" si="100">AVERAGE(BP4:BP23)</f>
        <v>136</v>
      </c>
      <c r="BQ24" s="1">
        <f t="shared" ca="1" si="100"/>
        <v>125.625</v>
      </c>
      <c r="BR24" s="1">
        <f t="shared" ca="1" si="100"/>
        <v>133.625</v>
      </c>
      <c r="BS24" s="1">
        <f t="shared" ca="1" si="100"/>
        <v>129.5</v>
      </c>
      <c r="BT24" s="1">
        <f t="shared" ca="1" si="100"/>
        <v>136</v>
      </c>
      <c r="BZ24" s="1">
        <f t="shared" ca="1" si="31"/>
        <v>129.5</v>
      </c>
      <c r="CX24" s="66"/>
      <c r="DH24" s="66"/>
      <c r="DR24" s="66"/>
      <c r="DX24" s="1">
        <f t="shared" ca="1" si="45"/>
        <v>129.5</v>
      </c>
      <c r="DZ24" s="1">
        <v>2</v>
      </c>
    </row>
    <row r="25" spans="1:132" ht="14.4" x14ac:dyDescent="0.3">
      <c r="B25" s="67" t="s">
        <v>36</v>
      </c>
      <c r="C25" s="68"/>
      <c r="AE25" s="64"/>
      <c r="AH25" s="69" t="e">
        <f t="array" aca="1" ref="AH25" ca="1">INDEX(AH4:AH21,MATCH(MIN(ABS(AH24-(AH4:AH21))),ABS(AH4:AH21-AH24),0))</f>
        <v>#REF!</v>
      </c>
      <c r="AI25" s="70" t="e">
        <f t="array" aca="1" ref="AI25" ca="1">INDEX(AI4:AI18,MATCH(MIN(ABS(AI24-(AI4:AI18))),ABS(AI4:AI18-AI24),0))</f>
        <v>#VALUE!</v>
      </c>
      <c r="AR25" s="1">
        <v>1</v>
      </c>
      <c r="AU25" s="1">
        <v>1</v>
      </c>
      <c r="AY25" s="1">
        <v>1</v>
      </c>
      <c r="BO25" s="71">
        <f t="array" aca="1" ref="BO25" ca="1">INDEX(BO4:BO23,MATCH(MIN(IF(BO4:BO23&lt;&gt;"",ABS(BO24-(BO4:BO23)))),ABS(BO4:BO23-BO24),0))</f>
        <v>131</v>
      </c>
      <c r="BP25" s="71">
        <f t="array" aca="1" ref="BP25" ca="1">INDEX(BP4:BP23,MATCH(MIN(IF(BP4:BP23&lt;&gt;"",ABS(BP24-(BP4:BP23)))),ABS(BP4:BP23-BP24),0))</f>
        <v>132</v>
      </c>
      <c r="BQ25" s="71">
        <f t="array" aca="1" ref="BQ25" ca="1">INDEX(BQ4:BQ23,MATCH(MIN(IF(BQ4:BQ23&lt;&gt;"",ABS(BQ24-(BQ4:BQ23)))),ABS(BQ4:BQ23-BQ24),0))</f>
        <v>126</v>
      </c>
      <c r="BR25" s="71">
        <f t="array" aca="1" ref="BR25" ca="1">INDEX(BR4:BR23,MATCH(MIN(IF(BR4:BR23&lt;&gt;"",ABS(BR24-(BR4:BR23)))),ABS(BR4:BR23-BR24),0))</f>
        <v>132</v>
      </c>
      <c r="BS25" s="71">
        <f t="array" aca="1" ref="BS25" ca="1">INDEX(BS4:BS23,MATCH(MIN(IF(BS4:BS23&lt;&gt;"",ABS(BS24-(BS4:BS23)))),ABS(BS4:BS23-BS24),0))</f>
        <v>131</v>
      </c>
      <c r="BT25" s="71">
        <f t="array" aca="1" ref="BT25" ca="1">INDEX(BT4:BT23,MATCH(MIN(IF(BT4:BT23&lt;&gt;"",ABS(BT24-(BT4:BT23)))),ABS(BT4:BT23-BT24),0))</f>
        <v>132</v>
      </c>
      <c r="BW25" s="72"/>
      <c r="CD25" s="72" t="e">
        <f t="array" aca="1" ref="CD25" ca="1">IF(COUNTIF(BV4:BV23,1)&lt;2,INDEX(BX:BX,SMALL(IF(BV4:BV23=1,ROW(BV4:BV23)),2)))</f>
        <v>#NUM!</v>
      </c>
      <c r="CF25" t="str">
        <f t="array" aca="1" ref="CF25" ca="1">IF(COUNTIF(CF4:CF23,1)&lt;2,"",INDEX(CH:CH,SMALL(IF(CF4:CF23=1,ROW(CF4:CF23)),2)))</f>
        <v/>
      </c>
      <c r="CG25" t="str">
        <f t="array" aca="1" ref="CG25" ca="1">IF(COUNTIF(CF4:CF23,1)&lt;2,"",INDEX(CH:CH,SMALL(IF(CF4:CF23=1,ROW(CF4:CF23)),2)))</f>
        <v/>
      </c>
      <c r="CM25" s="1">
        <f t="array" aca="1" ref="CM25" ca="1">INDEX(CN:CN,SMALL(IF(CK4:CK23=1,ROW(CK4:CK23)),2))</f>
        <v>4</v>
      </c>
      <c r="DK25"/>
      <c r="DY25" s="1">
        <f ca="1">IFERROR(VLOOKUP(SMALL(DY4:DY23,1),DY4:EB23,4,FALSE),"")</f>
        <v>8</v>
      </c>
      <c r="DZ25" s="1">
        <v>1</v>
      </c>
    </row>
    <row r="26" spans="1:132" x14ac:dyDescent="0.3">
      <c r="A26" s="2">
        <v>1</v>
      </c>
      <c r="B26" s="2">
        <v>2</v>
      </c>
      <c r="C26" s="2">
        <v>3</v>
      </c>
      <c r="D26" s="2">
        <v>4</v>
      </c>
      <c r="E26" s="2">
        <v>5</v>
      </c>
      <c r="F26" s="2">
        <v>6</v>
      </c>
      <c r="G26" s="2">
        <v>7</v>
      </c>
      <c r="H26" s="2">
        <v>8</v>
      </c>
      <c r="I26" s="2">
        <v>9</v>
      </c>
      <c r="J26" s="2">
        <v>10</v>
      </c>
      <c r="K26" s="2">
        <v>11</v>
      </c>
      <c r="L26" s="2">
        <v>12</v>
      </c>
      <c r="M26" s="2">
        <v>13</v>
      </c>
      <c r="N26" s="2">
        <v>14</v>
      </c>
      <c r="O26" s="2">
        <v>15</v>
      </c>
      <c r="P26" s="2">
        <v>16</v>
      </c>
      <c r="Q26" s="2">
        <v>17</v>
      </c>
      <c r="R26" s="2">
        <v>18</v>
      </c>
      <c r="AE26" s="64"/>
      <c r="AR26" s="3">
        <f ca="1">VLOOKUP(AR49,AR28:BL47,21,FALSE)</f>
        <v>3</v>
      </c>
      <c r="AS26" s="3">
        <f ca="1">VLOOKUP(AS49,AS28:BL47,20,FALSE)</f>
        <v>8</v>
      </c>
      <c r="AT26" s="3">
        <f ca="1">VLOOKUP(AT49,$AT$28:$BL$47,19,FALSE)</f>
        <v>3</v>
      </c>
      <c r="AU26" s="3">
        <f ca="1">VLOOKUP(AU49,$AU$28:$BL$47,18,FALSE)</f>
        <v>7</v>
      </c>
      <c r="AV26" s="3">
        <f ca="1">VLOOKUP(AV49,$AV$28:$BL$47,17,FALSE)</f>
        <v>3</v>
      </c>
      <c r="AW26" s="3">
        <f ca="1">VLOOKUP(AW49,$AW$28:$BL$47,16,FALSE)</f>
        <v>3</v>
      </c>
      <c r="AX26" s="3">
        <f ca="1">VLOOKUP(AX49,$AX$28:$BL$47,15,FALSE)</f>
        <v>3</v>
      </c>
      <c r="AY26" s="3">
        <f ca="1">VLOOKUP(AY49,$AY$28:$BL$47,14,FALSE)</f>
        <v>7</v>
      </c>
      <c r="BB26" s="3">
        <f ca="1">MATCH(BB49,BB28:BB47,0)</f>
        <v>4</v>
      </c>
      <c r="BV26" s="71"/>
      <c r="DY26" s="1">
        <f ca="1">IFERROR(VLOOKUP(SMALL(DY4:DY23,2),DY4:EB23,4,FALSE),"")</f>
        <v>4</v>
      </c>
      <c r="EA26" s="1">
        <v>2</v>
      </c>
    </row>
    <row r="27" spans="1:132" x14ac:dyDescent="0.3">
      <c r="B27" s="5" t="s">
        <v>3</v>
      </c>
      <c r="C27" s="4"/>
      <c r="D27" s="5" t="s">
        <v>37</v>
      </c>
      <c r="E27" s="5" t="s">
        <v>38</v>
      </c>
      <c r="F27" s="5" t="s">
        <v>39</v>
      </c>
      <c r="G27" s="5" t="s">
        <v>24</v>
      </c>
      <c r="H27" s="5" t="s">
        <v>40</v>
      </c>
      <c r="I27" s="4"/>
      <c r="J27" s="4"/>
      <c r="K27" s="5" t="s">
        <v>41</v>
      </c>
      <c r="L27" s="5" t="s">
        <v>42</v>
      </c>
      <c r="M27" s="5" t="s">
        <v>23</v>
      </c>
      <c r="N27" s="3">
        <f ca="1">MATCH(N49,N28:N46,0)</f>
        <v>1</v>
      </c>
      <c r="S27" s="4"/>
      <c r="T27" s="4"/>
      <c r="U27" s="4"/>
      <c r="V27" s="5" t="s">
        <v>3</v>
      </c>
      <c r="W27" s="4"/>
      <c r="X27" s="5" t="s">
        <v>37</v>
      </c>
      <c r="Y27" s="5" t="s">
        <v>40</v>
      </c>
      <c r="Z27" s="5" t="s">
        <v>38</v>
      </c>
      <c r="AA27" s="5" t="s">
        <v>39</v>
      </c>
      <c r="AB27" s="5" t="s">
        <v>24</v>
      </c>
      <c r="AC27" s="5" t="s">
        <v>41</v>
      </c>
      <c r="AE27" s="3" t="e">
        <f ca="1">MATCH(AE49,AE28:AE46,0)</f>
        <v>#REF!</v>
      </c>
      <c r="AF27" s="3">
        <f ca="1">MATCH(AF49,AF28:AF46,0)</f>
        <v>3</v>
      </c>
      <c r="AR27" s="5" t="s">
        <v>20</v>
      </c>
      <c r="AS27" s="5" t="s">
        <v>22</v>
      </c>
      <c r="AT27" s="5" t="s">
        <v>26</v>
      </c>
      <c r="AU27" s="5" t="s">
        <v>25</v>
      </c>
      <c r="AV27" s="5" t="s">
        <v>28</v>
      </c>
      <c r="AW27" s="5" t="s">
        <v>43</v>
      </c>
      <c r="AX27" s="5" t="s">
        <v>31</v>
      </c>
      <c r="AY27" s="5" t="s">
        <v>30</v>
      </c>
      <c r="BD27" s="5" t="s">
        <v>20</v>
      </c>
      <c r="BE27" s="5" t="s">
        <v>22</v>
      </c>
      <c r="BF27" s="5" t="s">
        <v>26</v>
      </c>
      <c r="BG27" s="5" t="s">
        <v>25</v>
      </c>
      <c r="BH27" s="5" t="s">
        <v>28</v>
      </c>
      <c r="BI27" s="5" t="s">
        <v>43</v>
      </c>
      <c r="BJ27" s="5" t="s">
        <v>31</v>
      </c>
      <c r="BK27" s="5" t="s">
        <v>30</v>
      </c>
      <c r="BM27" s="5" t="s">
        <v>20</v>
      </c>
      <c r="BN27" s="5" t="s">
        <v>22</v>
      </c>
      <c r="BO27" s="5" t="s">
        <v>26</v>
      </c>
      <c r="BP27" s="5" t="s">
        <v>25</v>
      </c>
      <c r="BQ27" s="5" t="s">
        <v>28</v>
      </c>
      <c r="BR27" s="5" t="s">
        <v>43</v>
      </c>
      <c r="BS27" s="5" t="s">
        <v>31</v>
      </c>
      <c r="BT27" s="5" t="s">
        <v>30</v>
      </c>
      <c r="BV27" s="71"/>
      <c r="DY27" s="1">
        <f ca="1">IFERROR(VLOOKUP(SMALL(DY5:DY24,3),DY5:EB24,4,FALSE),"")</f>
        <v>7</v>
      </c>
      <c r="DZ27" s="1">
        <v>1</v>
      </c>
    </row>
    <row r="28" spans="1:132" ht="13.2" x14ac:dyDescent="0.25">
      <c r="A28" s="71">
        <f ca="1">IFERROR(S28+T28-(G28+(M28)-(B28*0.00001)),"")</f>
        <v>-12.999989999999997</v>
      </c>
      <c r="B28" s="8">
        <f t="shared" ref="B28:B47" ca="1" si="101">B4</f>
        <v>1</v>
      </c>
      <c r="C28" s="8" t="str">
        <f ca="1">IF(B28&lt;&gt;0,IF(COUNTIF(U4:Z4,1)&gt;0,"Pi","Ps"),"")</f>
        <v>Pi</v>
      </c>
      <c r="D28" s="8" t="str">
        <f ca="1">IF(B28&lt;&gt;0,IF(U4=1,"Pk0",IF(V4=1,"Pk1",IF(W4=1,"Pk2",IF(X4=1,"Pk3",IF(Y4=1,"Pk4",IF(Z4=1,"Pk5","Pk6")))))),"")</f>
        <v>Pk3</v>
      </c>
      <c r="E28" s="8" t="str">
        <f ca="1">IF(B28&lt;&gt;0,VLOOKUP(AP4,$B$50:$C$113,2,FALSE),"")</f>
        <v>FBB</v>
      </c>
      <c r="F28" s="8">
        <f ca="1">IF(B28&lt;&gt;0,COUNTIF($E$28:$E$47,E28),"")</f>
        <v>5</v>
      </c>
      <c r="G28" s="8">
        <f t="shared" ref="G28:G47" ca="1" si="102">AV4</f>
        <v>0</v>
      </c>
      <c r="H28" s="8">
        <f t="shared" ref="H28:H47" ca="1" si="103">IF(B28&lt;&gt;0,IF(C28="Pi",(COUNTIF(U4:Z4,"&lt;6")*10)+COUNTIF(U4:Z4,1),(COUNTIF(U4:Z4,"&lt;6")*10)+G28),"")</f>
        <v>41</v>
      </c>
      <c r="I28" s="9">
        <f ca="1">IF(B28&lt;&gt;0,COUNT(U4:Z4),"")</f>
        <v>6</v>
      </c>
      <c r="J28" s="20">
        <f ca="1">IF(B28&lt;&gt;0,COUNTIF(U4:Z4,"&gt;4"),"")</f>
        <v>3</v>
      </c>
      <c r="K28" s="8">
        <f ca="1">IF(B28&lt;&gt;0,IF(I28&lt;6,VALUE(J28&amp;I28)+11,VALUE(J28&amp;I28)),"")</f>
        <v>36</v>
      </c>
      <c r="L28" s="8">
        <f ca="1">IF(B28&lt;&gt;0,SUMPRODUCT((COUNTIF(AJ4:AO4,{1,2,3,4,5,10})=0)*{1,2,3,4,5,10}),"")</f>
        <v>23</v>
      </c>
      <c r="M28" s="8">
        <f ca="1">IF(B28&lt;&gt;0,100+COUNTIF(U4:Z4,"&lt;7")*7-SUMIF(U4:Z4,"&lt;7"),"")</f>
        <v>116</v>
      </c>
      <c r="N28" s="73">
        <f t="shared" ref="N28:N35" ca="1" si="104">IF(A28&lt;&gt;"",S28+T28-(G28+(M28)-(B28*0.00001)),"")</f>
        <v>-12.999989999999997</v>
      </c>
      <c r="O28" s="74">
        <f ca="1">IFERROR(_xlfn.RANK.EQ(A28,$A$28:$A$47,1)+COUNTIF(A28:A$28,A28)-1,"")</f>
        <v>5</v>
      </c>
      <c r="P28" s="8">
        <f ca="1">VLOOKUP(SMALL($O$28:$O$47,1),$O$28:$Q$47,3,FALSE)</f>
        <v>7</v>
      </c>
      <c r="Q28" s="1">
        <v>1</v>
      </c>
      <c r="S28" s="8">
        <f t="shared" ref="S28:S47" ca="1" si="105">IF(B28&lt;&gt;0,IF(C28="Pi",100,1000),"")</f>
        <v>100</v>
      </c>
      <c r="T28" s="8" t="str">
        <f t="shared" ref="T28:T47" ca="1" si="106">IF(B28&lt;&gt;0,IF(U4=1,"0",IF(V4=1,"1",IF(W4=1,"2",IF(X4=1,"3",IF(Y4=1,"4",IF(Z4=1,"5","6")))))),"")</f>
        <v>3</v>
      </c>
      <c r="U28" s="8">
        <f ca="1">VLOOKUP(SMALL($A$28:$A$47,1),$A$28:$O$47,2,FALSE)</f>
        <v>7</v>
      </c>
      <c r="V28" s="8">
        <f ca="1">IF(ISERROR(VLOOKUP(SMALL($A$28:$A$47,1),$A$28:$O$47,2,FALSE)),"",VLOOKUP(SMALL($A$28:$A$47,1),$A$28:$O$47,2,FALSE))</f>
        <v>7</v>
      </c>
      <c r="W28" s="8" t="str">
        <f ca="1">IF($V$28&lt;&gt;"",VLOOKUP(LARGE($A$28:$A$47,1),$A$28:$R$47,3,FALSE),"")</f>
        <v>Ps</v>
      </c>
      <c r="X28" s="8" t="str">
        <f ca="1">IF($V$28&lt;&gt;"",VLOOKUP(LARGE($A$28:$A$47,1),$A$28:$R$47,4,FALSE),"")</f>
        <v>Pk6</v>
      </c>
      <c r="Y28" s="8">
        <f ca="1">IF($V$28&lt;&gt;"",VLOOKUP(LARGE($A$28:$A$47,1),$A$28:$R$47,8,FALSE),"")</f>
        <v>40</v>
      </c>
      <c r="Z28" s="8" t="str">
        <f ca="1">IF($V$28&lt;&gt;"",VLOOKUP(LARGE($A$28:$A$47,1),$A$28:$R$47,5,FALSE),"")</f>
        <v>OFB_1</v>
      </c>
      <c r="AA28" s="8">
        <f ca="1">IF($V$28&lt;&gt;"",VLOOKUP(LARGE($A$28:$A$47,1),$A$28:$R$47,6,FALSE),"")</f>
        <v>3</v>
      </c>
      <c r="AB28" s="8">
        <f ca="1">IF($V$28&lt;&gt;"",VLOOKUP(LARGE($A$28:$A$47,1),$A$28:$R$47,7,FALSE),"")</f>
        <v>0</v>
      </c>
      <c r="AC28" s="8">
        <f ca="1">IF($V$28&lt;&gt;"",VLOOKUP(LARGE($A$28:$A$47,1),$A$28:$R$47,11,FALSE),"")</f>
        <v>46</v>
      </c>
      <c r="AE28" s="64">
        <f ca="1">IF(AH4="",0,AH4)</f>
        <v>3.8</v>
      </c>
      <c r="AF28" s="75">
        <f ca="1">IF(AI4="",0,AI4)</f>
        <v>21.666666666676669</v>
      </c>
      <c r="AH28" s="71">
        <f ca="1">AZ28</f>
        <v>1</v>
      </c>
      <c r="AI28" s="65">
        <f ca="1">SUM(AR28:AY28)</f>
        <v>844.3966652667367</v>
      </c>
      <c r="AJ28" s="17">
        <f ca="1">IF($V$28&lt;&gt;"",VLOOKUP($V$28,$B$4:$FZ$23,1,FALSE),"")</f>
        <v>7</v>
      </c>
      <c r="AK28" s="17" t="str">
        <f ca="1">IF($V$28&lt;&gt;"",VLOOKUP($V$28,$B$4:$FZ$23,2,FALSE),"")</f>
        <v>MOUT</v>
      </c>
      <c r="AL28" s="8">
        <f ca="1">IF($V$28&lt;&gt;"",VLOOKUP($V$28,$B$4:$FZ$23,20,FALSE),"")</f>
        <v>1</v>
      </c>
      <c r="AM28" s="8">
        <f ca="1">IF($V$28&lt;&gt;"",VLOOKUP($V$28,$B$4:$FZ$23,21,FALSE),"")</f>
        <v>1</v>
      </c>
      <c r="AN28" s="8">
        <f ca="1">IF($V$28&lt;&gt;"",VLOOKUP($V$28,$B$4:$FZ$23,22,FALSE),"")</f>
        <v>2</v>
      </c>
      <c r="AO28" s="8">
        <f ca="1">IF($V$28&lt;&gt;"",VLOOKUP($V$28,$B$4:$FZ$23,23,FALSE),"")</f>
        <v>2</v>
      </c>
      <c r="AP28" s="8">
        <f ca="1">IF($V$28&lt;&gt;"",VLOOKUP($V$28,$B$4:$FZ$23,24,FALSE),"")</f>
        <v>2</v>
      </c>
      <c r="AQ28" s="8" t="str">
        <f ca="1">IF($V$28&lt;&gt;"",VLOOKUP($V$28,$B$4:$FZ$23,25,FALSE),"")</f>
        <v/>
      </c>
      <c r="AR28" s="76">
        <f ca="1">IF(ISERROR(IF(V28&lt;&gt;"",VLOOKUP(V28,$B$4:$FZ$23,34,FALSE),"")),"",IF(V28&lt;&gt;"",VLOOKUP(V28,$B$4:$FZ$23,34,FALSE),0))</f>
        <v>6.666666666736667</v>
      </c>
      <c r="AS28" s="76">
        <f ca="1">IF(V28&lt;&gt;"",VLOOKUP(V28,$B$4:$FZ$23,42,FALSE),0)</f>
        <v>0.73000069999999995</v>
      </c>
      <c r="AT28" s="26">
        <f ca="1">IF(V28&lt;&gt;"",VLOOKUP(V28,$B$4:$FZ$23,50,FALSE),0)</f>
        <v>148</v>
      </c>
      <c r="AU28" s="26">
        <f ca="1">IF(V28&lt;&gt;"",VLOOKUP(V28,$B$4:$FZ$23,49,FALSE),0)</f>
        <v>130.99999930000001</v>
      </c>
      <c r="AV28" s="26">
        <f ca="1">IF(V28&lt;&gt;"",VLOOKUP(V28,$B$4:$FZ$23,55,FALSE),0)</f>
        <v>148</v>
      </c>
      <c r="AW28" s="26">
        <f ca="1">IF(V28&lt;&gt;"",VLOOKUP(V28,$B$4:$FZ$23,54,FALSE),0)</f>
        <v>130.99999930000001</v>
      </c>
      <c r="AX28" s="26">
        <f ca="1">IF(V28&lt;&gt;"",VLOOKUP(V28,$B$4:$FZ$23,64,FALSE),0)</f>
        <v>148</v>
      </c>
      <c r="AY28" s="26">
        <f ca="1">IF(V28&lt;&gt;"",VLOOKUP(V28,$B$4:$FZ$23,63,FALSE),0)</f>
        <v>130.99999930000001</v>
      </c>
      <c r="AZ28" s="77">
        <f ca="1">IFERROR(RANK(BB28,$BB$28:$BB$47)+COUNTIF(BB28:BB$47,BB28)-1,"")</f>
        <v>1</v>
      </c>
      <c r="BA28" s="1">
        <f ca="1">VLOOKUP(LARGE($AI$28:$AI$47,1),$AI$28:$AJ$47,2,FALSE)</f>
        <v>7</v>
      </c>
      <c r="BB28" s="71">
        <f t="shared" ref="BB28:BB47" ca="1" si="107">IF(BA28&lt;&gt;"",AVERAGE(AT28:AY28),"")</f>
        <v>139.49999965000001</v>
      </c>
      <c r="BC28" s="78">
        <f ca="1">IFERROR(VLOOKUP(SMALL($AH$28:$AH$47,1),$AH$28:$AJ$47,3,FALSE),"")</f>
        <v>7</v>
      </c>
      <c r="BD28" s="79">
        <f ca="1">IFERROR(RANK(AR28,$AR$28:$AR$47)+COUNTIF(AR28:AR$28,AR28)-1,"")</f>
        <v>8</v>
      </c>
      <c r="BE28" s="79">
        <f ca="1">IFERROR(RANK(AS28,$AS$28:$AS$47)+COUNTIF(AS28:AS$28,AS28)-1,"")</f>
        <v>3</v>
      </c>
      <c r="BF28" s="79">
        <f ca="1">IFERROR(RANK(AT28,$AT$28:$AT$47)+COUNTIF(AT28:AT$28,AT28)-1,"")</f>
        <v>1</v>
      </c>
      <c r="BG28" s="79">
        <f ca="1">IFERROR(RANK(AU28,$AU$28:$AU$47)+COUNTIF(AU28:AU$28,AU28)-1,"")</f>
        <v>4</v>
      </c>
      <c r="BH28" s="79">
        <f ca="1">IFERROR(RANK(AV28,$AV$28:$AV$47)+COUNTIF(AV28:AV$28,AV28)-1,"")</f>
        <v>1</v>
      </c>
      <c r="BI28" s="79">
        <f ca="1">IFERROR(RANK(AW28,$AW$28:$AW$47)+COUNTIF(AW28:AW$28,AW28)-1,"")</f>
        <v>2</v>
      </c>
      <c r="BJ28" s="79">
        <f ca="1">IFERROR(RANK(AX28,$AX$28:$AX$47)+COUNTIF(AX28:AX$28,AX28)-1,"")</f>
        <v>1</v>
      </c>
      <c r="BK28" s="79">
        <f ca="1">IFERROR(RANK(AY28,$AY$28:$AY$47)+COUNTIF(AY28:AY$28,AY28)-1,"")</f>
        <v>4</v>
      </c>
      <c r="BL28" s="1">
        <f ca="1">AJ28</f>
        <v>7</v>
      </c>
      <c r="BM28" s="78">
        <f ca="1">IFERROR(VLOOKUP(SMALL($BD$28:$BD$47,1),$BD$28:$BL$47,9,FALSE),"")</f>
        <v>4</v>
      </c>
      <c r="BN28" s="78">
        <f ca="1">IFERROR(VLOOKUP(SMALL($BE$28:$BE$47,1),$BE$28:$BL$47,8,FALSE),"")</f>
        <v>2</v>
      </c>
      <c r="BO28" s="78">
        <f ca="1">IFERROR(VLOOKUP(SMALL($BF$28:$BF$47,1),$BF$28:$BL$47,7,FALSE),"")</f>
        <v>7</v>
      </c>
      <c r="BP28" s="78">
        <f ca="1">IFERROR(VLOOKUP(SMALL($BG$28:$BG$47,1),$BG$28:$BL$47,6,FALSE),"")</f>
        <v>5</v>
      </c>
      <c r="BQ28" s="78">
        <f ca="1">IFERROR(VLOOKUP(SMALL($BH$28:$BH$47,1),$BH$28:$BL$47,5,FALSE),"")</f>
        <v>7</v>
      </c>
      <c r="BR28" s="78">
        <f ca="1">IFERROR(VLOOKUP(SMALL($BI$28:$BI$47,1),$BI$28:$BL$47,4,FALSE),"")</f>
        <v>5</v>
      </c>
      <c r="BS28" s="78">
        <f ca="1">IFERROR(VLOOKUP(SMALL($BJ$28:$BJ$47,1),$BJ$28:$BL$47,3,FALSE),"")</f>
        <v>7</v>
      </c>
      <c r="BT28" s="78">
        <f ca="1">IFERROR(VLOOKUP(SMALL($BJ$28:$BJ$47,1),$BJ$28:$BL$47,3,FALSE),"")</f>
        <v>7</v>
      </c>
      <c r="BV28" s="71"/>
      <c r="DY28" s="1">
        <v>2</v>
      </c>
      <c r="EA28" s="1">
        <v>2</v>
      </c>
    </row>
    <row r="29" spans="1:132" ht="13.2" x14ac:dyDescent="0.25">
      <c r="A29" s="71">
        <f t="shared" ref="A29:A47" ca="1" si="108">IFERROR(S29+T29-(G29+(M29)-(B29*0.00001)),"")</f>
        <v>-31.999979999999994</v>
      </c>
      <c r="B29" s="32">
        <f t="shared" ca="1" si="101"/>
        <v>2</v>
      </c>
      <c r="C29" s="32" t="str">
        <f t="shared" ref="C29:C47" ca="1" si="109">IF(B29&lt;&gt;0,IF(COUNTIF(U5:Z5,1)&gt;0,"Pi","Ps"),"")</f>
        <v>Pi</v>
      </c>
      <c r="D29" s="32" t="str">
        <f t="shared" ref="D29:D47" ca="1" si="110">IF(B29&lt;&gt;0,IF(U5=1,"Pk0",IF(V5=1,"Pk1",IF(W5=1,"Pk2",IF(X5=1,"Pk3",IF(Y5=1,"Pk4",IF(Z5=1,"Pk5","Pk6")))))),"")</f>
        <v>Pk2</v>
      </c>
      <c r="E29" s="32" t="str">
        <f ca="1">IF(B29&lt;&gt;0,VLOOKUP(AP5,$B$50:$C$113,2,FALSE),"")</f>
        <v>FBB</v>
      </c>
      <c r="F29" s="32">
        <f t="shared" ref="F29:F47" ca="1" si="111">IF(B29&lt;&gt;0,COUNTIF($E$28:$E$47,E29),"")</f>
        <v>5</v>
      </c>
      <c r="G29" s="32">
        <f t="shared" ca="1" si="102"/>
        <v>13</v>
      </c>
      <c r="H29" s="32">
        <f t="shared" ca="1" si="103"/>
        <v>41</v>
      </c>
      <c r="I29" s="36">
        <f t="shared" ref="I29:I47" ca="1" si="112">IF(B29&lt;&gt;0,COUNT(U5:Z5),"")</f>
        <v>6</v>
      </c>
      <c r="J29" s="37">
        <f t="shared" ref="J29:J47" ca="1" si="113">IF(B29&lt;&gt;0,COUNTIF(U5:Z5,"&gt;4"),"")</f>
        <v>2</v>
      </c>
      <c r="K29" s="32">
        <f t="shared" ref="K29:K47" ca="1" si="114">IF(B29&lt;&gt;0,IF(I29&lt;6,VALUE(J29&amp;I29)+11,VALUE(J29&amp;I29)),"")</f>
        <v>26</v>
      </c>
      <c r="L29" s="32">
        <f ca="1">IF(B29&lt;&gt;0,SUMPRODUCT((COUNTIF(AJ5:AO5,{1,2,3,4,5,10})=0)*{1,2,3,4,5,10}),"")</f>
        <v>17</v>
      </c>
      <c r="M29" s="32">
        <f t="shared" ref="M29:M47" ca="1" si="115">IF(B29&lt;&gt;0,100+COUNTIF(U5:Z5,"&lt;7")*7-SUMIF(U5:Z5,"&lt;7"),"")</f>
        <v>121</v>
      </c>
      <c r="N29" s="73">
        <f t="shared" ca="1" si="104"/>
        <v>-31.999979999999994</v>
      </c>
      <c r="O29" s="74">
        <f ca="1">IFERROR(_xlfn.RANK.EQ(A29,$A$28:$A$47,1)+COUNTIF(A$28:A29,A29)-1,"")</f>
        <v>3</v>
      </c>
      <c r="P29" s="8">
        <f ca="1">VLOOKUP(SMALL($O$28:$O$47,2),$O$28:$Q$47,3,FALSE)</f>
        <v>8</v>
      </c>
      <c r="Q29" s="1">
        <v>2</v>
      </c>
      <c r="S29" s="32">
        <f t="shared" ca="1" si="105"/>
        <v>100</v>
      </c>
      <c r="T29" s="32" t="str">
        <f t="shared" ca="1" si="106"/>
        <v>2</v>
      </c>
      <c r="U29" s="8">
        <f ca="1">VLOOKUP(SMALL($A$28:$A$47,2),$A$28:$O$47,2,FALSE)</f>
        <v>8</v>
      </c>
      <c r="V29" s="32">
        <f ca="1">IF(ISERROR(VLOOKUP(SMALL($A$28:$A$47,2),$A$28:$R$47,2,FALSE)),"",VLOOKUP(SMALL($A$28:$A$47,2),$A$28:$R$47,2,FALSE))</f>
        <v>8</v>
      </c>
      <c r="W29" s="32" t="str">
        <f ca="1">IF($V$29&lt;&gt;"",VLOOKUP(LARGE($A$28:$A$47,2),$A$28:$R$47,3,FALSE),"")</f>
        <v>Ps</v>
      </c>
      <c r="X29" s="32" t="str">
        <f ca="1">IF($V$29&lt;&gt;"",VLOOKUP(LARGE($A$28:$A$47,2),$A$28:$R$47,4,FALSE),"")</f>
        <v>Pk6</v>
      </c>
      <c r="Y29" s="32">
        <f ca="1">IF($V$29&lt;&gt;"",VLOOKUP(LARGE($A$28:$A$47,2),$A$28:$R$47,8,FALSE),"")</f>
        <v>30</v>
      </c>
      <c r="Z29" s="32" t="str">
        <f ca="1">IF($V$29&lt;&gt;"",VLOOKUP(LARGE($A$28:$A$47,2),$A$28:$R$47,5,FALSE),"")</f>
        <v>OFB_1</v>
      </c>
      <c r="AA29" s="32">
        <f ca="1">IF($V$29&lt;&gt;"",VLOOKUP(LARGE($A$28:$A$47,2),$A$28:$R$47,6,FALSE),"")</f>
        <v>3</v>
      </c>
      <c r="AB29" s="32">
        <f ca="1">IF($V$29&lt;&gt;"",VLOOKUP(LARGE($A$28:$A$47,2),$A$28:$R$47,7,FALSE),"")</f>
        <v>0</v>
      </c>
      <c r="AC29" s="32">
        <f ca="1">IF($V$29&lt;&gt;"",VLOOKUP(LARGE($A$28:$A$47,2),$A$28:$R$47,11,FALSE),"")</f>
        <v>36</v>
      </c>
      <c r="AE29" s="64" t="e">
        <f t="shared" ref="AE29:AF47" ca="1" si="116">IF(AH5="",0,AH5)</f>
        <v>#REF!</v>
      </c>
      <c r="AF29" s="75">
        <f t="shared" ca="1" si="116"/>
        <v>17.500000000019998</v>
      </c>
      <c r="AH29" s="71">
        <f t="shared" ref="AH29:AH47" ca="1" si="117">AZ29</f>
        <v>2</v>
      </c>
      <c r="AI29" s="65">
        <f t="shared" ref="AI29:AI47" ca="1" si="118">SUM(AR29:AY29)</f>
        <v>834.96333173341338</v>
      </c>
      <c r="AJ29" s="34">
        <f ca="1">IF($V$29&lt;&gt;"",VLOOKUP($V$29,$B$4:$FZ$23,1,FALSE),"")</f>
        <v>8</v>
      </c>
      <c r="AK29" s="34" t="str">
        <f ca="1">IF($V$29&lt;&gt;"",VLOOKUP($V$29,$B$4:$FZ$23,2,FALSE),"")</f>
        <v>FARADAY LE DUN</v>
      </c>
      <c r="AL29" s="32">
        <f ca="1">IF($V$29&lt;&gt;"",VLOOKUP($V$29,$B$4:$FZ$23,20,FALSE),"")</f>
        <v>1</v>
      </c>
      <c r="AM29" s="32">
        <f ca="1">IF($V$29&lt;&gt;"",VLOOKUP($V$29,$B$4:$FZ$23,21,FALSE),"")</f>
        <v>1</v>
      </c>
      <c r="AN29" s="32">
        <f ca="1">IF($V$29&lt;&gt;"",VLOOKUP($V$29,$B$4:$FZ$23,22,FALSE),"")</f>
        <v>3</v>
      </c>
      <c r="AO29" s="32">
        <f ca="1">IF($V$29&lt;&gt;"",VLOOKUP($V$29,$B$4:$FZ$23,23,FALSE),"")</f>
        <v>8</v>
      </c>
      <c r="AP29" s="32">
        <f ca="1">IF($V$29&lt;&gt;"",VLOOKUP($V$29,$B$4:$FZ$23,24,FALSE),"")</f>
        <v>6</v>
      </c>
      <c r="AQ29" s="32">
        <f ca="1">IF($V$29&lt;&gt;"",VLOOKUP($V$29,$B$4:$FZ$23,25,FALSE),"")</f>
        <v>3</v>
      </c>
      <c r="AR29" s="80">
        <f ca="1">IF(V29&lt;&gt;"",VLOOKUP(V29,$B$4:$FZ$23,34,FALSE),0)</f>
        <v>18.333333333413332</v>
      </c>
      <c r="AS29" s="76">
        <f t="shared" ref="AS29:AS47" ca="1" si="119">IF(V29&lt;&gt;"",VLOOKUP(V29,$B$4:$FZ$23,42,FALSE),0)</f>
        <v>0.63000080000000003</v>
      </c>
      <c r="AT29" s="26">
        <f t="shared" ref="AT29:AT47" ca="1" si="120">IF(V29&lt;&gt;"",VLOOKUP(V29,$B$4:$FZ$23,50,FALSE),0)</f>
        <v>147</v>
      </c>
      <c r="AU29" s="26">
        <f t="shared" ref="AU29:AU47" ca="1" si="121">IF(V29&lt;&gt;"",VLOOKUP(V29,$B$4:$FZ$23,49,FALSE),0)</f>
        <v>124.9999992</v>
      </c>
      <c r="AV29" s="26">
        <f t="shared" ref="AV29:AV47" ca="1" si="122">IF(V29&lt;&gt;"",VLOOKUP(V29,$B$4:$FZ$23,55,FALSE),0)</f>
        <v>147</v>
      </c>
      <c r="AW29" s="26">
        <f t="shared" ref="AW29:AW47" ca="1" si="123">IF(V29&lt;&gt;"",VLOOKUP(V29,$B$4:$FZ$23,54,FALSE),0)</f>
        <v>124.9999992</v>
      </c>
      <c r="AX29" s="26">
        <f t="shared" ref="AX29:AX47" ca="1" si="124">IF(V29&lt;&gt;"",VLOOKUP(V29,$B$4:$FZ$23,64,FALSE),0)</f>
        <v>147</v>
      </c>
      <c r="AY29" s="26">
        <f t="shared" ref="AY29:AY47" ca="1" si="125">IF(V29&lt;&gt;"",VLOOKUP(V29,$B$4:$FZ$23,63,FALSE),0)</f>
        <v>124.9999992</v>
      </c>
      <c r="AZ29" s="77">
        <f ca="1">IFERROR(RANK(BB29,$BB$28:$BB$47)+COUNTIF(BB29:BB$47,BB29)-1,"")</f>
        <v>2</v>
      </c>
      <c r="BA29" s="1">
        <f ca="1">VLOOKUP(LARGE($AI$28:$AI$47,2),$AI$28:$AJ$47,2,FALSE)</f>
        <v>8</v>
      </c>
      <c r="BB29" s="71">
        <f t="shared" ca="1" si="107"/>
        <v>135.9999996</v>
      </c>
      <c r="BC29" s="78">
        <f ca="1">IFERROR(VLOOKUP(SMALL($AH$28:$AH$47,2),$AH$28:$AJ$47,3,FALSE),"")</f>
        <v>8</v>
      </c>
      <c r="BD29" s="79">
        <f ca="1">IFERROR(RANK(AR29,$AR$28:$AR$47)+COUNTIF(AR$28:AR29,AR29)-1,"")</f>
        <v>5</v>
      </c>
      <c r="BE29" s="79">
        <f ca="1">IFERROR(RANK(AS29,$AS$28:$AS$47)+COUNTIF(AS$28:AS29,AS29)-1,"")</f>
        <v>5</v>
      </c>
      <c r="BF29" s="79">
        <f ca="1">IFERROR(RANK(AT29,$AT$28:$AT$47)+COUNTIF(AT$28:AT29,AT29)-1,"")</f>
        <v>2</v>
      </c>
      <c r="BG29" s="79">
        <f ca="1">IFERROR(RANK(AU29,$AU$28:$AU$47)+COUNTIF(AU$28:AU29,AU29)-1,"")</f>
        <v>8</v>
      </c>
      <c r="BH29" s="79">
        <f ca="1">IFERROR(RANK(AV29,$AV$28:$AV$47)+COUNTIF(AV$28:AV29,AV29)-1,"")</f>
        <v>2</v>
      </c>
      <c r="BI29" s="79">
        <f ca="1">IFERROR(RANK(AW29,$AW$28:$AW$47)+COUNTIF(AW$28:AW29,AW29)-1,"")</f>
        <v>5</v>
      </c>
      <c r="BJ29" s="79">
        <f ca="1">IFERROR(RANK(AX29,$AX$28:$AX$47)+COUNTIF(AX$28:AX29,AX29)-1,"")</f>
        <v>2</v>
      </c>
      <c r="BK29" s="79">
        <f ca="1">IFERROR(RANK(AY29,$AY$28:$AY$47)+COUNTIF(AY$28:AY29,AY29)-1,"")</f>
        <v>8</v>
      </c>
      <c r="BL29" s="1">
        <f t="shared" ref="BL29:BL47" ca="1" si="126">AJ29</f>
        <v>8</v>
      </c>
      <c r="BM29" s="78">
        <f ca="1">IFERROR(VLOOKUP(SMALL($BD$28:$BD$47,2),$BD$28:$BL$47,9,FALSE),"")</f>
        <v>6</v>
      </c>
      <c r="BN29" s="78">
        <f ca="1">IFERROR(VLOOKUP(SMALL($BE$28:$BE$47,2),$BE$28:$BL$47,8,FALSE),"")</f>
        <v>1</v>
      </c>
      <c r="BO29" s="78">
        <f ca="1">IFERROR(VLOOKUP(SMALL($BF$28:$BF$47,2),$BF$28:$BL$47,7,FALSE),"")</f>
        <v>8</v>
      </c>
      <c r="BP29" s="78">
        <f ca="1">IFERROR(VLOOKUP(SMALL($BG$28:$BG$47,2),$BG$28:$BL$47,6,FALSE),"")</f>
        <v>3</v>
      </c>
      <c r="BQ29" s="78">
        <f ca="1">IFERROR(VLOOKUP(SMALL($BH$28:$BH$47,2),$BH$28:$BL$47,5,FALSE),"")</f>
        <v>8</v>
      </c>
      <c r="BR29" s="78">
        <f ca="1">IFERROR(VLOOKUP(SMALL($BI$28:$BI$47,2),$BI$28:$BL$47,4,FALSE),"")</f>
        <v>7</v>
      </c>
      <c r="BS29" s="78">
        <f ca="1">IFERROR(VLOOKUP(SMALL($BJ$28:$BJ$47,2),$BJ$28:$BL$47,3,FALSE),"")</f>
        <v>8</v>
      </c>
      <c r="BT29" s="78">
        <f ca="1">IFERROR(VLOOKUP(SMALL($BJ$28:$BJ$47,2),$BJ$28:$BL$47,3,FALSE),"")</f>
        <v>8</v>
      </c>
      <c r="BV29" s="71"/>
      <c r="EA29" s="1">
        <v>2</v>
      </c>
    </row>
    <row r="30" spans="1:132" ht="13.2" x14ac:dyDescent="0.25">
      <c r="A30" s="71">
        <f t="shared" ca="1" si="108"/>
        <v>-15.999970000000005</v>
      </c>
      <c r="B30" s="32">
        <f t="shared" ca="1" si="101"/>
        <v>3</v>
      </c>
      <c r="C30" s="32" t="str">
        <f t="shared" ca="1" si="109"/>
        <v>Pi</v>
      </c>
      <c r="D30" s="32" t="str">
        <f t="shared" ca="1" si="110"/>
        <v>Pk4</v>
      </c>
      <c r="E30" s="32" t="str">
        <f t="shared" ref="E30:E47" ca="1" si="127">IF(B30&lt;&gt;0,VLOOKUP(AP6,$B$50:$C$113,2,FALSE),"")</f>
        <v>FBB</v>
      </c>
      <c r="F30" s="32">
        <f t="shared" ca="1" si="111"/>
        <v>5</v>
      </c>
      <c r="G30" s="32">
        <f t="shared" ca="1" si="102"/>
        <v>1</v>
      </c>
      <c r="H30" s="32">
        <f t="shared" ca="1" si="103"/>
        <v>41</v>
      </c>
      <c r="I30" s="36">
        <f t="shared" ca="1" si="112"/>
        <v>6</v>
      </c>
      <c r="J30" s="37">
        <f t="shared" ca="1" si="113"/>
        <v>2</v>
      </c>
      <c r="K30" s="32">
        <f t="shared" ca="1" si="114"/>
        <v>26</v>
      </c>
      <c r="L30" s="32">
        <f ca="1">IF(B30&lt;&gt;0,SUMPRODUCT((COUNTIF(AJ6:AO6,{1,2,3,4,5,10})=0)*{1,2,3,4,5,10}),"")</f>
        <v>18</v>
      </c>
      <c r="M30" s="32">
        <f t="shared" ca="1" si="115"/>
        <v>119</v>
      </c>
      <c r="N30" s="73">
        <f t="shared" ca="1" si="104"/>
        <v>-15.999970000000005</v>
      </c>
      <c r="O30" s="74">
        <f ca="1">IFERROR(_xlfn.RANK.EQ(A30,$A$28:$A$47,1)+COUNTIF(A$28:A30,A30)-1,"")</f>
        <v>4</v>
      </c>
      <c r="P30" s="8">
        <f ca="1">VLOOKUP(SMALL($O$28:$O$47,3),$O$28:$Q$47,3,FALSE)</f>
        <v>2</v>
      </c>
      <c r="Q30" s="1">
        <v>3</v>
      </c>
      <c r="S30" s="32">
        <f t="shared" ca="1" si="105"/>
        <v>100</v>
      </c>
      <c r="T30" s="32" t="str">
        <f t="shared" ca="1" si="106"/>
        <v>4</v>
      </c>
      <c r="U30" s="8">
        <f ca="1">VLOOKUP(SMALL($A$28:$A$47,3),$A$28:$O$47,2,FALSE)</f>
        <v>2</v>
      </c>
      <c r="V30" s="32">
        <f ca="1">IF(ISERROR(VLOOKUP(SMALL($A$28:$A$47,3),$A$28:$R$47,2,FALSE)),"",VLOOKUP(SMALL($A$28:$A$47,3),$A$28:$R$47,2,FALSE))</f>
        <v>2</v>
      </c>
      <c r="W30" s="32" t="str">
        <f ca="1">IF($V$30&lt;&gt;"",VLOOKUP(LARGE($A$28:$A$47,3),$A$28:$R$47,3,FALSE),"")</f>
        <v>Ps</v>
      </c>
      <c r="X30" s="32" t="str">
        <f ca="1">IF($V$30&lt;&gt;"",VLOOKUP(LARGE($A$28:$A$47,3),$A$28:$R$47,4,FALSE),"")</f>
        <v>Pk6</v>
      </c>
      <c r="Y30" s="32">
        <f ca="1">IF($V$30&lt;&gt;"",VLOOKUP(LARGE($A$28:$A$47,3),$A$28:$R$47,8,FALSE),"")</f>
        <v>61</v>
      </c>
      <c r="Z30" s="32" t="str">
        <f ca="1">IF($V$30&lt;&gt;"",VLOOKUP(LARGE($A$28:$A$47,3),$A$28:$R$47,5,FALSE),"")</f>
        <v>OFB_1</v>
      </c>
      <c r="AA30" s="32">
        <f ca="1">IF($V$30&lt;&gt;"",VLOOKUP(LARGE($A$28:$A$47,3),$A$28:$R$47,6,FALSE),"")</f>
        <v>3</v>
      </c>
      <c r="AB30" s="32">
        <f ca="1">IF($V$30&lt;&gt;"",VLOOKUP(LARGE($A$28:$A$47,3),$A$28:$R$47,7,FALSE),"")</f>
        <v>1</v>
      </c>
      <c r="AC30" s="32">
        <f ca="1">IF($V$30&lt;&gt;"",VLOOKUP(LARGE($A$28:$A$47,3),$A$28:$R$47,11,FALSE),"")</f>
        <v>6</v>
      </c>
      <c r="AE30" s="64" t="e">
        <f t="shared" ca="1" si="116"/>
        <v>#REF!</v>
      </c>
      <c r="AF30" s="75">
        <f t="shared" ca="1" si="116"/>
        <v>19.166666666696667</v>
      </c>
      <c r="AH30" s="71">
        <f t="shared" ca="1" si="117"/>
        <v>3</v>
      </c>
      <c r="AI30" s="65">
        <f t="shared" ca="1" si="118"/>
        <v>828.31999960001997</v>
      </c>
      <c r="AJ30" s="34">
        <f ca="1">IF($V$30&lt;&gt;"",VLOOKUP($V$30,$B$4:$FZ$23,1,FALSE),"")</f>
        <v>2</v>
      </c>
      <c r="AK30" s="34" t="str">
        <f ca="1">IF($V$30&lt;&gt;"",VLOOKUP($V$30,$B$4:$FZ$23,2,FALSE),"")</f>
        <v>ASCOT SPIRIT</v>
      </c>
      <c r="AL30" s="32">
        <f ca="1">IF($V$30&lt;&gt;"",VLOOKUP($V$30,$B$4:$FZ$23,20,FALSE),"")</f>
        <v>2</v>
      </c>
      <c r="AM30" s="32">
        <f ca="1">IF($V$30&lt;&gt;"",VLOOKUP($V$30,$B$4:$FZ$23,21,FALSE),"")</f>
        <v>2</v>
      </c>
      <c r="AN30" s="32">
        <f ca="1">IF($V$30&lt;&gt;"",VLOOKUP($V$30,$B$4:$FZ$23,22,FALSE),"")</f>
        <v>1</v>
      </c>
      <c r="AO30" s="32">
        <f ca="1">IF($V$30&lt;&gt;"",VLOOKUP($V$30,$B$4:$FZ$23,23,FALSE),"")</f>
        <v>4</v>
      </c>
      <c r="AP30" s="32">
        <f ca="1">IF($V$30&lt;&gt;"",VLOOKUP($V$30,$B$4:$FZ$23,24,FALSE),"")</f>
        <v>6</v>
      </c>
      <c r="AQ30" s="32">
        <f ca="1">IF($V$30&lt;&gt;"",VLOOKUP($V$30,$B$4:$FZ$23,25,FALSE),"")</f>
        <v>6</v>
      </c>
      <c r="AR30" s="80">
        <f t="shared" ref="AR30:AR47" ca="1" si="128">IF(V30&lt;&gt;"",VLOOKUP(V30,$B$4:$FZ$23,34,FALSE),0)</f>
        <v>17.500000000019998</v>
      </c>
      <c r="AS30" s="76">
        <f t="shared" ca="1" si="119"/>
        <v>0.82000019999999996</v>
      </c>
      <c r="AT30" s="26">
        <f t="shared" ca="1" si="120"/>
        <v>144</v>
      </c>
      <c r="AU30" s="26">
        <f t="shared" ca="1" si="121"/>
        <v>125.9999998</v>
      </c>
      <c r="AV30" s="26">
        <f t="shared" ca="1" si="122"/>
        <v>144</v>
      </c>
      <c r="AW30" s="26">
        <f t="shared" ca="1" si="123"/>
        <v>125.9999998</v>
      </c>
      <c r="AX30" s="26">
        <f t="shared" ca="1" si="124"/>
        <v>144</v>
      </c>
      <c r="AY30" s="26">
        <f t="shared" ca="1" si="125"/>
        <v>125.9999998</v>
      </c>
      <c r="AZ30" s="77">
        <f ca="1">IFERROR(RANK(BB30,$BB$28:$BB$47)+COUNTIF(BB30:BB$47,BB30)-1,"")</f>
        <v>3</v>
      </c>
      <c r="BA30" s="1">
        <f ca="1">VLOOKUP(LARGE($AI$28:$AI$47,3),$AI$28:$AJ$47,2,FALSE)</f>
        <v>2</v>
      </c>
      <c r="BB30" s="71">
        <f t="shared" ca="1" si="107"/>
        <v>134.99999990000001</v>
      </c>
      <c r="BC30" s="78">
        <f ca="1">IFERROR(VLOOKUP(SMALL($AH$28:$AH$47,3),$AH$28:$AJ$47,3,FALSE),"")</f>
        <v>2</v>
      </c>
      <c r="BD30" s="79">
        <f ca="1">IFERROR(RANK(AR30,$AR$28:$AR$47)+COUNTIF(AR$28:AR30,AR30)-1,"")</f>
        <v>6</v>
      </c>
      <c r="BE30" s="79">
        <f ca="1">IFERROR(RANK(AS30,$AS$28:$AS$47)+COUNTIF(AS$28:AS30,AS30)-1,"")</f>
        <v>1</v>
      </c>
      <c r="BF30" s="79">
        <f ca="1">IFERROR(RANK(AT30,$AT$28:$AT$47)+COUNTIF(AT$28:AT30,AT30)-1,"")</f>
        <v>3</v>
      </c>
      <c r="BG30" s="79">
        <f ca="1">IFERROR(RANK(AU30,$AU$28:$AU$47)+COUNTIF(AU$28:AU30,AU30)-1,"")</f>
        <v>7</v>
      </c>
      <c r="BH30" s="79">
        <f ca="1">IFERROR(RANK(AV30,$AV$28:$AV$47)+COUNTIF(AV$28:AV30,AV30)-1,"")</f>
        <v>3</v>
      </c>
      <c r="BI30" s="79">
        <f ca="1">IFERROR(RANK(AW30,$AW$28:$AW$47)+COUNTIF(AW$28:AW30,AW30)-1,"")</f>
        <v>3</v>
      </c>
      <c r="BJ30" s="79">
        <f ca="1">IFERROR(RANK(AX30,$AX$28:$AX$47)+COUNTIF(AX$28:AX30,AX30)-1,"")</f>
        <v>3</v>
      </c>
      <c r="BK30" s="79">
        <f ca="1">IFERROR(RANK(AY30,$AY$28:$AY$47)+COUNTIF(AY$28:AY30,AY30)-1,"")</f>
        <v>7</v>
      </c>
      <c r="BL30" s="1">
        <f t="shared" ca="1" si="126"/>
        <v>2</v>
      </c>
      <c r="BM30" s="78">
        <f ca="1">IFERROR(VLOOKUP(SMALL($BD$28:$BD$47,3),$BD$28:$BL$47,9,FALSE),"")</f>
        <v>1</v>
      </c>
      <c r="BN30" s="78">
        <f ca="1">IFERROR(VLOOKUP(SMALL($BE$28:$BE$47,3),$BE$28:$BL$47,8,FALSE),"")</f>
        <v>7</v>
      </c>
      <c r="BO30" s="78">
        <f ca="1">IFERROR(VLOOKUP(SMALL($BF$28:$BF$47,3),$BF$28:$BL$47,7,FALSE),"")</f>
        <v>2</v>
      </c>
      <c r="BP30" s="78">
        <f ca="1">IFERROR(VLOOKUP(SMALL($BG$28:$BG$47,3),$BG$28:$BL$47,6,FALSE),"")</f>
        <v>1</v>
      </c>
      <c r="BQ30" s="78">
        <f ca="1">IFERROR(VLOOKUP(SMALL($BH$28:$BH$47,3),$BH$28:$BL$47,5,FALSE),"")</f>
        <v>2</v>
      </c>
      <c r="BR30" s="78">
        <f ca="1">IFERROR(VLOOKUP(SMALL($BI$28:$BI$47,3),$BI$28:$BL$47,4,FALSE),"")</f>
        <v>2</v>
      </c>
      <c r="BS30" s="78">
        <f ca="1">IFERROR(VLOOKUP(SMALL($BJ$28:$BJ$47,3),$BJ$28:$BL$47,3,FALSE),"")</f>
        <v>2</v>
      </c>
      <c r="BT30" s="78">
        <f ca="1">IFERROR(VLOOKUP(SMALL($BJ$28:$BJ$47,3),$BJ$28:$BL$47,3,FALSE),"")</f>
        <v>2</v>
      </c>
      <c r="BV30" s="71"/>
      <c r="DY30" s="1">
        <v>1</v>
      </c>
    </row>
    <row r="31" spans="1:132" ht="13.2" x14ac:dyDescent="0.25">
      <c r="A31" s="71">
        <f t="shared" ca="1" si="108"/>
        <v>893.00004000000001</v>
      </c>
      <c r="B31" s="32">
        <f t="shared" ca="1" si="101"/>
        <v>4</v>
      </c>
      <c r="C31" s="32" t="str">
        <f t="shared" ca="1" si="109"/>
        <v>Ps</v>
      </c>
      <c r="D31" s="32" t="str">
        <f t="shared" ca="1" si="110"/>
        <v>Pk6</v>
      </c>
      <c r="E31" s="32" t="str">
        <f t="shared" ca="1" si="127"/>
        <v>OFB_1</v>
      </c>
      <c r="F31" s="32">
        <f t="shared" ca="1" si="111"/>
        <v>3</v>
      </c>
      <c r="G31" s="32">
        <f t="shared" ca="1" si="102"/>
        <v>0</v>
      </c>
      <c r="H31" s="32">
        <f t="shared" ca="1" si="103"/>
        <v>30</v>
      </c>
      <c r="I31" s="36">
        <f t="shared" ca="1" si="112"/>
        <v>6</v>
      </c>
      <c r="J31" s="37">
        <f t="shared" ca="1" si="113"/>
        <v>3</v>
      </c>
      <c r="K31" s="32">
        <f t="shared" ca="1" si="114"/>
        <v>36</v>
      </c>
      <c r="L31" s="32">
        <f ca="1">IF(B31&lt;&gt;0,SUMPRODUCT((COUNTIF(AJ7:AO7,{1,2,3,4,5,10})=0)*{1,2,3,4,5,10}),"")</f>
        <v>14</v>
      </c>
      <c r="M31" s="32">
        <f t="shared" ca="1" si="115"/>
        <v>113</v>
      </c>
      <c r="N31" s="73">
        <f t="shared" ca="1" si="104"/>
        <v>893.00004000000001</v>
      </c>
      <c r="O31" s="74">
        <f ca="1">IFERROR(_xlfn.RANK.EQ(A31,$A$28:$A$47,1)+COUNTIF(A$28:A31,A31)-1,"")</f>
        <v>7</v>
      </c>
      <c r="P31" s="8">
        <f ca="1">VLOOKUP(SMALL($O$28:$O$47,4),$O$28:$Q$47,3,FALSE)</f>
        <v>3</v>
      </c>
      <c r="Q31" s="1">
        <v>4</v>
      </c>
      <c r="S31" s="32">
        <f t="shared" ca="1" si="105"/>
        <v>1000</v>
      </c>
      <c r="T31" s="32" t="str">
        <f t="shared" ca="1" si="106"/>
        <v>6</v>
      </c>
      <c r="U31" s="8">
        <f ca="1">VLOOKUP(SMALL($A$28:$A$47,4),$A$28:$O$47,2,FALSE)</f>
        <v>3</v>
      </c>
      <c r="V31" s="32">
        <f ca="1">IF(ISERROR(VLOOKUP(SMALL($A$28:$A$47,4),$A$28:$R$47,2,FALSE)),"",VLOOKUP(SMALL($A$28:$A$47,4),$A$28:$R$47,2,FALSE))</f>
        <v>3</v>
      </c>
      <c r="W31" s="32" t="str">
        <f ca="1">IF($V$31&lt;&gt;"",VLOOKUP(LARGE($A$28:$A$47,4),$A$28:$R$47,3,FALSE),"")</f>
        <v>Pi</v>
      </c>
      <c r="X31" s="32" t="str">
        <f ca="1">IF($V$31&lt;&gt;"",VLOOKUP(LARGE($A$28:$A$47,4),$A$28:$R$47,4,FALSE),"")</f>
        <v>Pk3</v>
      </c>
      <c r="Y31" s="32">
        <f ca="1">IF($V$31&lt;&gt;"",VLOOKUP(LARGE($A$28:$A$47,4),$A$28:$R$47,8,FALSE),"")</f>
        <v>41</v>
      </c>
      <c r="Z31" s="32" t="str">
        <f ca="1">IF($V$31&lt;&gt;"",VLOOKUP(LARGE($A$28:$A$47,4),$A$28:$R$47,5,FALSE),"")</f>
        <v>FBB</v>
      </c>
      <c r="AA31" s="32">
        <f ca="1">IF($V$31&lt;&gt;"",VLOOKUP(LARGE($A$28:$A$47,4),$A$28:$R$47,6,FALSE),"")</f>
        <v>5</v>
      </c>
      <c r="AB31" s="32">
        <f ca="1">IF($V$31&lt;&gt;"",VLOOKUP(LARGE($A$28:$A$47,4),$A$28:$R$47,7,FALSE),"")</f>
        <v>0</v>
      </c>
      <c r="AC31" s="32">
        <f ca="1">IF($V$31&lt;&gt;"",VLOOKUP(LARGE($A$28:$A$47,4),$A$28:$R$47,11,FALSE),"")</f>
        <v>36</v>
      </c>
      <c r="AE31" s="64" t="e">
        <f t="shared" ca="1" si="116"/>
        <v>#REF!</v>
      </c>
      <c r="AF31" s="75">
        <f t="shared" ca="1" si="116"/>
        <v>29.166666666706668</v>
      </c>
      <c r="AH31" s="71">
        <f t="shared" ca="1" si="117"/>
        <v>5</v>
      </c>
      <c r="AI31" s="65">
        <f t="shared" ca="1" si="118"/>
        <v>809.88666606669665</v>
      </c>
      <c r="AJ31" s="34">
        <f ca="1">IF($V$31&lt;&gt;"",VLOOKUP($V$31,$B$4:$FZ$23,1,FALSE),"")</f>
        <v>3</v>
      </c>
      <c r="AK31" s="34" t="str">
        <f ca="1">IF($V$31&lt;&gt;"",VLOOKUP($V$31,$B$4:$FZ$23,2,FALSE),"")</f>
        <v>DANCE COLONY</v>
      </c>
      <c r="AL31" s="32">
        <f ca="1">IF($V$31&lt;&gt;"",VLOOKUP($V$31,$B$4:$FZ$23,20,FALSE),"")</f>
        <v>6</v>
      </c>
      <c r="AM31" s="32">
        <f ca="1">IF($V$31&lt;&gt;"",VLOOKUP($V$31,$B$4:$FZ$23,21,FALSE),"")</f>
        <v>6</v>
      </c>
      <c r="AN31" s="32">
        <f ca="1">IF($V$31&lt;&gt;"",VLOOKUP($V$31,$B$4:$FZ$23,22,FALSE),"")</f>
        <v>3</v>
      </c>
      <c r="AO31" s="32">
        <f ca="1">IF($V$31&lt;&gt;"",VLOOKUP($V$31,$B$4:$FZ$23,23,FALSE),"")</f>
        <v>3</v>
      </c>
      <c r="AP31" s="32">
        <f ca="1">IF($V$31&lt;&gt;"",VLOOKUP($V$31,$B$4:$FZ$23,24,FALSE),"")</f>
        <v>1</v>
      </c>
      <c r="AQ31" s="32">
        <f ca="1">IF($V$31&lt;&gt;"",VLOOKUP($V$31,$B$4:$FZ$23,25,FALSE),"")</f>
        <v>4</v>
      </c>
      <c r="AR31" s="80">
        <f t="shared" ca="1" si="128"/>
        <v>19.166666666696667</v>
      </c>
      <c r="AS31" s="76">
        <f t="shared" ca="1" si="119"/>
        <v>0.72000029999999993</v>
      </c>
      <c r="AT31" s="26">
        <f t="shared" ca="1" si="120"/>
        <v>132</v>
      </c>
      <c r="AU31" s="26">
        <f t="shared" ca="1" si="121"/>
        <v>133.99999969999999</v>
      </c>
      <c r="AV31" s="26">
        <f t="shared" ca="1" si="122"/>
        <v>132</v>
      </c>
      <c r="AW31" s="26">
        <f t="shared" ca="1" si="123"/>
        <v>125.9999997</v>
      </c>
      <c r="AX31" s="26">
        <f t="shared" ca="1" si="124"/>
        <v>132</v>
      </c>
      <c r="AY31" s="26">
        <f t="shared" ca="1" si="125"/>
        <v>133.99999969999999</v>
      </c>
      <c r="AZ31" s="77">
        <f ca="1">IFERROR(RANK(BB31,$BB$28:$BB$47)+COUNTIF(BB31:BB$47,BB31)-1,"")</f>
        <v>5</v>
      </c>
      <c r="BA31" s="1">
        <f ca="1">VLOOKUP(LARGE($AI$28:$AI$47,4),$AI$28:$AJ$47,2,FALSE)</f>
        <v>5</v>
      </c>
      <c r="BB31" s="71">
        <f t="shared" ca="1" si="107"/>
        <v>131.66666651666665</v>
      </c>
      <c r="BC31" s="78">
        <f ca="1">IFERROR(VLOOKUP(SMALL($AH$28:$AH$47,4),$AH$28:$AJ$47,3,FALSE),"")</f>
        <v>5</v>
      </c>
      <c r="BD31" s="79">
        <f ca="1">IFERROR(RANK(AR31,$AR$28:$AR$47)+COUNTIF(AR$28:AR31,AR31)-1,"")</f>
        <v>4</v>
      </c>
      <c r="BE31" s="79">
        <f ca="1">IFERROR(RANK(AS31,$AS$28:$AS$47)+COUNTIF(AS$28:AS31,AS31)-1,"")</f>
        <v>4</v>
      </c>
      <c r="BF31" s="79">
        <f ca="1">IFERROR(RANK(AT31,$AT$28:$AT$47)+COUNTIF(AT$28:AT31,AT31)-1,"")</f>
        <v>4</v>
      </c>
      <c r="BG31" s="79">
        <f ca="1">IFERROR(RANK(AU31,$AU$28:$AU$47)+COUNTIF(AU$28:AU31,AU31)-1,"")</f>
        <v>2</v>
      </c>
      <c r="BH31" s="79">
        <f ca="1">IFERROR(RANK(AV31,$AV$28:$AV$47)+COUNTIF(AV$28:AV31,AV31)-1,"")</f>
        <v>4</v>
      </c>
      <c r="BI31" s="79">
        <f ca="1">IFERROR(RANK(AW31,$AW$28:$AW$47)+COUNTIF(AW$28:AW31,AW31)-1,"")</f>
        <v>4</v>
      </c>
      <c r="BJ31" s="79">
        <f ca="1">IFERROR(RANK(AX31,$AX$28:$AX$47)+COUNTIF(AX$28:AX31,AX31)-1,"")</f>
        <v>4</v>
      </c>
      <c r="BK31" s="79">
        <f ca="1">IFERROR(RANK(AY31,$AY$28:$AY$47)+COUNTIF(AY$28:AY31,AY31)-1,"")</f>
        <v>2</v>
      </c>
      <c r="BL31" s="1">
        <f t="shared" ca="1" si="126"/>
        <v>3</v>
      </c>
      <c r="BM31" s="78"/>
      <c r="BN31" s="78"/>
      <c r="BO31" s="78"/>
      <c r="BP31" s="78"/>
      <c r="BQ31" s="78"/>
      <c r="BR31" s="78"/>
      <c r="BS31" s="78"/>
      <c r="BT31" s="78"/>
      <c r="BV31" s="71"/>
    </row>
    <row r="32" spans="1:132" ht="13.2" x14ac:dyDescent="0.25">
      <c r="A32" s="71">
        <f t="shared" ca="1" si="108"/>
        <v>881.00004999999999</v>
      </c>
      <c r="B32" s="32">
        <f t="shared" ca="1" si="101"/>
        <v>5</v>
      </c>
      <c r="C32" s="32" t="str">
        <f t="shared" ca="1" si="109"/>
        <v>Ps</v>
      </c>
      <c r="D32" s="32" t="str">
        <f t="shared" ca="1" si="110"/>
        <v>Pk6</v>
      </c>
      <c r="E32" s="32" t="str">
        <f t="shared" ca="1" si="127"/>
        <v>OFB_1</v>
      </c>
      <c r="F32" s="32">
        <f t="shared" ca="1" si="111"/>
        <v>3</v>
      </c>
      <c r="G32" s="32">
        <f t="shared" ca="1" si="102"/>
        <v>1</v>
      </c>
      <c r="H32" s="32">
        <f t="shared" ca="1" si="103"/>
        <v>61</v>
      </c>
      <c r="I32" s="36">
        <f t="shared" ca="1" si="112"/>
        <v>6</v>
      </c>
      <c r="J32" s="37">
        <f t="shared" ca="1" si="113"/>
        <v>0</v>
      </c>
      <c r="K32" s="32">
        <f t="shared" ca="1" si="114"/>
        <v>6</v>
      </c>
      <c r="L32" s="32">
        <f ca="1">IF(B32&lt;&gt;0,SUMPRODUCT((COUNTIF(AJ8:AO8,{1,2,3,4,5,10})=0)*{1,2,3,4,5,10}),"")</f>
        <v>19</v>
      </c>
      <c r="M32" s="32">
        <f t="shared" ca="1" si="115"/>
        <v>124</v>
      </c>
      <c r="N32" s="73">
        <f t="shared" ca="1" si="104"/>
        <v>881.00004999999999</v>
      </c>
      <c r="O32" s="74">
        <f ca="1">IFERROR(_xlfn.RANK.EQ(A32,$A$28:$A$47,1)+COUNTIF(A$28:A32,A32)-1,"")</f>
        <v>6</v>
      </c>
      <c r="P32" s="8">
        <f ca="1">VLOOKUP(SMALL($O$28:$O$47,5),$O$28:$Q$47,3,FALSE)</f>
        <v>1</v>
      </c>
      <c r="Q32" s="1">
        <v>5</v>
      </c>
      <c r="S32" s="32">
        <f t="shared" ca="1" si="105"/>
        <v>1000</v>
      </c>
      <c r="T32" s="32" t="str">
        <f t="shared" ca="1" si="106"/>
        <v>6</v>
      </c>
      <c r="U32" s="8">
        <f ca="1">VLOOKUP(SMALL($A$28:$A$47,5),$A$28:$O$47,2,FALSE)</f>
        <v>1</v>
      </c>
      <c r="V32" s="32">
        <f ca="1">IF(ISERROR(VLOOKUP(SMALL($A$28:$A$47,5),$A$28:$R$47,2,FALSE)),"",VLOOKUP(SMALL($A$28:$A$47,5),$A$28:$R$47,2,FALSE))</f>
        <v>1</v>
      </c>
      <c r="W32" s="32" t="str">
        <f ca="1">IF($V$32&lt;&gt;"",VLOOKUP(LARGE($A$28:$A$47,5),$A$28:$R$47,3,FALSE),"")</f>
        <v>Pi</v>
      </c>
      <c r="X32" s="32" t="str">
        <f ca="1">IF($V$32&lt;&gt;"",VLOOKUP(LARGE($A$28:$A$47,5),$A$28:$R$47,4,FALSE),"")</f>
        <v>Pk4</v>
      </c>
      <c r="Y32" s="32">
        <f ca="1">IF($V$32&lt;&gt;"",VLOOKUP(LARGE($A$28:$A$47,5),$A$28:$R$47,8,FALSE),"")</f>
        <v>41</v>
      </c>
      <c r="Z32" s="32" t="str">
        <f ca="1">IF($V$32&lt;&gt;"",VLOOKUP(LARGE($A$28:$A$47,5),$A$28:$R$47,5,FALSE),"")</f>
        <v>FBB</v>
      </c>
      <c r="AA32" s="32">
        <f ca="1">IF($V$32&lt;&gt;"",VLOOKUP(LARGE($A$28:$A$47,5),$A$28:$R$47,6,FALSE),"")</f>
        <v>5</v>
      </c>
      <c r="AB32" s="32">
        <f ca="1">IF($V$32&lt;&gt;"",VLOOKUP(LARGE($A$28:$A$47,5),$A$28:$R$47,7,FALSE),"")</f>
        <v>1</v>
      </c>
      <c r="AC32" s="32">
        <f ca="1">IF($V$32&lt;&gt;"",VLOOKUP(LARGE($A$28:$A$47,5),$A$28:$R$47,11,FALSE),"")</f>
        <v>26</v>
      </c>
      <c r="AE32" s="64" t="e">
        <f t="shared" ca="1" si="116"/>
        <v>#REF!</v>
      </c>
      <c r="AF32" s="75">
        <f t="shared" ca="1" si="116"/>
        <v>15.000000000049999</v>
      </c>
      <c r="AH32" s="71">
        <f t="shared" ca="1" si="117"/>
        <v>6</v>
      </c>
      <c r="AI32" s="65">
        <f t="shared" ca="1" si="118"/>
        <v>794.4266661666768</v>
      </c>
      <c r="AJ32" s="34">
        <f ca="1">IF($V$32&lt;&gt;"",VLOOKUP($V$32,$B$4:$FZ$23,1,FALSE),"")</f>
        <v>1</v>
      </c>
      <c r="AK32" s="34" t="str">
        <f ca="1">IF($V$32&lt;&gt;"",VLOOKUP($V$32,$B$4:$FZ$23,2,FALSE),"")</f>
        <v>EL PATRON</v>
      </c>
      <c r="AL32" s="32">
        <f ca="1">IF($V$32&lt;&gt;"",VLOOKUP($V$32,$B$4:$FZ$23,20,FALSE),"")</f>
        <v>4</v>
      </c>
      <c r="AM32" s="32">
        <f ca="1">IF($V$32&lt;&gt;"",VLOOKUP($V$32,$B$4:$FZ$23,21,FALSE),"")</f>
        <v>5</v>
      </c>
      <c r="AN32" s="32">
        <f ca="1">IF($V$32&lt;&gt;"",VLOOKUP($V$32,$B$4:$FZ$23,22,FALSE),"")</f>
        <v>6</v>
      </c>
      <c r="AO32" s="32">
        <f ca="1">IF($V$32&lt;&gt;"",VLOOKUP($V$32,$B$4:$FZ$23,23,FALSE),"")</f>
        <v>1</v>
      </c>
      <c r="AP32" s="32">
        <f ca="1">IF($V$32&lt;&gt;"",VLOOKUP($V$32,$B$4:$FZ$23,24,FALSE),"")</f>
        <v>3</v>
      </c>
      <c r="AQ32" s="32">
        <f ca="1">IF($V$32&lt;&gt;"",VLOOKUP($V$32,$B$4:$FZ$23,25,FALSE),"")</f>
        <v>7</v>
      </c>
      <c r="AR32" s="80">
        <f t="shared" ca="1" si="128"/>
        <v>21.666666666676669</v>
      </c>
      <c r="AS32" s="76">
        <f t="shared" ca="1" si="119"/>
        <v>0.76000009999999996</v>
      </c>
      <c r="AT32" s="26">
        <f t="shared" ca="1" si="120"/>
        <v>130.99999990000001</v>
      </c>
      <c r="AU32" s="26">
        <f t="shared" ca="1" si="121"/>
        <v>130.99999990000001</v>
      </c>
      <c r="AV32" s="26">
        <f t="shared" ca="1" si="122"/>
        <v>123.99999990000001</v>
      </c>
      <c r="AW32" s="26">
        <f t="shared" ca="1" si="123"/>
        <v>123.99999990000001</v>
      </c>
      <c r="AX32" s="26">
        <f t="shared" ca="1" si="124"/>
        <v>130.99999990000001</v>
      </c>
      <c r="AY32" s="26">
        <f t="shared" ca="1" si="125"/>
        <v>130.99999990000001</v>
      </c>
      <c r="AZ32" s="77">
        <f ca="1">IFERROR(RANK(BB32,$BB$28:$BB$47)+COUNTIF(BB32:BB$47,BB32)-1,"")</f>
        <v>6</v>
      </c>
      <c r="BA32" s="1">
        <f ca="1">VLOOKUP(LARGE($AI$28:$AI$47,5),$AI$28:$AJ$47,2,FALSE)</f>
        <v>3</v>
      </c>
      <c r="BB32" s="71">
        <f t="shared" ca="1" si="107"/>
        <v>128.66666656666669</v>
      </c>
      <c r="BC32" s="78">
        <f ca="1">IFERROR(VLOOKUP(SMALL($AH$28:$AH$47,5),$AH$28:$AJ$47,3,FALSE),"")</f>
        <v>3</v>
      </c>
      <c r="BD32" s="79">
        <f ca="1">IFERROR(RANK(AR32,$AR$28:$AR$47)+COUNTIF(AR$28:AR32,AR32)-1,"")</f>
        <v>3</v>
      </c>
      <c r="BE32" s="79">
        <f ca="1">IFERROR(RANK(AS32,$AS$28:$AS$47)+COUNTIF(AS$28:AS32,AS32)-1,"")</f>
        <v>2</v>
      </c>
      <c r="BF32" s="79">
        <f ca="1">IFERROR(RANK(AT32,$AT$28:$AT$47)+COUNTIF(AT$28:AT32,AT32)-1,"")</f>
        <v>6</v>
      </c>
      <c r="BG32" s="79">
        <f ca="1">IFERROR(RANK(AU32,$AU$28:$AU$47)+COUNTIF(AU$28:AU32,AU32)-1,"")</f>
        <v>3</v>
      </c>
      <c r="BH32" s="79">
        <f ca="1">IFERROR(RANK(AV32,$AV$28:$AV$47)+COUNTIF(AV$28:AV32,AV32)-1,"")</f>
        <v>6</v>
      </c>
      <c r="BI32" s="79">
        <f ca="1">IFERROR(RANK(AW32,$AW$28:$AW$47)+COUNTIF(AW$28:AW32,AW32)-1,"")</f>
        <v>6</v>
      </c>
      <c r="BJ32" s="79">
        <f ca="1">IFERROR(RANK(AX32,$AX$28:$AX$47)+COUNTIF(AX$28:AX32,AX32)-1,"")</f>
        <v>6</v>
      </c>
      <c r="BK32" s="79">
        <f ca="1">IFERROR(RANK(AY32,$AY$28:$AY$47)+COUNTIF(AY$28:AY32,AY32)-1,"")</f>
        <v>3</v>
      </c>
      <c r="BL32" s="1">
        <f t="shared" ca="1" si="126"/>
        <v>1</v>
      </c>
      <c r="BM32" s="78"/>
      <c r="BN32" s="78"/>
      <c r="BO32" s="78"/>
      <c r="BP32" s="78"/>
      <c r="BQ32" s="78"/>
      <c r="BR32" s="78"/>
      <c r="BS32" s="78"/>
      <c r="BT32" s="78"/>
      <c r="BV32" s="71"/>
      <c r="CU32" s="72"/>
      <c r="CV32" s="72"/>
      <c r="CW32" s="72"/>
      <c r="DE32" s="72"/>
      <c r="DF32" s="72"/>
      <c r="DG32" s="72"/>
      <c r="DO32" s="72"/>
      <c r="DP32" s="72"/>
      <c r="DY32" s="72">
        <f ca="1">+VLOOKUP(1,DY4:EB23,4,FALSE)</f>
        <v>8</v>
      </c>
      <c r="DZ32" s="72">
        <f ca="1">+VLOOKUP(2,DZ4:EB23,3,FALSE)</f>
        <v>6</v>
      </c>
    </row>
    <row r="33" spans="1:130" ht="13.2" x14ac:dyDescent="0.25">
      <c r="A33" s="71">
        <f t="shared" ca="1" si="108"/>
        <v>895.00005999999996</v>
      </c>
      <c r="B33" s="32">
        <f t="shared" ca="1" si="101"/>
        <v>6</v>
      </c>
      <c r="C33" s="32" t="str">
        <f t="shared" ca="1" si="109"/>
        <v>Ps</v>
      </c>
      <c r="D33" s="32" t="str">
        <f t="shared" ca="1" si="110"/>
        <v>Pk6</v>
      </c>
      <c r="E33" s="32" t="str">
        <f t="shared" ca="1" si="127"/>
        <v>OFB_1</v>
      </c>
      <c r="F33" s="32">
        <f t="shared" ca="1" si="111"/>
        <v>3</v>
      </c>
      <c r="G33" s="32">
        <f t="shared" ca="1" si="102"/>
        <v>0</v>
      </c>
      <c r="H33" s="32">
        <f t="shared" ca="1" si="103"/>
        <v>40</v>
      </c>
      <c r="I33" s="36">
        <f t="shared" ca="1" si="112"/>
        <v>6</v>
      </c>
      <c r="J33" s="37">
        <f t="shared" ca="1" si="113"/>
        <v>4</v>
      </c>
      <c r="K33" s="32">
        <f t="shared" ca="1" si="114"/>
        <v>46</v>
      </c>
      <c r="L33" s="32">
        <f ca="1">IF(B33&lt;&gt;0,SUMPRODUCT((COUNTIF(AJ9:AO9,{1,2,3,4,5,10})=0)*{1,2,3,4,5,10}),"")</f>
        <v>22</v>
      </c>
      <c r="M33" s="32">
        <f t="shared" ca="1" si="115"/>
        <v>111</v>
      </c>
      <c r="N33" s="73">
        <f t="shared" ca="1" si="104"/>
        <v>895.00005999999996</v>
      </c>
      <c r="O33" s="74">
        <f ca="1">IFERROR(_xlfn.RANK.EQ(A33,$A$28:$A$47,1)+COUNTIF(A$28:A33,A33)-1,"")</f>
        <v>8</v>
      </c>
      <c r="P33" s="8">
        <f ca="1">VLOOKUP(SMALL($O$28:$O$47,6),$O$28:$Q$47,3,FALSE)</f>
        <v>5</v>
      </c>
      <c r="Q33" s="1">
        <v>6</v>
      </c>
      <c r="S33" s="32">
        <f t="shared" ca="1" si="105"/>
        <v>1000</v>
      </c>
      <c r="T33" s="32" t="str">
        <f t="shared" ca="1" si="106"/>
        <v>6</v>
      </c>
      <c r="U33" s="8">
        <f ca="1">VLOOKUP(SMALL($A$28:$A$47,6),$A$28:$O$47,2,FALSE)</f>
        <v>5</v>
      </c>
      <c r="V33" s="32">
        <f ca="1">IF(ISERROR(VLOOKUP(SMALL($A$28:$A$47,6),$A$28:$R$47,2,FALSE)),"",VLOOKUP(SMALL($A$28:$A$47,6),$A$28:$R$47,2,FALSE))</f>
        <v>5</v>
      </c>
      <c r="W33" s="32" t="str">
        <f ca="1">IF($V$33&lt;&gt;"",VLOOKUP(LARGE($A$28:$A$47,6),$A$28:$R$47,3,FALSE),"")</f>
        <v>Pi</v>
      </c>
      <c r="X33" s="32" t="str">
        <f ca="1">IF($V$33&lt;&gt;"",VLOOKUP(LARGE($A$28:$A$47,6),$A$28:$R$47,4,FALSE),"")</f>
        <v>Pk2</v>
      </c>
      <c r="Y33" s="32">
        <f ca="1">IF($V$33&lt;&gt;"",VLOOKUP(LARGE($A$28:$A$47,6),$A$28:$R$47,8,FALSE),"")</f>
        <v>41</v>
      </c>
      <c r="Z33" s="32" t="str">
        <f ca="1">IF($V$33&lt;&gt;"",VLOOKUP(LARGE($A$28:$A$47,6),$A$28:$R$47,5,FALSE),"")</f>
        <v>FBB</v>
      </c>
      <c r="AA33" s="32">
        <f ca="1">IF($V$33&lt;&gt;"",VLOOKUP(LARGE($A$28:$A$47,6),$A$28:$R$47,6,FALSE),"")</f>
        <v>5</v>
      </c>
      <c r="AB33" s="32">
        <f ca="1">IF($V$33&lt;&gt;"",VLOOKUP(LARGE($A$28:$A$47,6),$A$28:$R$47,7,FALSE),"")</f>
        <v>13</v>
      </c>
      <c r="AC33" s="32">
        <f ca="1">IF($V$33&lt;&gt;"",VLOOKUP(LARGE($A$28:$A$47,6),$A$28:$R$47,11,FALSE),"")</f>
        <v>26</v>
      </c>
      <c r="AE33" s="64" t="e">
        <f t="shared" ca="1" si="116"/>
        <v>#REF!</v>
      </c>
      <c r="AF33" s="75">
        <f t="shared" ca="1" si="116"/>
        <v>26.666666666726666</v>
      </c>
      <c r="AH33" s="71">
        <f t="shared" ca="1" si="117"/>
        <v>4</v>
      </c>
      <c r="AI33" s="65">
        <f t="shared" ca="1" si="118"/>
        <v>812.47999900005016</v>
      </c>
      <c r="AJ33" s="34">
        <f ca="1">IF($V$33&lt;&gt;"",VLOOKUP($V$33,$B$4:$FZ$23,1,FALSE),"")</f>
        <v>5</v>
      </c>
      <c r="AK33" s="34" t="str">
        <f ca="1">IF($V$33&lt;&gt;"",VLOOKUP($V$33,$B$4:$FZ$23,2,FALSE),"")</f>
        <v>ALETS</v>
      </c>
      <c r="AL33" s="32">
        <f ca="1">IF($V$33&lt;&gt;"",VLOOKUP($V$33,$B$4:$FZ$23,20,FALSE),"")</f>
        <v>4</v>
      </c>
      <c r="AM33" s="32">
        <f ca="1">IF($V$33&lt;&gt;"",VLOOKUP($V$33,$B$4:$FZ$23,21,FALSE),"")</f>
        <v>4</v>
      </c>
      <c r="AN33" s="32">
        <f ca="1">IF($V$33&lt;&gt;"",VLOOKUP($V$33,$B$4:$FZ$23,22,FALSE),"")</f>
        <v>3</v>
      </c>
      <c r="AO33" s="32">
        <f ca="1">IF($V$33&lt;&gt;"",VLOOKUP($V$33,$B$4:$FZ$23,23,FALSE),"")</f>
        <v>3</v>
      </c>
      <c r="AP33" s="32">
        <f ca="1">IF($V$33&lt;&gt;"",VLOOKUP($V$33,$B$4:$FZ$23,24,FALSE),"")</f>
        <v>2</v>
      </c>
      <c r="AQ33" s="32">
        <f ca="1">IF($V$33&lt;&gt;"",VLOOKUP($V$33,$B$4:$FZ$23,25,FALSE),"")</f>
        <v>2</v>
      </c>
      <c r="AR33" s="80">
        <f t="shared" ca="1" si="128"/>
        <v>15.000000000049999</v>
      </c>
      <c r="AS33" s="76">
        <f t="shared" ca="1" si="119"/>
        <v>0.4800005</v>
      </c>
      <c r="AT33" s="26">
        <f t="shared" ca="1" si="120"/>
        <v>132</v>
      </c>
      <c r="AU33" s="26">
        <f t="shared" ca="1" si="121"/>
        <v>134.9999995</v>
      </c>
      <c r="AV33" s="26">
        <f t="shared" ca="1" si="122"/>
        <v>132</v>
      </c>
      <c r="AW33" s="26">
        <f t="shared" ca="1" si="123"/>
        <v>130.9999995</v>
      </c>
      <c r="AX33" s="26">
        <f t="shared" ca="1" si="124"/>
        <v>132</v>
      </c>
      <c r="AY33" s="26">
        <f t="shared" ca="1" si="125"/>
        <v>134.9999995</v>
      </c>
      <c r="AZ33" s="77">
        <f ca="1">IFERROR(RANK(BB33,$BB$28:$BB$47)+COUNTIF(BB33:BB$47,BB33)-1,"")</f>
        <v>4</v>
      </c>
      <c r="BA33" s="1">
        <f ca="1">VLOOKUP(LARGE($AI$28:$AI$47,6),$AI$28:$AJ$47,2,FALSE)</f>
        <v>1</v>
      </c>
      <c r="BB33" s="71">
        <f t="shared" ca="1" si="107"/>
        <v>132.83333308333332</v>
      </c>
      <c r="BD33" s="79">
        <f ca="1">IFERROR(RANK(AR33,$AR$28:$AR$47)+COUNTIF(AR$28:AR33,AR33)-1,"")</f>
        <v>7</v>
      </c>
      <c r="BE33" s="79">
        <f ca="1">IFERROR(RANK(AS33,$AS$28:$AS$47)+COUNTIF(AS$28:AS33,AS33)-1,"")</f>
        <v>6</v>
      </c>
      <c r="BF33" s="79">
        <f ca="1">IFERROR(RANK(AT33,$AT$28:$AT$47)+COUNTIF(AT$28:AT33,AT33)-1,"")</f>
        <v>5</v>
      </c>
      <c r="BG33" s="79">
        <f ca="1">IFERROR(RANK(AU33,$AU$28:$AU$47)+COUNTIF(AU$28:AU33,AU33)-1,"")</f>
        <v>1</v>
      </c>
      <c r="BH33" s="79">
        <f ca="1">IFERROR(RANK(AV33,$AV$28:$AV$47)+COUNTIF(AV$28:AV33,AV33)-1,"")</f>
        <v>5</v>
      </c>
      <c r="BI33" s="79">
        <f ca="1">IFERROR(RANK(AW33,$AW$28:$AW$47)+COUNTIF(AW$28:AW33,AW33)-1,"")</f>
        <v>1</v>
      </c>
      <c r="BJ33" s="79">
        <f ca="1">IFERROR(RANK(AX33,$AX$28:$AX$47)+COUNTIF(AX$28:AX33,AX33)-1,"")</f>
        <v>5</v>
      </c>
      <c r="BK33" s="79">
        <f ca="1">IFERROR(RANK(AY33,$AY$28:$AY$47)+COUNTIF(AY$28:AY33,AY33)-1,"")</f>
        <v>1</v>
      </c>
      <c r="BL33" s="1">
        <f t="shared" ca="1" si="126"/>
        <v>5</v>
      </c>
      <c r="BM33" s="78"/>
      <c r="BN33" s="78"/>
      <c r="BO33" s="78"/>
      <c r="BP33" s="78"/>
      <c r="BQ33" s="78"/>
      <c r="BR33" s="78"/>
      <c r="BS33" s="78"/>
      <c r="BT33" s="78"/>
      <c r="BV33" s="71"/>
      <c r="CW33" s="72"/>
      <c r="DO33" s="72"/>
      <c r="DP33" s="72"/>
      <c r="DY33" s="72">
        <f ca="1">+VLOOKUP(2,DY4:EB23,4,FALSE)</f>
        <v>4</v>
      </c>
      <c r="DZ33" s="72">
        <f ca="1">+VLOOKUP(1,DZ5:EB24,3,FALSE)</f>
        <v>2</v>
      </c>
    </row>
    <row r="34" spans="1:130" ht="13.2" x14ac:dyDescent="0.25">
      <c r="A34" s="71">
        <f t="shared" ca="1" si="108"/>
        <v>-43.999930000000006</v>
      </c>
      <c r="B34" s="32">
        <f t="shared" ca="1" si="101"/>
        <v>7</v>
      </c>
      <c r="C34" s="32" t="str">
        <f t="shared" ca="1" si="109"/>
        <v>Pi</v>
      </c>
      <c r="D34" s="32" t="str">
        <f t="shared" ca="1" si="110"/>
        <v>Pk0</v>
      </c>
      <c r="E34" s="32" t="str">
        <f t="shared" ca="1" si="127"/>
        <v>FBB</v>
      </c>
      <c r="F34" s="32">
        <f t="shared" ca="1" si="111"/>
        <v>5</v>
      </c>
      <c r="G34" s="32">
        <f t="shared" ca="1" si="102"/>
        <v>17</v>
      </c>
      <c r="H34" s="32">
        <f t="shared" ca="1" si="103"/>
        <v>52</v>
      </c>
      <c r="I34" s="36">
        <f t="shared" ca="1" si="112"/>
        <v>5</v>
      </c>
      <c r="J34" s="37">
        <f t="shared" ca="1" si="113"/>
        <v>0</v>
      </c>
      <c r="K34" s="32">
        <f t="shared" ca="1" si="114"/>
        <v>16</v>
      </c>
      <c r="L34" s="32">
        <f ca="1">IF(B34&lt;&gt;0,SUMPRODUCT((COUNTIF(AJ10:AO10,{1,2,3,4,5,10})=0)*{1,2,3,4,5,10}),"")</f>
        <v>13</v>
      </c>
      <c r="M34" s="32">
        <f t="shared" ca="1" si="115"/>
        <v>127</v>
      </c>
      <c r="N34" s="73">
        <f t="shared" ca="1" si="104"/>
        <v>-43.999930000000006</v>
      </c>
      <c r="O34" s="74">
        <f ca="1">IFERROR(_xlfn.RANK.EQ(A34,$A$28:$A$47,1)+COUNTIF(A$28:A34,A34)-1,"")</f>
        <v>1</v>
      </c>
      <c r="P34" s="8">
        <f ca="1">VLOOKUP(SMALL($O$28:$O$47,7),$O$28:$Q$47,3,FALSE)</f>
        <v>4</v>
      </c>
      <c r="Q34" s="1">
        <v>7</v>
      </c>
      <c r="S34" s="32">
        <f t="shared" ca="1" si="105"/>
        <v>100</v>
      </c>
      <c r="T34" s="32" t="str">
        <f t="shared" ca="1" si="106"/>
        <v>0</v>
      </c>
      <c r="U34" s="8">
        <f ca="1">VLOOKUP(SMALL($A$28:$A$47,7),$A$28:$O$47,2,FALSE)</f>
        <v>4</v>
      </c>
      <c r="V34" s="32">
        <f ca="1">IF(ISERROR(VLOOKUP(SMALL($A$28:$A$47,7),$A$28:$R$47,2,FALSE)),"",VLOOKUP(SMALL($A$28:$A$47,7),$A$28:$R$47,2,FALSE))</f>
        <v>4</v>
      </c>
      <c r="W34" s="32" t="str">
        <f ca="1">IF($V$34&lt;&gt;"",VLOOKUP(LARGE($A$28:$A$47,7),$A$28:$R$47,3,FALSE),"")</f>
        <v>Pi</v>
      </c>
      <c r="X34" s="32" t="str">
        <f ca="1">IF($V$34&lt;&gt;"",VLOOKUP(LARGE($A$28:$A$47,7),$A$28:$R$47,4,FALSE),"")</f>
        <v>Pk0</v>
      </c>
      <c r="Y34" s="32">
        <f ca="1">IF($V$34&lt;&gt;"",VLOOKUP(LARGE($A$28:$A$47,7),$A$28:$R$47,8,FALSE),"")</f>
        <v>42</v>
      </c>
      <c r="Z34" s="32" t="str">
        <f ca="1">IF($V$34&lt;&gt;"",VLOOKUP(LARGE($A$28:$A$47,7),$A$28:$R$47,5,FALSE),"")</f>
        <v>FBB</v>
      </c>
      <c r="AA34" s="32">
        <f ca="1">IF($V$34&lt;&gt;"",VLOOKUP(LARGE($A$28:$A$47,7),$A$28:$R$47,6,FALSE),"")</f>
        <v>5</v>
      </c>
      <c r="AB34" s="32">
        <f ca="1">IF($V$34&lt;&gt;"",VLOOKUP(LARGE($A$28:$A$47,7),$A$28:$R$47,7,FALSE),"")</f>
        <v>16</v>
      </c>
      <c r="AC34" s="32">
        <f ca="1">IF($V$34&lt;&gt;"",VLOOKUP(LARGE($A$28:$A$47,7),$A$28:$R$47,11,FALSE),"")</f>
        <v>26</v>
      </c>
      <c r="AE34" s="64" t="e">
        <f t="shared" ca="1" si="116"/>
        <v>#REF!</v>
      </c>
      <c r="AF34" s="75">
        <f t="shared" ca="1" si="116"/>
        <v>6.666666666736667</v>
      </c>
      <c r="AH34" s="71">
        <f t="shared" ca="1" si="117"/>
        <v>8</v>
      </c>
      <c r="AI34" s="65">
        <f t="shared" ca="1" si="118"/>
        <v>777.26666466670679</v>
      </c>
      <c r="AJ34" s="34">
        <f ca="1">IF($V$34&lt;&gt;"",VLOOKUP($V$34,$B$4:$FZ$23,1,FALSE),"")</f>
        <v>4</v>
      </c>
      <c r="AK34" s="34" t="str">
        <f ca="1">IF($V$34&lt;&gt;"",VLOOKUP($V$34,$B$4:$FZ$23,2,FALSE),"")</f>
        <v>VILLABONA</v>
      </c>
      <c r="AL34" s="32">
        <f ca="1">IF($V$34&lt;&gt;"",VLOOKUP($V$34,$B$4:$FZ$23,20,FALSE),"")</f>
        <v>0</v>
      </c>
      <c r="AM34" s="32">
        <f ca="1">IF($V$34&lt;&gt;"",VLOOKUP($V$34,$B$4:$FZ$23,21,FALSE),"")</f>
        <v>11</v>
      </c>
      <c r="AN34" s="32">
        <f ca="1">IF($V$34&lt;&gt;"",VLOOKUP($V$34,$B$4:$FZ$23,22,FALSE),"")</f>
        <v>4</v>
      </c>
      <c r="AO34" s="32">
        <f ca="1">IF($V$34&lt;&gt;"",VLOOKUP($V$34,$B$4:$FZ$23,23,FALSE),"")</f>
        <v>4</v>
      </c>
      <c r="AP34" s="32">
        <f ca="1">IF($V$34&lt;&gt;"",VLOOKUP($V$34,$B$4:$FZ$23,24,FALSE),"")</f>
        <v>9</v>
      </c>
      <c r="AQ34" s="32">
        <f ca="1">IF($V$34&lt;&gt;"",VLOOKUP($V$34,$B$4:$FZ$23,25,FALSE),"")</f>
        <v>7</v>
      </c>
      <c r="AR34" s="80">
        <f t="shared" ca="1" si="128"/>
        <v>29.166666666706668</v>
      </c>
      <c r="AS34" s="76">
        <f t="shared" ca="1" si="119"/>
        <v>0.1000004</v>
      </c>
      <c r="AT34" s="26">
        <f t="shared" ca="1" si="120"/>
        <v>126.9999996</v>
      </c>
      <c r="AU34" s="26">
        <f t="shared" ca="1" si="121"/>
        <v>126.9999996</v>
      </c>
      <c r="AV34" s="26">
        <f t="shared" ca="1" si="122"/>
        <v>119.9999996</v>
      </c>
      <c r="AW34" s="26">
        <f t="shared" ca="1" si="123"/>
        <v>119.9999996</v>
      </c>
      <c r="AX34" s="26">
        <f t="shared" ca="1" si="124"/>
        <v>126.9999996</v>
      </c>
      <c r="AY34" s="26">
        <f t="shared" ca="1" si="125"/>
        <v>126.9999996</v>
      </c>
      <c r="AZ34" s="77">
        <f ca="1">IFERROR(RANK(BB34,$BB$28:$BB$47)+COUNTIF(BB34:BB$47,BB34)-1,"")</f>
        <v>8</v>
      </c>
      <c r="BA34" s="1">
        <f ca="1">VLOOKUP(LARGE($AI$28:$AI$47,7),$AI$28:$AJ$47,2,FALSE)</f>
        <v>6</v>
      </c>
      <c r="BB34" s="71">
        <f t="shared" ca="1" si="107"/>
        <v>124.66666626666667</v>
      </c>
      <c r="BD34" s="79">
        <f ca="1">IFERROR(RANK(AR34,$AR$28:$AR$47)+COUNTIF(AR$28:AR34,AR34)-1,"")</f>
        <v>1</v>
      </c>
      <c r="BE34" s="79">
        <f ca="1">IFERROR(RANK(AS34,$AS$28:$AS$47)+COUNTIF(AS$28:AS34,AS34)-1,"")</f>
        <v>8</v>
      </c>
      <c r="BF34" s="79">
        <f ca="1">IFERROR(RANK(AT34,$AT$28:$AT$47)+COUNTIF(AT$28:AT34,AT34)-1,"")</f>
        <v>7</v>
      </c>
      <c r="BG34" s="79">
        <f ca="1">IFERROR(RANK(AU34,$AU$28:$AU$47)+COUNTIF(AU$28:AU34,AU34)-1,"")</f>
        <v>5</v>
      </c>
      <c r="BH34" s="79">
        <f ca="1">IFERROR(RANK(AV34,$AV$28:$AV$47)+COUNTIF(AV$28:AV34,AV34)-1,"")</f>
        <v>8</v>
      </c>
      <c r="BI34" s="79">
        <f ca="1">IFERROR(RANK(AW34,$AW$28:$AW$47)+COUNTIF(AW$28:AW34,AW34)-1,"")</f>
        <v>8</v>
      </c>
      <c r="BJ34" s="79">
        <f ca="1">IFERROR(RANK(AX34,$AX$28:$AX$47)+COUNTIF(AX$28:AX34,AX34)-1,"")</f>
        <v>7</v>
      </c>
      <c r="BK34" s="79">
        <f ca="1">IFERROR(RANK(AY34,$AY$28:$AY$47)+COUNTIF(AY$28:AY34,AY34)-1,"")</f>
        <v>5</v>
      </c>
      <c r="BL34" s="1">
        <f t="shared" ca="1" si="126"/>
        <v>4</v>
      </c>
      <c r="BM34" s="78"/>
      <c r="BN34" s="78"/>
      <c r="BO34" s="78"/>
      <c r="BP34" s="78"/>
      <c r="BQ34" s="78"/>
      <c r="BR34" s="78"/>
      <c r="BS34" s="78"/>
      <c r="BT34" s="78"/>
      <c r="BV34" s="71"/>
      <c r="DY34" s="1">
        <v>2</v>
      </c>
    </row>
    <row r="35" spans="1:130" ht="13.2" x14ac:dyDescent="0.25">
      <c r="A35" s="71">
        <f t="shared" ca="1" si="108"/>
        <v>-36.999920000000003</v>
      </c>
      <c r="B35" s="32">
        <f t="shared" ca="1" si="101"/>
        <v>8</v>
      </c>
      <c r="C35" s="32" t="str">
        <f t="shared" ca="1" si="109"/>
        <v>Pi</v>
      </c>
      <c r="D35" s="32" t="str">
        <f t="shared" ca="1" si="110"/>
        <v>Pk0</v>
      </c>
      <c r="E35" s="32" t="str">
        <f t="shared" ca="1" si="127"/>
        <v>FBB</v>
      </c>
      <c r="F35" s="32">
        <f t="shared" ca="1" si="111"/>
        <v>5</v>
      </c>
      <c r="G35" s="32">
        <f t="shared" ca="1" si="102"/>
        <v>16</v>
      </c>
      <c r="H35" s="32">
        <f t="shared" ca="1" si="103"/>
        <v>42</v>
      </c>
      <c r="I35" s="36">
        <f t="shared" ca="1" si="112"/>
        <v>6</v>
      </c>
      <c r="J35" s="37">
        <f t="shared" ca="1" si="113"/>
        <v>2</v>
      </c>
      <c r="K35" s="32">
        <f t="shared" ca="1" si="114"/>
        <v>26</v>
      </c>
      <c r="L35" s="32">
        <f ca="1">IF(B35&lt;&gt;0,SUMPRODUCT((COUNTIF(AJ11:AO11,{1,2,3,4,5,10})=0)*{1,2,3,4,5,10}),"")</f>
        <v>14</v>
      </c>
      <c r="M35" s="32">
        <f t="shared" ca="1" si="115"/>
        <v>121</v>
      </c>
      <c r="N35" s="73">
        <f t="shared" ca="1" si="104"/>
        <v>-36.999920000000003</v>
      </c>
      <c r="O35" s="74">
        <f ca="1">IFERROR(_xlfn.RANK.EQ(A35,$A$28:$A$47,1)+COUNTIF(A$28:A35,A35)-1,"")</f>
        <v>2</v>
      </c>
      <c r="P35" s="8">
        <f ca="1">VLOOKUP(SMALL($O$28:$O$47,8),$O$28:$Q$47,3,FALSE)</f>
        <v>6</v>
      </c>
      <c r="Q35" s="1">
        <v>8</v>
      </c>
      <c r="S35" s="32">
        <f t="shared" ca="1" si="105"/>
        <v>100</v>
      </c>
      <c r="T35" s="32" t="str">
        <f t="shared" ca="1" si="106"/>
        <v>0</v>
      </c>
      <c r="U35" s="8">
        <f ca="1">VLOOKUP(SMALL($A$28:$A$47,8),$A$28:$O$47,2,FALSE)</f>
        <v>6</v>
      </c>
      <c r="V35" s="32">
        <f ca="1">IF(ISERROR(VLOOKUP(SMALL($A$28:$A$47,8),$A$28:$R$47,2,FALSE)),"",VLOOKUP(SMALL($A$28:$A$47,8),$A$28:$R$47,2,FALSE))</f>
        <v>6</v>
      </c>
      <c r="W35" s="32" t="str">
        <f ca="1">IF($V$35&lt;&gt;"",VLOOKUP(LARGE($A$28:$A$47,8),$A$28:$R$47,3,FALSE),"")</f>
        <v>Pi</v>
      </c>
      <c r="X35" s="32" t="str">
        <f ca="1">IF($V$35&lt;&gt;"",VLOOKUP(LARGE($A$28:$A$47,8),$A$28:$R$47,4,FALSE),"")</f>
        <v>Pk0</v>
      </c>
      <c r="Y35" s="32">
        <f ca="1">IF($V$35&lt;&gt;"",VLOOKUP(LARGE($A$28:$A$47,8),$A$28:$R$47,8,FALSE),"")</f>
        <v>52</v>
      </c>
      <c r="Z35" s="32" t="str">
        <f ca="1">IF($V$35&lt;&gt;"",VLOOKUP(LARGE($A$28:$A$47,8),$A$28:$R$47,5,FALSE),"")</f>
        <v>FBB</v>
      </c>
      <c r="AA35" s="32">
        <f ca="1">IF($V$35&lt;&gt;"",VLOOKUP(LARGE($A$28:$A$47,8),$A$28:$R$47,6,FALSE),"")</f>
        <v>5</v>
      </c>
      <c r="AB35" s="32">
        <f ca="1">IF($V$35&lt;&gt;"",VLOOKUP(LARGE($A$28:$A$47,8),$A$28:$R$47,7,FALSE),"")</f>
        <v>17</v>
      </c>
      <c r="AC35" s="32">
        <f ca="1">IF($V$35&lt;&gt;"",VLOOKUP(LARGE($A$28:$A$47,8),$A$28:$R$47,11,FALSE),"")</f>
        <v>16</v>
      </c>
      <c r="AE35" s="64" t="e">
        <f t="shared" ca="1" si="116"/>
        <v>#REF!</v>
      </c>
      <c r="AF35" s="75">
        <f t="shared" ca="1" si="116"/>
        <v>18.333333333413332</v>
      </c>
      <c r="AH35" s="71">
        <f t="shared" ca="1" si="117"/>
        <v>7</v>
      </c>
      <c r="AI35" s="65">
        <f t="shared" ca="1" si="118"/>
        <v>778.94666366672664</v>
      </c>
      <c r="AJ35" s="34">
        <f ca="1">IF($V$35&lt;&gt;"",VLOOKUP($V$35,$B$4:$FZ$23,1,FALSE),"")</f>
        <v>6</v>
      </c>
      <c r="AK35" s="34" t="str">
        <f ca="1">IF($V$35&lt;&gt;"",VLOOKUP($V$35,$B$4:$FZ$23,2,FALSE),"")</f>
        <v>ALL THIS TIME</v>
      </c>
      <c r="AL35" s="32">
        <f ca="1">IF($V$35&lt;&gt;"",VLOOKUP($V$35,$B$4:$FZ$23,20,FALSE),"")</f>
        <v>5</v>
      </c>
      <c r="AM35" s="32">
        <f ca="1">IF($V$35&lt;&gt;"",VLOOKUP($V$35,$B$4:$FZ$23,21,FALSE),"")</f>
        <v>5</v>
      </c>
      <c r="AN35" s="32">
        <f ca="1">IF($V$35&lt;&gt;"",VLOOKUP($V$35,$B$4:$FZ$23,22,FALSE),"")</f>
        <v>7</v>
      </c>
      <c r="AO35" s="32">
        <f ca="1">IF($V$35&lt;&gt;"",VLOOKUP($V$35,$B$4:$FZ$23,23,FALSE),"")</f>
        <v>8</v>
      </c>
      <c r="AP35" s="32">
        <f ca="1">IF($V$35&lt;&gt;"",VLOOKUP($V$35,$B$4:$FZ$23,24,FALSE),"")</f>
        <v>3</v>
      </c>
      <c r="AQ35" s="32">
        <f ca="1">IF($V$35&lt;&gt;"",VLOOKUP($V$35,$B$4:$FZ$23,25,FALSE),"")</f>
        <v>4</v>
      </c>
      <c r="AR35" s="80">
        <f t="shared" ca="1" si="128"/>
        <v>26.666666666726666</v>
      </c>
      <c r="AS35" s="76">
        <f t="shared" ca="1" si="119"/>
        <v>0.28000060000000004</v>
      </c>
      <c r="AT35" s="26">
        <f t="shared" ca="1" si="120"/>
        <v>126.99999939999999</v>
      </c>
      <c r="AU35" s="26">
        <f t="shared" ca="1" si="121"/>
        <v>126.99999939999999</v>
      </c>
      <c r="AV35" s="26">
        <f t="shared" ca="1" si="122"/>
        <v>121.99999939999999</v>
      </c>
      <c r="AW35" s="26">
        <f t="shared" ca="1" si="123"/>
        <v>121.99999939999999</v>
      </c>
      <c r="AX35" s="26">
        <f t="shared" ca="1" si="124"/>
        <v>126.99999939999999</v>
      </c>
      <c r="AY35" s="26">
        <f t="shared" ca="1" si="125"/>
        <v>126.99999939999999</v>
      </c>
      <c r="AZ35" s="77">
        <f ca="1">IFERROR(RANK(BB35,$BB$28:$BB$47)+COUNTIF(BB35:BB$47,BB35)-1,"")</f>
        <v>7</v>
      </c>
      <c r="BA35" s="1">
        <f ca="1">VLOOKUP(LARGE($AI$28:$AI$47,8),$AI$28:$AJ$47,2,FALSE)</f>
        <v>4</v>
      </c>
      <c r="BB35" s="71">
        <f t="shared" ca="1" si="107"/>
        <v>125.33333273333334</v>
      </c>
      <c r="BD35" s="79">
        <f ca="1">IFERROR(RANK(AR35,$AR$28:$AR$47)+COUNTIF(AR$28:AR35,AR35)-1,"")</f>
        <v>2</v>
      </c>
      <c r="BE35" s="79">
        <f ca="1">IFERROR(RANK(AS35,$AS$28:$AS$47)+COUNTIF(AS$28:AS35,AS35)-1,"")</f>
        <v>7</v>
      </c>
      <c r="BF35" s="79">
        <f ca="1">IFERROR(RANK(AT35,$AT$28:$AT$47)+COUNTIF(AT$28:AT35,AT35)-1,"")</f>
        <v>8</v>
      </c>
      <c r="BG35" s="79">
        <f ca="1">IFERROR(RANK(AU35,$AU$28:$AU$47)+COUNTIF(AU$28:AU35,AU35)-1,"")</f>
        <v>6</v>
      </c>
      <c r="BH35" s="79">
        <f ca="1">IFERROR(RANK(AV35,$AV$28:$AV$47)+COUNTIF(AV$28:AV35,AV35)-1,"")</f>
        <v>7</v>
      </c>
      <c r="BI35" s="79">
        <f ca="1">IFERROR(RANK(AW35,$AW$28:$AW$47)+COUNTIF(AW$28:AW35,AW35)-1,"")</f>
        <v>7</v>
      </c>
      <c r="BJ35" s="79">
        <f ca="1">IFERROR(RANK(AX35,$AX$28:$AX$47)+COUNTIF(AX$28:AX35,AX35)-1,"")</f>
        <v>8</v>
      </c>
      <c r="BK35" s="79">
        <f ca="1">IFERROR(RANK(AY35,$AY$28:$AY$47)+COUNTIF(AY$28:AY35,AY35)-1,"")</f>
        <v>6</v>
      </c>
      <c r="BL35" s="1">
        <f t="shared" ca="1" si="126"/>
        <v>6</v>
      </c>
      <c r="BM35" s="78"/>
      <c r="BN35" s="78"/>
      <c r="BO35" s="78"/>
      <c r="BP35" s="78"/>
      <c r="BQ35" s="78"/>
      <c r="BR35" s="78"/>
      <c r="BS35" s="78"/>
      <c r="BT35" s="78"/>
      <c r="BV35" s="71"/>
    </row>
    <row r="36" spans="1:130" ht="13.2" x14ac:dyDescent="0.25">
      <c r="A36" s="71" t="str">
        <f t="shared" ca="1" si="108"/>
        <v/>
      </c>
      <c r="B36" s="32">
        <f t="shared" ca="1" si="101"/>
        <v>0</v>
      </c>
      <c r="C36" s="32" t="str">
        <f t="shared" ca="1" si="109"/>
        <v/>
      </c>
      <c r="D36" s="32" t="str">
        <f t="shared" ca="1" si="110"/>
        <v/>
      </c>
      <c r="E36" s="32" t="str">
        <f t="shared" ca="1" si="127"/>
        <v/>
      </c>
      <c r="F36" s="32" t="str">
        <f t="shared" ca="1" si="111"/>
        <v/>
      </c>
      <c r="G36" s="32" t="str">
        <f t="shared" ca="1" si="102"/>
        <v/>
      </c>
      <c r="H36" s="32" t="str">
        <f t="shared" ca="1" si="103"/>
        <v/>
      </c>
      <c r="I36" s="36" t="str">
        <f t="shared" ca="1" si="112"/>
        <v/>
      </c>
      <c r="J36" s="37" t="str">
        <f t="shared" ca="1" si="113"/>
        <v/>
      </c>
      <c r="K36" s="32" t="str">
        <f t="shared" ca="1" si="114"/>
        <v/>
      </c>
      <c r="L36" s="32" t="str">
        <f ca="1">IF(B36&lt;&gt;0,SUMPRODUCT((COUNTIF(AJ12:AO12,{1,2,3,4,5,10})=0)*{1,2,3,4,5,10}),"")</f>
        <v/>
      </c>
      <c r="M36" s="32" t="str">
        <f t="shared" ca="1" si="115"/>
        <v/>
      </c>
      <c r="N36" s="73" t="str">
        <f ca="1">IF(A36&lt;&gt;"",S36+T36-(G36+(M36)-(B36*0.00001)),"")</f>
        <v/>
      </c>
      <c r="O36" s="74" t="str">
        <f ca="1">IFERROR(_xlfn.RANK.EQ(A36,$A$28:$A$47,1)+COUNTIF(A$28:A36,A36)-1,"")</f>
        <v/>
      </c>
      <c r="P36" s="8" t="e">
        <f ca="1">VLOOKUP(SMALL($O$28:$O$47,9),$O$28:$Q$47,3,FALSE)</f>
        <v>#NUM!</v>
      </c>
      <c r="Q36" s="1">
        <v>9</v>
      </c>
      <c r="S36" s="32" t="str">
        <f t="shared" ca="1" si="105"/>
        <v/>
      </c>
      <c r="T36" s="32" t="str">
        <f t="shared" ca="1" si="106"/>
        <v/>
      </c>
      <c r="U36" s="8" t="e">
        <f ca="1">VLOOKUP(SMALL($A$28:$A$47,9),$A$28:$O$47,2,FALSE)</f>
        <v>#NUM!</v>
      </c>
      <c r="V36" s="32" t="str">
        <f ca="1">IF(ISERROR(VLOOKUP(SMALL($A$28:$A$47,9),$A$28:$R$47,2,FALSE)),"",VLOOKUP(SMALL($A$28:$A$47,9),$A$28:$R$47,2,FALSE))</f>
        <v/>
      </c>
      <c r="W36" s="32" t="str">
        <f ca="1">IF($V$36&lt;&gt;"",VLOOKUP(LARGE($A$28:$A$47,9),$A$28:$R$47,3,FALSE),"")</f>
        <v/>
      </c>
      <c r="X36" s="32" t="str">
        <f ca="1">IF($V$36&lt;&gt;"",VLOOKUP(LARGE($A$28:$A$47,9),$A$28:$R$47,4,FALSE),"")</f>
        <v/>
      </c>
      <c r="Y36" s="32" t="str">
        <f ca="1">IF($V$36&lt;&gt;"",VLOOKUP(LARGE($A$28:$A$47,9),$A$28:$R$47,8,FALSE),"")</f>
        <v/>
      </c>
      <c r="Z36" s="32" t="str">
        <f ca="1">IF($V$36&lt;&gt;"",VLOOKUP(LARGE($A$28:$A$47,9),$A$28:$R$47,5,FALSE),"")</f>
        <v/>
      </c>
      <c r="AA36" s="32" t="str">
        <f ca="1">IF($V$36&lt;&gt;"",VLOOKUP(LARGE($A$28:$A$47,9),$A$28:$R$47,6,FALSE),"")</f>
        <v/>
      </c>
      <c r="AB36" s="32" t="str">
        <f ca="1">IF($V$36&lt;&gt;"",VLOOKUP(LARGE($A$28:$A$47,9),$A$28:$R$47,7,FALSE),"")</f>
        <v/>
      </c>
      <c r="AC36" s="32" t="str">
        <f ca="1">IF($V$36&lt;&gt;"",VLOOKUP(LARGE($A$28:$A$47,9),$A$28:$R$47,11,FALSE),"")</f>
        <v/>
      </c>
      <c r="AE36" s="64">
        <f t="shared" ca="1" si="116"/>
        <v>0</v>
      </c>
      <c r="AF36" s="75">
        <f t="shared" ca="1" si="116"/>
        <v>0</v>
      </c>
      <c r="AH36" s="71" t="str">
        <f t="shared" ca="1" si="117"/>
        <v/>
      </c>
      <c r="AI36" s="65">
        <f t="shared" ca="1" si="118"/>
        <v>0</v>
      </c>
      <c r="AJ36" s="34" t="str">
        <f ca="1">IF($V$36&lt;&gt;"",VLOOKUP($V$36,$B$4:$FZ$23,1,FALSE),"")</f>
        <v/>
      </c>
      <c r="AK36" s="34" t="str">
        <f ca="1">IF($V$36&lt;&gt;"",VLOOKUP($V$36,$B$4:$FZ$23,2,FALSE),"")</f>
        <v/>
      </c>
      <c r="AL36" s="32" t="str">
        <f ca="1">IF($V$36&lt;&gt;"",VLOOKUP($V$36,$B$4:$FZ$23,20,FALSE),"")</f>
        <v/>
      </c>
      <c r="AM36" s="32" t="str">
        <f ca="1">IF($V$36&lt;&gt;"",VLOOKUP($V$36,$B$4:$FZ$23,21,FALSE),"")</f>
        <v/>
      </c>
      <c r="AN36" s="32" t="str">
        <f ca="1">IF($V$36&lt;&gt;"",VLOOKUP($V$36,$B$4:$FZ$23,22,FALSE),"")</f>
        <v/>
      </c>
      <c r="AO36" s="32" t="str">
        <f ca="1">IF($V$36&lt;&gt;"",VLOOKUP($V$36,$B$4:$FZ$23,23,FALSE),"")</f>
        <v/>
      </c>
      <c r="AP36" s="32" t="str">
        <f ca="1">IF($V$36&lt;&gt;"",VLOOKUP($V$36,$B$4:$FZ$23,24,FALSE),"")</f>
        <v/>
      </c>
      <c r="AQ36" s="32" t="str">
        <f ca="1">IF($V$36&lt;&gt;"",VLOOKUP($V$36,$B$4:$FZ$23,25,FALSE),"")</f>
        <v/>
      </c>
      <c r="AR36" s="80">
        <f ca="1">IF(AJ36&lt;&gt;"",VLOOKUP(V36,$B$4:$FZ$23,34,FALSE),0)</f>
        <v>0</v>
      </c>
      <c r="AS36" s="76">
        <f t="shared" ca="1" si="119"/>
        <v>0</v>
      </c>
      <c r="AT36" s="26">
        <f t="shared" ca="1" si="120"/>
        <v>0</v>
      </c>
      <c r="AU36" s="26">
        <f t="shared" ca="1" si="121"/>
        <v>0</v>
      </c>
      <c r="AV36" s="26">
        <f t="shared" ca="1" si="122"/>
        <v>0</v>
      </c>
      <c r="AW36" s="26">
        <f t="shared" ca="1" si="123"/>
        <v>0</v>
      </c>
      <c r="AX36" s="26">
        <f t="shared" ca="1" si="124"/>
        <v>0</v>
      </c>
      <c r="AY36" s="26">
        <f t="shared" ca="1" si="125"/>
        <v>0</v>
      </c>
      <c r="AZ36" s="77" t="str">
        <f ca="1">IFERROR(RANK(BB36,$BB$28:$BB$47)+COUNTIF(BB36:BB$47,BB36)-1,"")</f>
        <v/>
      </c>
      <c r="BA36" s="1" t="str">
        <f ca="1">VLOOKUP(LARGE($AI$28:$AI$47,9),$AI$28:$AJ$47,2,FALSE)</f>
        <v/>
      </c>
      <c r="BB36" s="71" t="str">
        <f t="shared" ca="1" si="107"/>
        <v/>
      </c>
      <c r="BD36" s="79">
        <f ca="1">IFERROR(RANK(AR36,$AR$28:$AR$47)+COUNTIF(AR$28:AR36,AR36)-1,"")</f>
        <v>9</v>
      </c>
      <c r="BE36" s="79">
        <f ca="1">IFERROR(RANK(AS36,$AS$28:$AS$47)+COUNTIF(AS$28:AS36,AS36)-1,"")</f>
        <v>9</v>
      </c>
      <c r="BF36" s="79">
        <f ca="1">IFERROR(RANK(AT36,$AT$28:$AT$47)+COUNTIF(AT$28:AT36,AT36)-1,"")</f>
        <v>9</v>
      </c>
      <c r="BG36" s="79">
        <f ca="1">IFERROR(RANK(AU36,$AU$28:$AU$47)+COUNTIF(AU$28:AU36,AU36)-1,"")</f>
        <v>9</v>
      </c>
      <c r="BH36" s="79">
        <f ca="1">IFERROR(RANK(AV36,$AV$28:$AV$47)+COUNTIF(AV$28:AV36,AV36)-1,"")</f>
        <v>9</v>
      </c>
      <c r="BI36" s="79">
        <f ca="1">IFERROR(RANK(AW36,$AW$28:$AW$47)+COUNTIF(AW$28:AW36,AW36)-1,"")</f>
        <v>9</v>
      </c>
      <c r="BJ36" s="79">
        <f ca="1">IFERROR(RANK(AX36,$AX$28:$AX$47)+COUNTIF(AX$28:AX36,AX36)-1,"")</f>
        <v>9</v>
      </c>
      <c r="BK36" s="79">
        <f ca="1">IFERROR(RANK(AY36,$AY$28:$AY$47)+COUNTIF(AY$28:AY36,AY36)-1,"")</f>
        <v>9</v>
      </c>
      <c r="BL36" s="1" t="str">
        <f t="shared" ca="1" si="126"/>
        <v/>
      </c>
      <c r="BM36" s="78"/>
      <c r="BN36" s="78"/>
      <c r="BO36" s="78"/>
      <c r="BP36" s="78"/>
      <c r="BQ36" s="78"/>
      <c r="BR36" s="78"/>
      <c r="BS36" s="78"/>
      <c r="BT36" s="78"/>
      <c r="BV36" s="71" t="str">
        <f t="shared" ref="BV36:BV38" ca="1" si="129">BV14</f>
        <v/>
      </c>
    </row>
    <row r="37" spans="1:130" ht="13.2" x14ac:dyDescent="0.25">
      <c r="A37" s="71" t="str">
        <f t="shared" ca="1" si="108"/>
        <v/>
      </c>
      <c r="B37" s="32">
        <f t="shared" ca="1" si="101"/>
        <v>0</v>
      </c>
      <c r="C37" s="32" t="str">
        <f t="shared" ca="1" si="109"/>
        <v/>
      </c>
      <c r="D37" s="32" t="str">
        <f t="shared" ca="1" si="110"/>
        <v/>
      </c>
      <c r="E37" s="32" t="str">
        <f t="shared" ca="1" si="127"/>
        <v/>
      </c>
      <c r="F37" s="32" t="str">
        <f t="shared" ca="1" si="111"/>
        <v/>
      </c>
      <c r="G37" s="32" t="str">
        <f t="shared" ca="1" si="102"/>
        <v/>
      </c>
      <c r="H37" s="32" t="str">
        <f t="shared" ca="1" si="103"/>
        <v/>
      </c>
      <c r="I37" s="36" t="str">
        <f t="shared" ca="1" si="112"/>
        <v/>
      </c>
      <c r="J37" s="37" t="str">
        <f t="shared" ca="1" si="113"/>
        <v/>
      </c>
      <c r="K37" s="32" t="str">
        <f t="shared" ca="1" si="114"/>
        <v/>
      </c>
      <c r="L37" s="32" t="str">
        <f ca="1">IF(B37&lt;&gt;0,SUMPRODUCT((COUNTIF(AJ13:AO13,{1,2,3,4,5,10})=0)*{1,2,3,4,5,10}),"")</f>
        <v/>
      </c>
      <c r="M37" s="32" t="str">
        <f t="shared" ca="1" si="115"/>
        <v/>
      </c>
      <c r="N37" s="73" t="str">
        <f t="shared" ref="N37:N47" ca="1" si="130">IF(A37&lt;&gt;"",S37+T37-(G37+(M37)-(B37*0.00001)),"")</f>
        <v/>
      </c>
      <c r="O37" s="74" t="str">
        <f ca="1">IFERROR(_xlfn.RANK.EQ(A37,$A$28:$A$47,1)+COUNTIF(A$28:A37,A37)-1,"")</f>
        <v/>
      </c>
      <c r="P37" s="8" t="e">
        <f ca="1">VLOOKUP(SMALL($O$28:$O$47,10),$O$28:$Q$47,3,FALSE)</f>
        <v>#NUM!</v>
      </c>
      <c r="Q37" s="1">
        <v>10</v>
      </c>
      <c r="S37" s="32" t="str">
        <f t="shared" ca="1" si="105"/>
        <v/>
      </c>
      <c r="T37" s="32" t="str">
        <f t="shared" ca="1" si="106"/>
        <v/>
      </c>
      <c r="U37" s="8" t="e">
        <f ca="1">VLOOKUP(SMALL($A$28:$A$47,10),$A$28:$O$47,2,FALSE)</f>
        <v>#NUM!</v>
      </c>
      <c r="V37" s="32" t="str">
        <f ca="1">IF(ISERROR(VLOOKUP(SMALL($A$28:$A$47,10),$A$28:$R$47,2,FALSE)),"",VLOOKUP(SMALL($A$28:$A$47,10),$A$28:$R$47,2,FALSE))</f>
        <v/>
      </c>
      <c r="W37" s="32" t="str">
        <f ca="1">IF($V$37&lt;&gt;"",VLOOKUP(LARGE($A$28:$A$47,10),$A$28:$R$47,3,FALSE),"")</f>
        <v/>
      </c>
      <c r="X37" s="32" t="str">
        <f ca="1">IF($V$37&lt;&gt;"",VLOOKUP(LARGE($A$28:$A$47,10),$A$28:$R$47,4,FALSE),"")</f>
        <v/>
      </c>
      <c r="Y37" s="32" t="str">
        <f ca="1">IF($V$37&lt;&gt;"",VLOOKUP(LARGE($A$28:$A$47,10),$A$28:$R$47,8,FALSE),"")</f>
        <v/>
      </c>
      <c r="Z37" s="32" t="str">
        <f ca="1">IF($V$37&lt;&gt;"",VLOOKUP(LARGE($A$28:$A$47,10),$A$28:$R$47,5,FALSE),"")</f>
        <v/>
      </c>
      <c r="AA37" s="32" t="str">
        <f ca="1">IF($V$37&lt;&gt;"",VLOOKUP(LARGE($A$28:$A$47,10),$A$28:$R$47,6,FALSE),"")</f>
        <v/>
      </c>
      <c r="AB37" s="32" t="str">
        <f ca="1">IF($V$37&lt;&gt;"",VLOOKUP(LARGE($A$28:$A$47,10),$A$28:$R$47,7,FALSE),"")</f>
        <v/>
      </c>
      <c r="AC37" s="32" t="str">
        <f ca="1">IF($V$37&lt;&gt;"",VLOOKUP(LARGE($A$28:$A$47,10),$A$28:$R$47,11,FALSE),"")</f>
        <v/>
      </c>
      <c r="AE37" s="64">
        <f t="shared" ca="1" si="116"/>
        <v>0</v>
      </c>
      <c r="AF37" s="75">
        <f t="shared" ca="1" si="116"/>
        <v>0</v>
      </c>
      <c r="AH37" s="71" t="str">
        <f t="shared" ca="1" si="117"/>
        <v/>
      </c>
      <c r="AI37" s="65">
        <f t="shared" ca="1" si="118"/>
        <v>0</v>
      </c>
      <c r="AJ37" s="34" t="str">
        <f ca="1">IF($V$37&lt;&gt;"",VLOOKUP($V$37,$B$4:$FZ$23,1,FALSE),"")</f>
        <v/>
      </c>
      <c r="AK37" s="34" t="str">
        <f ca="1">IF($V$37&lt;&gt;"",VLOOKUP($V$37,$B$4:$FZ$23,2,FALSE),"")</f>
        <v/>
      </c>
      <c r="AL37" s="32" t="str">
        <f ca="1">IF($V$37&lt;&gt;"",VLOOKUP($V$37,$B$4:$FZ$23,20,FALSE),"")</f>
        <v/>
      </c>
      <c r="AM37" s="32" t="str">
        <f ca="1">IF($V$37&lt;&gt;"",VLOOKUP($V$37,$B$4:$FZ$23,21,FALSE),"")</f>
        <v/>
      </c>
      <c r="AN37" s="32" t="str">
        <f ca="1">IF($V$37&lt;&gt;"",VLOOKUP($V$37,$B$4:$FZ$23,22,FALSE),"")</f>
        <v/>
      </c>
      <c r="AO37" s="32" t="str">
        <f ca="1">IF($V$37&lt;&gt;"",VLOOKUP($V$37,$B$4:$FZ$23,23,FALSE),"")</f>
        <v/>
      </c>
      <c r="AP37" s="32" t="str">
        <f ca="1">IF($V$37&lt;&gt;"",VLOOKUP($V$37,$B$4:$FZ$23,24,FALSE),"")</f>
        <v/>
      </c>
      <c r="AQ37" s="32" t="str">
        <f ca="1">IF($V$37&lt;&gt;"",VLOOKUP($V$37,$B$4:$FZ$23,25,FALSE),"")</f>
        <v/>
      </c>
      <c r="AR37" s="80">
        <f t="shared" ca="1" si="128"/>
        <v>0</v>
      </c>
      <c r="AS37" s="76">
        <f t="shared" ca="1" si="119"/>
        <v>0</v>
      </c>
      <c r="AT37" s="26">
        <f t="shared" ca="1" si="120"/>
        <v>0</v>
      </c>
      <c r="AU37" s="26">
        <f t="shared" ca="1" si="121"/>
        <v>0</v>
      </c>
      <c r="AV37" s="26">
        <f t="shared" ca="1" si="122"/>
        <v>0</v>
      </c>
      <c r="AW37" s="26">
        <f t="shared" ca="1" si="123"/>
        <v>0</v>
      </c>
      <c r="AX37" s="26">
        <f t="shared" ca="1" si="124"/>
        <v>0</v>
      </c>
      <c r="AY37" s="26">
        <f t="shared" ca="1" si="125"/>
        <v>0</v>
      </c>
      <c r="AZ37" s="77" t="str">
        <f ca="1">IFERROR(RANK(BB37,$BB$28:$BB$47)+COUNTIF(BB37:BB$47,BB37)-1,"")</f>
        <v/>
      </c>
      <c r="BA37" s="1" t="str">
        <f ca="1">VLOOKUP(LARGE($AI$28:$AI$47,10),$AI$28:$AJ$47,2,FALSE)</f>
        <v/>
      </c>
      <c r="BB37" s="71" t="str">
        <f t="shared" ca="1" si="107"/>
        <v/>
      </c>
      <c r="BD37" s="79">
        <f ca="1">IFERROR(RANK(AR37,$AR$28:$AR$47)+COUNTIF(AR$28:AR37,AR37)-1,"")</f>
        <v>10</v>
      </c>
      <c r="BE37" s="79">
        <f ca="1">IFERROR(RANK(AS37,$AS$28:$AS$47)+COUNTIF(AS$28:AS37,AS37)-1,"")</f>
        <v>10</v>
      </c>
      <c r="BF37" s="79">
        <f ca="1">IFERROR(RANK(AT37,$AT$28:$AT$47)+COUNTIF(AT$28:AT37,AT37)-1,"")</f>
        <v>10</v>
      </c>
      <c r="BG37" s="79">
        <f ca="1">IFERROR(RANK(AU37,$AU$28:$AU$47)+COUNTIF(AU$28:AU37,AU37)-1,"")</f>
        <v>10</v>
      </c>
      <c r="BH37" s="79">
        <f ca="1">IFERROR(RANK(AV37,$AV$28:$AV$47)+COUNTIF(AV$28:AV37,AV37)-1,"")</f>
        <v>10</v>
      </c>
      <c r="BI37" s="79">
        <f ca="1">IFERROR(RANK(AW37,$AW$28:$AW$47)+COUNTIF(AW$28:AW37,AW37)-1,"")</f>
        <v>10</v>
      </c>
      <c r="BJ37" s="79">
        <f ca="1">IFERROR(RANK(AX37,$AX$28:$AX$47)+COUNTIF(AX$28:AX37,AX37)-1,"")</f>
        <v>10</v>
      </c>
      <c r="BK37" s="79">
        <f ca="1">IFERROR(RANK(AY37,$AY$28:$AY$47)+COUNTIF(AY$28:AY37,AY37)-1,"")</f>
        <v>10</v>
      </c>
      <c r="BL37" s="1" t="str">
        <f t="shared" ca="1" si="126"/>
        <v/>
      </c>
      <c r="BM37" s="78"/>
      <c r="BN37" s="78"/>
      <c r="BO37" s="78"/>
      <c r="BP37" s="78"/>
      <c r="BQ37" s="78"/>
      <c r="BR37" s="78"/>
      <c r="BS37" s="78"/>
      <c r="BT37" s="78"/>
      <c r="BV37" s="71" t="str">
        <f t="shared" ca="1" si="129"/>
        <v/>
      </c>
    </row>
    <row r="38" spans="1:130" ht="13.2" x14ac:dyDescent="0.25">
      <c r="A38" s="71" t="str">
        <f t="shared" ca="1" si="108"/>
        <v/>
      </c>
      <c r="B38" s="32">
        <f t="shared" ca="1" si="101"/>
        <v>0</v>
      </c>
      <c r="C38" s="32" t="str">
        <f t="shared" ca="1" si="109"/>
        <v/>
      </c>
      <c r="D38" s="32" t="str">
        <f t="shared" ca="1" si="110"/>
        <v/>
      </c>
      <c r="E38" s="32" t="str">
        <f t="shared" ca="1" si="127"/>
        <v/>
      </c>
      <c r="F38" s="32" t="str">
        <f t="shared" ca="1" si="111"/>
        <v/>
      </c>
      <c r="G38" s="32" t="str">
        <f t="shared" ca="1" si="102"/>
        <v/>
      </c>
      <c r="H38" s="32" t="str">
        <f t="shared" ca="1" si="103"/>
        <v/>
      </c>
      <c r="I38" s="36" t="str">
        <f t="shared" ca="1" si="112"/>
        <v/>
      </c>
      <c r="J38" s="37" t="str">
        <f t="shared" ca="1" si="113"/>
        <v/>
      </c>
      <c r="K38" s="32" t="str">
        <f t="shared" ca="1" si="114"/>
        <v/>
      </c>
      <c r="L38" s="32" t="str">
        <f ca="1">IF(B38&lt;&gt;0,SUMPRODUCT((COUNTIF(AJ14:AO14,{1,2,3,4,5,10})=0)*{1,2,3,4,5,10}),"")</f>
        <v/>
      </c>
      <c r="M38" s="32" t="str">
        <f t="shared" ca="1" si="115"/>
        <v/>
      </c>
      <c r="N38" s="73" t="str">
        <f t="shared" ca="1" si="130"/>
        <v/>
      </c>
      <c r="O38" s="74" t="str">
        <f ca="1">IFERROR(_xlfn.RANK.EQ(A38,$A$28:$A$47,1)+COUNTIF(A$28:A38,A38)-1,"")</f>
        <v/>
      </c>
      <c r="P38" s="8"/>
      <c r="Q38" s="1">
        <v>11</v>
      </c>
      <c r="S38" s="32" t="str">
        <f t="shared" ca="1" si="105"/>
        <v/>
      </c>
      <c r="T38" s="32" t="str">
        <f t="shared" ca="1" si="106"/>
        <v/>
      </c>
      <c r="U38" s="8" t="e">
        <f ca="1">VLOOKUP(SMALL($A$28:$A$47,11),$A$28:$O$47,2,FALSE)</f>
        <v>#NUM!</v>
      </c>
      <c r="V38" s="32" t="str">
        <f ca="1">IF(ISERROR(VLOOKUP(SMALL($A$28:$A$47,11),$A$28:$R$47,2,FALSE)),"",VLOOKUP(SMALL($A$28:$A$47,11),$A$28:$R$47,2,FALSE))</f>
        <v/>
      </c>
      <c r="W38" s="32" t="str">
        <f ca="1">IF($V$38&lt;&gt;"",VLOOKUP(LARGE($A$28:$A$47,11),$A$28:$R$47,3,FALSE),"")</f>
        <v/>
      </c>
      <c r="X38" s="32" t="str">
        <f ca="1">IF($V$38&lt;&gt;"",VLOOKUP(LARGE($A$28:$A$47,11),$A$28:$R$47,4,FALSE),"")</f>
        <v/>
      </c>
      <c r="Y38" s="32" t="str">
        <f ca="1">IF($V$38&lt;&gt;"",VLOOKUP(LARGE($A$28:$A$47,11),$A$28:$R$47,8,FALSE),"")</f>
        <v/>
      </c>
      <c r="Z38" s="32" t="str">
        <f ca="1">IF($V$38&lt;&gt;"",VLOOKUP(LARGE($A$28:$A$47,11),$A$28:$R$47,5,FALSE),"")</f>
        <v/>
      </c>
      <c r="AA38" s="32" t="str">
        <f ca="1">IF($V$38&lt;&gt;"",VLOOKUP(LARGE($A$28:$A$47,11),$A$28:$R$47,6,FALSE),"")</f>
        <v/>
      </c>
      <c r="AB38" s="32" t="str">
        <f ca="1">IF($V$38&lt;&gt;"",VLOOKUP(LARGE($A$28:$A$47,11),$A$28:$R$47,7,FALSE),"")</f>
        <v/>
      </c>
      <c r="AC38" s="32" t="str">
        <f ca="1">IF($V$38&lt;&gt;"",VLOOKUP(LARGE($A$28:$A$47,11),$A$28:$R$47,11,FALSE),"")</f>
        <v/>
      </c>
      <c r="AE38" s="64">
        <f t="shared" ca="1" si="116"/>
        <v>0</v>
      </c>
      <c r="AF38" s="75">
        <f t="shared" ca="1" si="116"/>
        <v>0</v>
      </c>
      <c r="AH38" s="71" t="str">
        <f t="shared" si="117"/>
        <v/>
      </c>
      <c r="AI38" s="65">
        <f t="shared" ca="1" si="118"/>
        <v>0</v>
      </c>
      <c r="AJ38" s="34" t="str">
        <f ca="1">IF($V$38&lt;&gt;"",VLOOKUP($V$38,$B$4:$FZ$23,1,FALSE),"")</f>
        <v/>
      </c>
      <c r="AK38" s="34" t="str">
        <f ca="1">IF($V$38&lt;&gt;"",VLOOKUP($V$38,$B$4:$FZ$23,2,FALSE),"")</f>
        <v/>
      </c>
      <c r="AL38" s="32" t="str">
        <f ca="1">IF($V$38&lt;&gt;"",VLOOKUP($V$38,$B$4:$FZ$23,20,FALSE),"")</f>
        <v/>
      </c>
      <c r="AM38" s="32" t="str">
        <f ca="1">IF($V$38&lt;&gt;"",VLOOKUP($V$38,$B$4:$FZ$23,21,FALSE),"")</f>
        <v/>
      </c>
      <c r="AN38" s="32" t="str">
        <f ca="1">IF($V$38&lt;&gt;"",VLOOKUP($V$38,$B$4:$FZ$23,22,FALSE),"")</f>
        <v/>
      </c>
      <c r="AO38" s="32" t="str">
        <f ca="1">IF($V$38&lt;&gt;"",VLOOKUP($V$38,$B$4:$FZ$23,23,FALSE),"")</f>
        <v/>
      </c>
      <c r="AP38" s="32" t="str">
        <f ca="1">IF($V$38&lt;&gt;"",VLOOKUP($V$38,$B$4:$FZ$23,24,FALSE),"")</f>
        <v/>
      </c>
      <c r="AQ38" s="32" t="str">
        <f ca="1">IF($V$38&lt;&gt;"",VLOOKUP($V$38,$B$4:$FZ$23,25,FALSE),"")</f>
        <v/>
      </c>
      <c r="AR38" s="80">
        <f t="shared" ca="1" si="128"/>
        <v>0</v>
      </c>
      <c r="AS38" s="76">
        <f t="shared" ca="1" si="119"/>
        <v>0</v>
      </c>
      <c r="AT38" s="26">
        <f t="shared" ca="1" si="120"/>
        <v>0</v>
      </c>
      <c r="AU38" s="26">
        <f t="shared" ca="1" si="121"/>
        <v>0</v>
      </c>
      <c r="AV38" s="26">
        <f t="shared" ca="1" si="122"/>
        <v>0</v>
      </c>
      <c r="AW38" s="26">
        <f t="shared" ca="1" si="123"/>
        <v>0</v>
      </c>
      <c r="AX38" s="26">
        <f t="shared" ca="1" si="124"/>
        <v>0</v>
      </c>
      <c r="AY38" s="26">
        <f t="shared" ca="1" si="125"/>
        <v>0</v>
      </c>
      <c r="AZ38" s="77" t="str">
        <f>IFERROR(RANK(BB38,$BB$28:$BB$47)+COUNTIF(BB38:BB$47,BB38)-1,"")</f>
        <v/>
      </c>
      <c r="BB38" s="71" t="str">
        <f>IF(BA38&lt;&gt;"",AVERAGE(AT38:AY38),"")</f>
        <v/>
      </c>
      <c r="BD38" s="79">
        <f ca="1">IFERROR(RANK(AR38,$AR$28:$AR$47)+COUNTIF(AR$28:AR38,AR38)-1,"")</f>
        <v>11</v>
      </c>
      <c r="BE38" s="79">
        <f ca="1">IFERROR(RANK(AS38,$AS$28:$AS$47)+COUNTIF(AS$28:AS38,AS38)-1,"")</f>
        <v>11</v>
      </c>
      <c r="BF38" s="79">
        <f ca="1">IFERROR(RANK(AT38,$AT$28:$AT$47)+COUNTIF(AT$28:AT38,AT38)-1,"")</f>
        <v>11</v>
      </c>
      <c r="BG38" s="79">
        <f ca="1">IFERROR(RANK(AU38,$AU$28:$AU$47)+COUNTIF(AU$28:AU38,AU38)-1,"")</f>
        <v>11</v>
      </c>
      <c r="BH38" s="79">
        <f ca="1">IFERROR(RANK(AV38,$AV$28:$AV$47)+COUNTIF(AV$28:AV38,AV38)-1,"")</f>
        <v>11</v>
      </c>
      <c r="BI38" s="79">
        <f ca="1">IFERROR(RANK(AW38,$AW$28:$AW$47)+COUNTIF(AW$28:AW38,AW38)-1,"")</f>
        <v>11</v>
      </c>
      <c r="BJ38" s="79">
        <f ca="1">IFERROR(RANK(AX38,$AX$28:$AX$47)+COUNTIF(AX$28:AX38,AX38)-1,"")</f>
        <v>11</v>
      </c>
      <c r="BK38" s="79">
        <f ca="1">IFERROR(RANK(AY38,$AY$28:$AY$47)+COUNTIF(AY$28:AY38,AY38)-1,"")</f>
        <v>11</v>
      </c>
      <c r="BL38" s="1" t="str">
        <f t="shared" ca="1" si="126"/>
        <v/>
      </c>
      <c r="BM38" s="78"/>
      <c r="BN38" s="78"/>
      <c r="BO38" s="78"/>
      <c r="BP38" s="78"/>
      <c r="BQ38" s="78"/>
      <c r="BR38" s="78"/>
      <c r="BS38" s="78"/>
      <c r="BT38" s="78"/>
      <c r="BV38" s="71" t="str">
        <f t="shared" ca="1" si="129"/>
        <v/>
      </c>
    </row>
    <row r="39" spans="1:130" ht="13.2" x14ac:dyDescent="0.25">
      <c r="A39" s="71" t="str">
        <f t="shared" ca="1" si="108"/>
        <v/>
      </c>
      <c r="B39" s="32">
        <f t="shared" ca="1" si="101"/>
        <v>0</v>
      </c>
      <c r="C39" s="32" t="str">
        <f t="shared" ca="1" si="109"/>
        <v/>
      </c>
      <c r="D39" s="32" t="str">
        <f t="shared" ca="1" si="110"/>
        <v/>
      </c>
      <c r="E39" s="32" t="str">
        <f t="shared" ca="1" si="127"/>
        <v/>
      </c>
      <c r="F39" s="32" t="str">
        <f t="shared" ca="1" si="111"/>
        <v/>
      </c>
      <c r="G39" s="32" t="str">
        <f t="shared" ca="1" si="102"/>
        <v/>
      </c>
      <c r="H39" s="32" t="str">
        <f t="shared" ca="1" si="103"/>
        <v/>
      </c>
      <c r="I39" s="36" t="str">
        <f t="shared" ca="1" si="112"/>
        <v/>
      </c>
      <c r="J39" s="37" t="str">
        <f t="shared" ca="1" si="113"/>
        <v/>
      </c>
      <c r="K39" s="32" t="str">
        <f t="shared" ca="1" si="114"/>
        <v/>
      </c>
      <c r="L39" s="32" t="str">
        <f ca="1">IF(B39&lt;&gt;0,SUMPRODUCT((COUNTIF(AJ15:AO15,{1,2,3,4,5,10})=0)*{1,2,3,4,5,10}),"")</f>
        <v/>
      </c>
      <c r="M39" s="32" t="str">
        <f t="shared" ca="1" si="115"/>
        <v/>
      </c>
      <c r="N39" s="73" t="str">
        <f t="shared" ca="1" si="130"/>
        <v/>
      </c>
      <c r="O39" s="74" t="str">
        <f ca="1">IFERROR(_xlfn.RANK.EQ(A39,$A$28:$A$47,1)+COUNTIF(A$28:A39,A39)-1,"")</f>
        <v/>
      </c>
      <c r="P39" s="8"/>
      <c r="Q39" s="1">
        <v>12</v>
      </c>
      <c r="S39" s="32" t="str">
        <f t="shared" ca="1" si="105"/>
        <v/>
      </c>
      <c r="T39" s="32" t="str">
        <f t="shared" ca="1" si="106"/>
        <v/>
      </c>
      <c r="U39" s="8" t="e">
        <f ca="1">VLOOKUP(SMALL($A$28:$A$47,12),$A$28:$O$47,2,FALSE)</f>
        <v>#NUM!</v>
      </c>
      <c r="V39" s="32" t="str">
        <f ca="1">IF(ISERROR(VLOOKUP(SMALL($A$28:$A$47,12),$A$28:$R$47,2,FALSE)),"",VLOOKUP(SMALL($A$28:$A$47,12),$A$28:$R$47,2,FALSE))</f>
        <v/>
      </c>
      <c r="W39" s="32" t="str">
        <f ca="1">IF($V$39&lt;&gt;"",VLOOKUP(LARGE($A$28:$A$47,12),$A$28:$R$47,3,FALSE),"")</f>
        <v/>
      </c>
      <c r="X39" s="32" t="str">
        <f ca="1">IF($V$39&lt;&gt;"",VLOOKUP(LARGE($A$28:$A$47,12),$A$28:$R$47,4,FALSE),"")</f>
        <v/>
      </c>
      <c r="Y39" s="32" t="str">
        <f ca="1">IF($V$39&lt;&gt;"",VLOOKUP(LARGE($A$28:$A$47,12),$A$28:$R$47,8,FALSE),"")</f>
        <v/>
      </c>
      <c r="Z39" s="32" t="str">
        <f ca="1">IF($V$39&lt;&gt;"",VLOOKUP(LARGE($A$28:$A$47,12),$A$28:$R$47,5,FALSE),"")</f>
        <v/>
      </c>
      <c r="AA39" s="32" t="str">
        <f ca="1">IF($V$39&lt;&gt;"",VLOOKUP(LARGE($A$28:$A$47,12),$A$28:$R$47,6,FALSE),"")</f>
        <v/>
      </c>
      <c r="AB39" s="32" t="str">
        <f ca="1">IF($V$39&lt;&gt;"",VLOOKUP(LARGE($A$28:$A$47,12),$A$28:$R$47,7,FALSE),"")</f>
        <v/>
      </c>
      <c r="AC39" s="32" t="str">
        <f ca="1">IF($V$39&lt;&gt;"",VLOOKUP(LARGE($A$28:$A$47,12),$A$28:$R$47,11,FALSE),"")</f>
        <v/>
      </c>
      <c r="AE39" s="64">
        <f t="shared" ca="1" si="116"/>
        <v>0</v>
      </c>
      <c r="AF39" s="75">
        <f t="shared" ca="1" si="116"/>
        <v>0</v>
      </c>
      <c r="AH39" s="71" t="str">
        <f t="shared" si="117"/>
        <v/>
      </c>
      <c r="AI39" s="65">
        <f t="shared" ca="1" si="118"/>
        <v>0</v>
      </c>
      <c r="AJ39" s="34" t="str">
        <f ca="1">IF($V$39&lt;&gt;"",VLOOKUP($V$39,$B$4:$FZ$23,1,FALSE),"")</f>
        <v/>
      </c>
      <c r="AK39" s="34" t="str">
        <f ca="1">IF($V$39&lt;&gt;"",VLOOKUP($V$39,$B$4:$FZ$23,2,FALSE),"")</f>
        <v/>
      </c>
      <c r="AL39" s="32" t="str">
        <f ca="1">IF($V$39&lt;&gt;"",VLOOKUP($V$39,$B$4:$FZ$23,20,FALSE),"")</f>
        <v/>
      </c>
      <c r="AM39" s="32" t="str">
        <f ca="1">IF($V$39&lt;&gt;"",VLOOKUP($V$39,$B$4:$FZ$23,21,FALSE),"")</f>
        <v/>
      </c>
      <c r="AN39" s="32" t="str">
        <f ca="1">IF($V$39&lt;&gt;"",VLOOKUP($V$39,$B$4:$FZ$23,22,FALSE),"")</f>
        <v/>
      </c>
      <c r="AO39" s="32" t="str">
        <f ca="1">IF($V$39&lt;&gt;"",VLOOKUP($V$39,$B$4:$FZ$23,23,FALSE),"")</f>
        <v/>
      </c>
      <c r="AP39" s="32" t="str">
        <f ca="1">IF($V$39&lt;&gt;"",VLOOKUP($V$39,$B$4:$FZ$23,24,FALSE),"")</f>
        <v/>
      </c>
      <c r="AQ39" s="32" t="str">
        <f ca="1">IF($V$39&lt;&gt;"",VLOOKUP($V$39,$B$4:$FZ$23,25,FALSE),"")</f>
        <v/>
      </c>
      <c r="AR39" s="80">
        <f t="shared" ca="1" si="128"/>
        <v>0</v>
      </c>
      <c r="AS39" s="76">
        <f t="shared" ca="1" si="119"/>
        <v>0</v>
      </c>
      <c r="AT39" s="26">
        <f t="shared" ca="1" si="120"/>
        <v>0</v>
      </c>
      <c r="AU39" s="26">
        <f t="shared" ca="1" si="121"/>
        <v>0</v>
      </c>
      <c r="AV39" s="26">
        <f t="shared" ca="1" si="122"/>
        <v>0</v>
      </c>
      <c r="AW39" s="26">
        <f t="shared" ca="1" si="123"/>
        <v>0</v>
      </c>
      <c r="AX39" s="26">
        <f t="shared" ca="1" si="124"/>
        <v>0</v>
      </c>
      <c r="AY39" s="26">
        <f t="shared" ca="1" si="125"/>
        <v>0</v>
      </c>
      <c r="AZ39" s="77" t="str">
        <f>IFERROR(RANK(BB39,$BB$28:$BB$47)+COUNTIF(BB39:BB$47,BB39)-1,"")</f>
        <v/>
      </c>
      <c r="BB39" s="71" t="str">
        <f t="shared" si="107"/>
        <v/>
      </c>
      <c r="BD39" s="79">
        <f ca="1">IFERROR(RANK(AR39,$AR$28:$AR$47)+COUNTIF(AR$28:AR39,AR39)-1,"")</f>
        <v>12</v>
      </c>
      <c r="BE39" s="79">
        <f ca="1">IFERROR(RANK(AS39,$AS$28:$AS$47)+COUNTIF(AS$28:AS39,AS39)-1,"")</f>
        <v>12</v>
      </c>
      <c r="BF39" s="79">
        <f ca="1">IFERROR(RANK(AT39,$AT$28:$AT$47)+COUNTIF(AT$28:AT39,AT39)-1,"")</f>
        <v>12</v>
      </c>
      <c r="BG39" s="79">
        <f ca="1">IFERROR(RANK(AU39,$AU$28:$AU$47)+COUNTIF(AU$28:AU39,AU39)-1,"")</f>
        <v>12</v>
      </c>
      <c r="BH39" s="79">
        <f ca="1">IFERROR(RANK(AV39,$AV$28:$AV$47)+COUNTIF(AV$28:AV39,AV39)-1,"")</f>
        <v>12</v>
      </c>
      <c r="BI39" s="79">
        <f ca="1">IFERROR(RANK(AW39,$AW$28:$AW$47)+COUNTIF(AW$28:AW39,AW39)-1,"")</f>
        <v>12</v>
      </c>
      <c r="BJ39" s="79">
        <f ca="1">IFERROR(RANK(AX39,$AX$28:$AX$47)+COUNTIF(AX$28:AX39,AX39)-1,"")</f>
        <v>12</v>
      </c>
      <c r="BK39" s="79">
        <f ca="1">IFERROR(RANK(AY39,$AY$28:$AY$47)+COUNTIF(AY$28:AY39,AY39)-1,"")</f>
        <v>12</v>
      </c>
      <c r="BL39" s="1" t="str">
        <f t="shared" ca="1" si="126"/>
        <v/>
      </c>
      <c r="BM39" s="78"/>
      <c r="BN39" s="78"/>
      <c r="BO39" s="78"/>
      <c r="BP39" s="78"/>
      <c r="BQ39" s="78"/>
      <c r="BR39" s="78"/>
      <c r="BS39" s="78"/>
      <c r="BT39" s="78"/>
    </row>
    <row r="40" spans="1:130" ht="13.2" x14ac:dyDescent="0.25">
      <c r="A40" s="71" t="str">
        <f t="shared" ca="1" si="108"/>
        <v/>
      </c>
      <c r="B40" s="32">
        <f t="shared" ca="1" si="101"/>
        <v>0</v>
      </c>
      <c r="C40" s="32" t="str">
        <f t="shared" ca="1" si="109"/>
        <v/>
      </c>
      <c r="D40" s="32" t="str">
        <f t="shared" ca="1" si="110"/>
        <v/>
      </c>
      <c r="E40" s="32" t="str">
        <f t="shared" ca="1" si="127"/>
        <v/>
      </c>
      <c r="F40" s="32" t="str">
        <f t="shared" ca="1" si="111"/>
        <v/>
      </c>
      <c r="G40" s="32" t="str">
        <f t="shared" ca="1" si="102"/>
        <v/>
      </c>
      <c r="H40" s="32" t="str">
        <f t="shared" ca="1" si="103"/>
        <v/>
      </c>
      <c r="I40" s="36" t="str">
        <f t="shared" ca="1" si="112"/>
        <v/>
      </c>
      <c r="J40" s="37" t="str">
        <f t="shared" ca="1" si="113"/>
        <v/>
      </c>
      <c r="K40" s="32" t="str">
        <f t="shared" ca="1" si="114"/>
        <v/>
      </c>
      <c r="L40" s="32" t="str">
        <f ca="1">IF(B40&lt;&gt;0,SUMPRODUCT((COUNTIF(AJ16:AO16,{1,2,3,4,5,10})=0)*{1,2,3,4,5,10}),"")</f>
        <v/>
      </c>
      <c r="M40" s="32" t="str">
        <f t="shared" ca="1" si="115"/>
        <v/>
      </c>
      <c r="N40" s="73" t="str">
        <f t="shared" ca="1" si="130"/>
        <v/>
      </c>
      <c r="O40" s="74" t="str">
        <f ca="1">IFERROR(_xlfn.RANK.EQ(A40,$A$28:$A$47,1)+COUNTIF(A$28:A40,A40)-1,"")</f>
        <v/>
      </c>
      <c r="P40" s="8"/>
      <c r="Q40" s="1">
        <v>13</v>
      </c>
      <c r="S40" s="32" t="str">
        <f t="shared" ca="1" si="105"/>
        <v/>
      </c>
      <c r="T40" s="32" t="str">
        <f t="shared" ca="1" si="106"/>
        <v/>
      </c>
      <c r="U40" s="8" t="e">
        <f ca="1">VLOOKUP(SMALL($A$28:$A$47,13),$A$28:$O$47,2,FALSE)</f>
        <v>#NUM!</v>
      </c>
      <c r="V40" s="32" t="str">
        <f ca="1">IF(ISERROR(VLOOKUP(SMALL($A$28:$A$47,13),$A$28:$R$47,2,FALSE)),"",VLOOKUP(SMALL($A$28:$A$47,13),$A$28:$R$47,2,FALSE))</f>
        <v/>
      </c>
      <c r="W40" s="32" t="str">
        <f ca="1">IF($V$40&lt;&gt;"",VLOOKUP(LARGE($A$28:$A$47,13),$A$28:$R$47,3,FALSE),"")</f>
        <v/>
      </c>
      <c r="X40" s="32" t="str">
        <f ca="1">IF($V$40&lt;&gt;"",VLOOKUP(LARGE($A$28:$A$47,13),$A$28:$R$47,4,FALSE),"")</f>
        <v/>
      </c>
      <c r="Y40" s="32" t="str">
        <f ca="1">IF($V$40&lt;&gt;"",VLOOKUP(LARGE($A$28:$A$47,13),$A$28:$R$47,8,FALSE),"")</f>
        <v/>
      </c>
      <c r="Z40" s="32" t="str">
        <f ca="1">IF($V$40&lt;&gt;"",VLOOKUP(LARGE($A$28:$A$47,13),$A$28:$R$47,5,FALSE),"")</f>
        <v/>
      </c>
      <c r="AA40" s="32" t="str">
        <f ca="1">IF($V$40&lt;&gt;"",VLOOKUP(LARGE($A$28:$A$47,13),$A$28:$R$47,6,FALSE),"")</f>
        <v/>
      </c>
      <c r="AB40" s="32" t="str">
        <f ca="1">IF($V$40&lt;&gt;"",VLOOKUP(LARGE($A$28:$A$47,13),$A$28:$R$47,7,FALSE),"")</f>
        <v/>
      </c>
      <c r="AC40" s="32" t="str">
        <f ca="1">IF($V$40&lt;&gt;"",VLOOKUP(LARGE($A$28:$A$47,13),$A$28:$R$47,11,FALSE),"")</f>
        <v/>
      </c>
      <c r="AE40" s="64">
        <f t="shared" ca="1" si="116"/>
        <v>0</v>
      </c>
      <c r="AF40" s="75">
        <f t="shared" ca="1" si="116"/>
        <v>0</v>
      </c>
      <c r="AH40" s="71" t="str">
        <f t="shared" si="117"/>
        <v/>
      </c>
      <c r="AI40" s="65">
        <f t="shared" ca="1" si="118"/>
        <v>0</v>
      </c>
      <c r="AJ40" s="34" t="str">
        <f ca="1">IF($V$40&lt;&gt;"",VLOOKUP($V$40,$B$4:$FZ$23,1,FALSE),"")</f>
        <v/>
      </c>
      <c r="AK40" s="34" t="str">
        <f ca="1">IF($V$40&lt;&gt;"",VLOOKUP($V$40,$B$4:$FZ$23,2,FALSE),"")</f>
        <v/>
      </c>
      <c r="AL40" s="32" t="str">
        <f ca="1">IF($V$40&lt;&gt;"",VLOOKUP($V$40,$B$4:$FZ$23,20,FALSE),"")</f>
        <v/>
      </c>
      <c r="AM40" s="32" t="str">
        <f ca="1">IF($V$40&lt;&gt;"",VLOOKUP($V$40,$B$4:$FZ$23,21,FALSE),"")</f>
        <v/>
      </c>
      <c r="AN40" s="32" t="str">
        <f ca="1">IF($V$40&lt;&gt;"",VLOOKUP($V$40,$B$4:$FZ$23,22,FALSE),"")</f>
        <v/>
      </c>
      <c r="AO40" s="32" t="str">
        <f ca="1">IF($V$40&lt;&gt;"",VLOOKUP($V$40,$B$4:$FZ$23,23,FALSE),"")</f>
        <v/>
      </c>
      <c r="AP40" s="32" t="str">
        <f ca="1">IF($V$40&lt;&gt;"",VLOOKUP($V$40,$B$4:$FZ$23,24,FALSE),"")</f>
        <v/>
      </c>
      <c r="AQ40" s="32" t="str">
        <f ca="1">IF($V$40&lt;&gt;"",VLOOKUP($V$40,$B$4:$FZ$23,25,FALSE),"")</f>
        <v/>
      </c>
      <c r="AR40" s="80">
        <f t="shared" ca="1" si="128"/>
        <v>0</v>
      </c>
      <c r="AS40" s="76">
        <f t="shared" ca="1" si="119"/>
        <v>0</v>
      </c>
      <c r="AT40" s="26">
        <f t="shared" ca="1" si="120"/>
        <v>0</v>
      </c>
      <c r="AU40" s="26">
        <f t="shared" ca="1" si="121"/>
        <v>0</v>
      </c>
      <c r="AV40" s="26">
        <f t="shared" ca="1" si="122"/>
        <v>0</v>
      </c>
      <c r="AW40" s="26">
        <f t="shared" ca="1" si="123"/>
        <v>0</v>
      </c>
      <c r="AX40" s="26">
        <f t="shared" ca="1" si="124"/>
        <v>0</v>
      </c>
      <c r="AY40" s="26">
        <f t="shared" ca="1" si="125"/>
        <v>0</v>
      </c>
      <c r="AZ40" s="77" t="str">
        <f>IFERROR(RANK(BB40,$BB$28:$BB$47)+COUNTIF(BB40:BB$47,BB40)-1,"")</f>
        <v/>
      </c>
      <c r="BB40" s="71" t="str">
        <f t="shared" si="107"/>
        <v/>
      </c>
      <c r="BD40" s="79">
        <f ca="1">IFERROR(RANK(AR40,$AR$28:$AR$47)+COUNTIF(AR$28:AR40,AR40)-1,"")</f>
        <v>13</v>
      </c>
      <c r="BE40" s="79">
        <f ca="1">IFERROR(RANK(AS40,$AS$28:$AS$47)+COUNTIF(AS$28:AS40,AS40)-1,"")</f>
        <v>13</v>
      </c>
      <c r="BF40" s="79">
        <f ca="1">IFERROR(RANK(AT40,$AT$28:$AT$47)+COUNTIF(AT$28:AT40,AT40)-1,"")</f>
        <v>13</v>
      </c>
      <c r="BG40" s="79">
        <f ca="1">IFERROR(RANK(AU40,$AU$28:$AU$47)+COUNTIF(AU$28:AU40,AU40)-1,"")</f>
        <v>13</v>
      </c>
      <c r="BH40" s="79">
        <f ca="1">IFERROR(RANK(AV40,$AV$28:$AV$47)+COUNTIF(AV$28:AV40,AV40)-1,"")</f>
        <v>13</v>
      </c>
      <c r="BI40" s="79">
        <f ca="1">IFERROR(RANK(AW40,$AW$28:$AW$47)+COUNTIF(AW$28:AW40,AW40)-1,"")</f>
        <v>13</v>
      </c>
      <c r="BJ40" s="79">
        <f ca="1">IFERROR(RANK(AX40,$AX$28:$AX$47)+COUNTIF(AX$28:AX40,AX40)-1,"")</f>
        <v>13</v>
      </c>
      <c r="BK40" s="79">
        <f ca="1">IFERROR(RANK(AY40,$AY$28:$AY$47)+COUNTIF(AY$28:AY40,AY40)-1,"")</f>
        <v>13</v>
      </c>
      <c r="BL40" s="1" t="str">
        <f t="shared" ca="1" si="126"/>
        <v/>
      </c>
      <c r="BM40" s="78"/>
      <c r="BN40" s="78"/>
      <c r="BO40" s="78"/>
      <c r="BP40" s="78"/>
      <c r="BQ40" s="78"/>
      <c r="BR40" s="78"/>
      <c r="BS40" s="78"/>
      <c r="BT40" s="78"/>
    </row>
    <row r="41" spans="1:130" ht="13.2" x14ac:dyDescent="0.25">
      <c r="A41" s="71" t="str">
        <f t="shared" ca="1" si="108"/>
        <v/>
      </c>
      <c r="B41" s="32">
        <f t="shared" ca="1" si="101"/>
        <v>0</v>
      </c>
      <c r="C41" s="32" t="str">
        <f t="shared" ca="1" si="109"/>
        <v/>
      </c>
      <c r="D41" s="32" t="str">
        <f t="shared" ca="1" si="110"/>
        <v/>
      </c>
      <c r="E41" s="32" t="str">
        <f t="shared" ca="1" si="127"/>
        <v/>
      </c>
      <c r="F41" s="32" t="str">
        <f t="shared" ca="1" si="111"/>
        <v/>
      </c>
      <c r="G41" s="32" t="str">
        <f t="shared" ca="1" si="102"/>
        <v/>
      </c>
      <c r="H41" s="32" t="str">
        <f t="shared" ca="1" si="103"/>
        <v/>
      </c>
      <c r="I41" s="36" t="str">
        <f t="shared" ca="1" si="112"/>
        <v/>
      </c>
      <c r="J41" s="37" t="str">
        <f t="shared" ca="1" si="113"/>
        <v/>
      </c>
      <c r="K41" s="32" t="str">
        <f t="shared" ca="1" si="114"/>
        <v/>
      </c>
      <c r="L41" s="32" t="str">
        <f ca="1">IF(B41&lt;&gt;0,SUMPRODUCT((COUNTIF(AJ17:AO17,{1,2,3,4,5,10})=0)*{1,2,3,4,5,10}),"")</f>
        <v/>
      </c>
      <c r="M41" s="32" t="str">
        <f t="shared" ca="1" si="115"/>
        <v/>
      </c>
      <c r="N41" s="73" t="str">
        <f t="shared" ca="1" si="130"/>
        <v/>
      </c>
      <c r="O41" s="74" t="str">
        <f ca="1">IFERROR(_xlfn.RANK.EQ(A41,$A$28:$A$47,1)+COUNTIF(A$28:A41,A41)-1,"")</f>
        <v/>
      </c>
      <c r="P41" s="8"/>
      <c r="Q41" s="1">
        <v>14</v>
      </c>
      <c r="S41" s="32" t="str">
        <f t="shared" ca="1" si="105"/>
        <v/>
      </c>
      <c r="T41" s="32" t="str">
        <f t="shared" ca="1" si="106"/>
        <v/>
      </c>
      <c r="U41" s="8" t="e">
        <f ca="1">VLOOKUP(SMALL($A$28:$A$47,14),$A$28:$O$47,2,FALSE)</f>
        <v>#NUM!</v>
      </c>
      <c r="V41" s="32" t="str">
        <f ca="1">IF(ISERROR(VLOOKUP(SMALL($A$28:$A$47,14),$A$28:$R$47,2,FALSE)),"",VLOOKUP(SMALL($A$28:$A$47,14),$A$28:$R$47,2,FALSE))</f>
        <v/>
      </c>
      <c r="W41" s="32" t="str">
        <f ca="1">IF($V$41&lt;&gt;"",VLOOKUP(LARGE($A$28:$A$47,14),$A$28:$R$47,3,FALSE),"")</f>
        <v/>
      </c>
      <c r="X41" s="32" t="str">
        <f ca="1">IF($V$41&lt;&gt;"",VLOOKUP(LARGE($A$28:$A$47,14),$A$28:$R$47,4,FALSE),"")</f>
        <v/>
      </c>
      <c r="Y41" s="32" t="str">
        <f ca="1">IF($V$41&lt;&gt;"",VLOOKUP(LARGE($A$28:$A$47,14),$A$28:$R$47,8,FALSE),"")</f>
        <v/>
      </c>
      <c r="Z41" s="32" t="str">
        <f ca="1">IF($V$41&lt;&gt;"",VLOOKUP(LARGE($A$28:$A$47,14),$A$28:$R$47,5,FALSE),"")</f>
        <v/>
      </c>
      <c r="AA41" s="32" t="str">
        <f ca="1">IF($V$41&lt;&gt;"",VLOOKUP(LARGE($A$28:$A$47,14),$A$28:$R$47,6,FALSE),"")</f>
        <v/>
      </c>
      <c r="AB41" s="32" t="str">
        <f ca="1">IF($V$41&lt;&gt;"",VLOOKUP(LARGE($A$28:$A$47,14),$A$28:$R$47,7,FALSE),"")</f>
        <v/>
      </c>
      <c r="AC41" s="32" t="str">
        <f ca="1">IF($V$41&lt;&gt;"",VLOOKUP(LARGE($A$28:$A$47,14),$A$28:$R$47,11,FALSE),"")</f>
        <v/>
      </c>
      <c r="AE41" s="64">
        <f t="shared" ca="1" si="116"/>
        <v>0</v>
      </c>
      <c r="AF41" s="75">
        <f t="shared" ca="1" si="116"/>
        <v>0</v>
      </c>
      <c r="AH41" s="71" t="str">
        <f t="shared" si="117"/>
        <v/>
      </c>
      <c r="AI41" s="65">
        <f t="shared" ca="1" si="118"/>
        <v>0</v>
      </c>
      <c r="AJ41" s="34" t="str">
        <f ca="1">IF($V$41&lt;&gt;"",VLOOKUP($V$41,$B$4:$FZ$23,1,FALSE),"")</f>
        <v/>
      </c>
      <c r="AK41" s="34" t="str">
        <f ca="1">IF($V$41&lt;&gt;"",VLOOKUP($V$41,$B$4:$FZ$23,2,FALSE),"")</f>
        <v/>
      </c>
      <c r="AL41" s="32" t="str">
        <f ca="1">IF($V$41&lt;&gt;"",VLOOKUP($V$41,$B$4:$FZ$23,20,FALSE),"")</f>
        <v/>
      </c>
      <c r="AM41" s="32" t="str">
        <f ca="1">IF($V$41&lt;&gt;"",VLOOKUP($V$41,$B$4:$FZ$23,21,FALSE),"")</f>
        <v/>
      </c>
      <c r="AN41" s="32" t="str">
        <f ca="1">IF($V$41&lt;&gt;"",VLOOKUP($V$41,$B$4:$FZ$23,22,FALSE),"")</f>
        <v/>
      </c>
      <c r="AO41" s="32" t="str">
        <f ca="1">IF($V$41&lt;&gt;"",VLOOKUP($V$41,$B$4:$FZ$23,23,FALSE),"")</f>
        <v/>
      </c>
      <c r="AP41" s="32" t="str">
        <f ca="1">IF($V$41&lt;&gt;"",VLOOKUP($V$41,$B$4:$FZ$23,24,FALSE),"")</f>
        <v/>
      </c>
      <c r="AQ41" s="32" t="str">
        <f ca="1">IF($V$41&lt;&gt;"",VLOOKUP($V$41,$B$4:$FZ$23,25,FALSE),"")</f>
        <v/>
      </c>
      <c r="AR41" s="80">
        <f t="shared" ca="1" si="128"/>
        <v>0</v>
      </c>
      <c r="AS41" s="76">
        <f t="shared" ca="1" si="119"/>
        <v>0</v>
      </c>
      <c r="AT41" s="26">
        <f t="shared" ca="1" si="120"/>
        <v>0</v>
      </c>
      <c r="AU41" s="26">
        <f t="shared" ca="1" si="121"/>
        <v>0</v>
      </c>
      <c r="AV41" s="26">
        <f t="shared" ca="1" si="122"/>
        <v>0</v>
      </c>
      <c r="AW41" s="26">
        <f t="shared" ca="1" si="123"/>
        <v>0</v>
      </c>
      <c r="AX41" s="26">
        <f t="shared" ca="1" si="124"/>
        <v>0</v>
      </c>
      <c r="AY41" s="26">
        <f t="shared" ca="1" si="125"/>
        <v>0</v>
      </c>
      <c r="AZ41" s="77" t="str">
        <f>IFERROR(RANK(BB41,$BB$28:$BB$47)+COUNTIF(BB41:BB$47,BB41)-1,"")</f>
        <v/>
      </c>
      <c r="BB41" s="71" t="str">
        <f t="shared" si="107"/>
        <v/>
      </c>
      <c r="BD41" s="79">
        <f ca="1">IFERROR(RANK(AR41,$AR$28:$AR$47)+COUNTIF(AR$28:AR41,AR41)-1,"")</f>
        <v>14</v>
      </c>
      <c r="BE41" s="79">
        <f ca="1">IFERROR(RANK(AS41,$AS$28:$AS$47)+COUNTIF(AS$28:AS41,AS41)-1,"")</f>
        <v>14</v>
      </c>
      <c r="BF41" s="79">
        <f ca="1">IFERROR(RANK(AT41,$AT$28:$AT$47)+COUNTIF(AT$28:AT41,AT41)-1,"")</f>
        <v>14</v>
      </c>
      <c r="BG41" s="79">
        <f ca="1">IFERROR(RANK(AU41,$AU$28:$AU$47)+COUNTIF(AU$28:AU41,AU41)-1,"")</f>
        <v>14</v>
      </c>
      <c r="BH41" s="79">
        <f ca="1">IFERROR(RANK(AV41,$AV$28:$AV$47)+COUNTIF(AV$28:AV41,AV41)-1,"")</f>
        <v>14</v>
      </c>
      <c r="BI41" s="79">
        <f ca="1">IFERROR(RANK(AW41,$AW$28:$AW$47)+COUNTIF(AW$28:AW41,AW41)-1,"")</f>
        <v>14</v>
      </c>
      <c r="BJ41" s="79">
        <f ca="1">IFERROR(RANK(AX41,$AX$28:$AX$47)+COUNTIF(AX$28:AX41,AX41)-1,"")</f>
        <v>14</v>
      </c>
      <c r="BK41" s="79">
        <f ca="1">IFERROR(RANK(AY41,$AY$28:$AY$47)+COUNTIF(AY$28:AY41,AY41)-1,"")</f>
        <v>14</v>
      </c>
      <c r="BL41" s="1" t="str">
        <f t="shared" ca="1" si="126"/>
        <v/>
      </c>
      <c r="BM41" s="78"/>
      <c r="BN41" s="78"/>
      <c r="BO41" s="78"/>
      <c r="BP41" s="78"/>
      <c r="BQ41" s="78"/>
      <c r="BR41" s="78"/>
      <c r="BS41" s="78"/>
      <c r="BT41" s="78"/>
    </row>
    <row r="42" spans="1:130" ht="13.2" x14ac:dyDescent="0.25">
      <c r="A42" s="71" t="str">
        <f t="shared" ca="1" si="108"/>
        <v/>
      </c>
      <c r="B42" s="32">
        <f t="shared" ca="1" si="101"/>
        <v>0</v>
      </c>
      <c r="C42" s="32" t="str">
        <f t="shared" ca="1" si="109"/>
        <v/>
      </c>
      <c r="D42" s="32" t="str">
        <f t="shared" ca="1" si="110"/>
        <v/>
      </c>
      <c r="E42" s="32" t="str">
        <f t="shared" ca="1" si="127"/>
        <v/>
      </c>
      <c r="F42" s="32" t="str">
        <f t="shared" ca="1" si="111"/>
        <v/>
      </c>
      <c r="G42" s="32" t="str">
        <f t="shared" ca="1" si="102"/>
        <v/>
      </c>
      <c r="H42" s="32" t="str">
        <f t="shared" ca="1" si="103"/>
        <v/>
      </c>
      <c r="I42" s="36" t="str">
        <f t="shared" ca="1" si="112"/>
        <v/>
      </c>
      <c r="J42" s="37" t="str">
        <f t="shared" ca="1" si="113"/>
        <v/>
      </c>
      <c r="K42" s="32" t="str">
        <f t="shared" ca="1" si="114"/>
        <v/>
      </c>
      <c r="L42" s="32" t="str">
        <f ca="1">IF(B42&lt;&gt;0,SUMPRODUCT((COUNTIF(AJ18:AO18,{1,2,3,4,5,10})=0)*{1,2,3,4,5,10}),"")</f>
        <v/>
      </c>
      <c r="M42" s="32" t="str">
        <f t="shared" ca="1" si="115"/>
        <v/>
      </c>
      <c r="N42" s="73" t="str">
        <f t="shared" ca="1" si="130"/>
        <v/>
      </c>
      <c r="O42" s="74" t="str">
        <f ca="1">IFERROR(_xlfn.RANK.EQ(A42,$A$28:$A$47,1)+COUNTIF(A$28:A42,A42)-1,"")</f>
        <v/>
      </c>
      <c r="P42" s="8"/>
      <c r="Q42" s="1">
        <v>15</v>
      </c>
      <c r="S42" s="32" t="str">
        <f t="shared" ca="1" si="105"/>
        <v/>
      </c>
      <c r="T42" s="32" t="str">
        <f t="shared" ca="1" si="106"/>
        <v/>
      </c>
      <c r="U42" s="8" t="e">
        <f ca="1">VLOOKUP(SMALL($A$28:$A$47,15),$A$28:$O$47,2,FALSE)</f>
        <v>#NUM!</v>
      </c>
      <c r="V42" s="32" t="str">
        <f ca="1">IF(ISERROR(VLOOKUP(SMALL($A$28:$A$47,15),$A$28:$R$47,2,FALSE)),"",VLOOKUP(SMALL($A$28:$A$47,15),$A$28:$R$47,2,FALSE))</f>
        <v/>
      </c>
      <c r="W42" s="32" t="str">
        <f ca="1">IF($V$42&lt;&gt;"",VLOOKUP(LARGE($A$28:$A$47,15),$A$28:$R$47,3,FALSE),"")</f>
        <v/>
      </c>
      <c r="X42" s="32" t="str">
        <f ca="1">IF($V$42&lt;&gt;"",VLOOKUP(LARGE($A$28:$A$47,15),$A$28:$R$47,4,FALSE),"")</f>
        <v/>
      </c>
      <c r="Y42" s="32" t="str">
        <f ca="1">IF($V$42&lt;&gt;"",VLOOKUP(LARGE($A$28:$A$47,15),$A$28:$R$47,8,FALSE),"")</f>
        <v/>
      </c>
      <c r="Z42" s="32" t="str">
        <f ca="1">IF($V$42&lt;&gt;"",VLOOKUP(LARGE($A$28:$A$47,15),$A$28:$R$47,5,FALSE),"")</f>
        <v/>
      </c>
      <c r="AA42" s="32" t="str">
        <f ca="1">IF($V$42&lt;&gt;"",VLOOKUP(LARGE($A$28:$A$47,15),$A$28:$R$47,6,FALSE),"")</f>
        <v/>
      </c>
      <c r="AB42" s="32" t="str">
        <f ca="1">IF($V$42&lt;&gt;"",VLOOKUP(LARGE($A$28:$A$47,15),$A$28:$R$47,7,FALSE),"")</f>
        <v/>
      </c>
      <c r="AC42" s="32" t="str">
        <f ca="1">IF($V$42&lt;&gt;"",VLOOKUP(LARGE($A$28:$A$47,15),$A$28:$R$47,11,FALSE),"")</f>
        <v/>
      </c>
      <c r="AE42" s="64">
        <f t="shared" ca="1" si="116"/>
        <v>0</v>
      </c>
      <c r="AF42" s="75">
        <f t="shared" ca="1" si="116"/>
        <v>0</v>
      </c>
      <c r="AH42" s="71" t="str">
        <f t="shared" si="117"/>
        <v/>
      </c>
      <c r="AI42" s="65">
        <f t="shared" ca="1" si="118"/>
        <v>0</v>
      </c>
      <c r="AJ42" s="34" t="str">
        <f ca="1">IF($V$42&lt;&gt;"",VLOOKUP($V$42,$B$4:$FZ$23,1,FALSE),"")</f>
        <v/>
      </c>
      <c r="AK42" s="34" t="str">
        <f ca="1">IF($V$42&lt;&gt;"",VLOOKUP($V$42,$B$4:$FZ$23,2,FALSE),"")</f>
        <v/>
      </c>
      <c r="AL42" s="32" t="str">
        <f ca="1">IF($V$42&lt;&gt;"",VLOOKUP($V$42,$B$4:$FZ$23,20,FALSE),"")</f>
        <v/>
      </c>
      <c r="AM42" s="32" t="str">
        <f ca="1">IF($V$42&lt;&gt;"",VLOOKUP($V$42,$B$4:$FZ$23,21,FALSE),"")</f>
        <v/>
      </c>
      <c r="AN42" s="32" t="str">
        <f ca="1">IF($V$42&lt;&gt;"",VLOOKUP($V$42,$B$4:$FZ$23,22,FALSE),"")</f>
        <v/>
      </c>
      <c r="AO42" s="32" t="str">
        <f ca="1">IF($V$42&lt;&gt;"",VLOOKUP($V$42,$B$4:$FZ$23,23,FALSE),"")</f>
        <v/>
      </c>
      <c r="AP42" s="32" t="str">
        <f ca="1">IF($V$42&lt;&gt;"",VLOOKUP($V$42,$B$4:$FZ$23,24,FALSE),"")</f>
        <v/>
      </c>
      <c r="AQ42" s="32" t="str">
        <f ca="1">IF($V$42&lt;&gt;"",VLOOKUP($V$42,$B$4:$FZ$23,25,FALSE),"")</f>
        <v/>
      </c>
      <c r="AR42" s="80">
        <f t="shared" ca="1" si="128"/>
        <v>0</v>
      </c>
      <c r="AS42" s="76">
        <f t="shared" ca="1" si="119"/>
        <v>0</v>
      </c>
      <c r="AT42" s="26">
        <f t="shared" ca="1" si="120"/>
        <v>0</v>
      </c>
      <c r="AU42" s="26">
        <f t="shared" ca="1" si="121"/>
        <v>0</v>
      </c>
      <c r="AV42" s="26">
        <f t="shared" ca="1" si="122"/>
        <v>0</v>
      </c>
      <c r="AW42" s="26">
        <f t="shared" ca="1" si="123"/>
        <v>0</v>
      </c>
      <c r="AX42" s="26">
        <f t="shared" ca="1" si="124"/>
        <v>0</v>
      </c>
      <c r="AY42" s="26">
        <f t="shared" ca="1" si="125"/>
        <v>0</v>
      </c>
      <c r="AZ42" s="77" t="str">
        <f>IFERROR(RANK(BB42,$BB$28:$BB$47)+COUNTIF(BB42:BB$47,BB42)-1,"")</f>
        <v/>
      </c>
      <c r="BB42" s="71" t="str">
        <f t="shared" si="107"/>
        <v/>
      </c>
      <c r="BD42" s="79">
        <f ca="1">IFERROR(RANK(AR42,$AR$28:$AR$47)+COUNTIF(AR$28:AR42,AR42)-1,"")</f>
        <v>15</v>
      </c>
      <c r="BE42" s="79">
        <f ca="1">IFERROR(RANK(AS42,$AS$28:$AS$47)+COUNTIF(AS$28:AS42,AS42)-1,"")</f>
        <v>15</v>
      </c>
      <c r="BF42" s="79">
        <f ca="1">IFERROR(RANK(AT42,$AT$28:$AT$47)+COUNTIF(AT$28:AT42,AT42)-1,"")</f>
        <v>15</v>
      </c>
      <c r="BG42" s="79">
        <f ca="1">IFERROR(RANK(AU42,$AU$28:$AU$47)+COUNTIF(AU$28:AU42,AU42)-1,"")</f>
        <v>15</v>
      </c>
      <c r="BH42" s="79">
        <f ca="1">IFERROR(RANK(AV42,$AV$28:$AV$47)+COUNTIF(AV$28:AV42,AV42)-1,"")</f>
        <v>15</v>
      </c>
      <c r="BI42" s="79">
        <f ca="1">IFERROR(RANK(AW42,$AW$28:$AW$47)+COUNTIF(AW$28:AW42,AW42)-1,"")</f>
        <v>15</v>
      </c>
      <c r="BJ42" s="79">
        <f ca="1">IFERROR(RANK(AX42,$AX$28:$AX$47)+COUNTIF(AX$28:AX42,AX42)-1,"")</f>
        <v>15</v>
      </c>
      <c r="BK42" s="79">
        <f ca="1">IFERROR(RANK(AY42,$AY$28:$AY$47)+COUNTIF(AY$28:AY42,AY42)-1,"")</f>
        <v>15</v>
      </c>
      <c r="BL42" s="1" t="str">
        <f t="shared" ca="1" si="126"/>
        <v/>
      </c>
      <c r="BM42" s="78"/>
      <c r="BN42" s="78"/>
      <c r="BO42" s="78"/>
      <c r="BP42" s="78"/>
      <c r="BQ42" s="78"/>
      <c r="BR42" s="78"/>
      <c r="BS42" s="78"/>
      <c r="BT42" s="78"/>
    </row>
    <row r="43" spans="1:130" ht="13.2" x14ac:dyDescent="0.25">
      <c r="A43" s="71" t="str">
        <f t="shared" ca="1" si="108"/>
        <v/>
      </c>
      <c r="B43" s="32">
        <f t="shared" ca="1" si="101"/>
        <v>0</v>
      </c>
      <c r="C43" s="32" t="str">
        <f t="shared" ca="1" si="109"/>
        <v/>
      </c>
      <c r="D43" s="32" t="str">
        <f t="shared" ca="1" si="110"/>
        <v/>
      </c>
      <c r="E43" s="32" t="str">
        <f t="shared" ca="1" si="127"/>
        <v/>
      </c>
      <c r="F43" s="32" t="str">
        <f t="shared" ca="1" si="111"/>
        <v/>
      </c>
      <c r="G43" s="32" t="str">
        <f t="shared" ca="1" si="102"/>
        <v/>
      </c>
      <c r="H43" s="32" t="str">
        <f t="shared" ca="1" si="103"/>
        <v/>
      </c>
      <c r="I43" s="36" t="str">
        <f t="shared" ca="1" si="112"/>
        <v/>
      </c>
      <c r="J43" s="37" t="str">
        <f t="shared" ca="1" si="113"/>
        <v/>
      </c>
      <c r="K43" s="32" t="str">
        <f t="shared" ca="1" si="114"/>
        <v/>
      </c>
      <c r="L43" s="32" t="str">
        <f ca="1">IF(B43&lt;&gt;0,SUMPRODUCT((COUNTIF(AJ19:AO19,{1,2,3,4,5,10})=0)*{1,2,3,4,5,10}),"")</f>
        <v/>
      </c>
      <c r="M43" s="32" t="str">
        <f t="shared" ca="1" si="115"/>
        <v/>
      </c>
      <c r="N43" s="73" t="str">
        <f t="shared" ca="1" si="130"/>
        <v/>
      </c>
      <c r="O43" s="74" t="str">
        <f ca="1">IFERROR(_xlfn.RANK.EQ(A43,$A$28:$A$47,1)+COUNTIF(A$28:A43,A43)-1,"")</f>
        <v/>
      </c>
      <c r="P43" s="8"/>
      <c r="Q43" s="1">
        <v>16</v>
      </c>
      <c r="S43" s="32" t="str">
        <f t="shared" ca="1" si="105"/>
        <v/>
      </c>
      <c r="T43" s="32" t="str">
        <f t="shared" ca="1" si="106"/>
        <v/>
      </c>
      <c r="U43" s="8" t="e">
        <f ca="1">VLOOKUP(SMALL($A$28:$A$47,16),$A$28:$O$47,2,FALSE)</f>
        <v>#NUM!</v>
      </c>
      <c r="V43" s="32" t="str">
        <f ca="1">IF(ISERROR(VLOOKUP(SMALL($A$28:$A$47,16),$A$28:$R$47,2,FALSE)),"",VLOOKUP(SMALL($A$28:$A$47,16),$A$28:$R$47,2,FALSE))</f>
        <v/>
      </c>
      <c r="W43" s="32" t="str">
        <f ca="1">IF($V$43&lt;&gt;"",VLOOKUP(LARGE($A$28:$A$47,16),$A$28:$R$47,3,FALSE),"")</f>
        <v/>
      </c>
      <c r="X43" s="32" t="str">
        <f ca="1">IF($V$43&lt;&gt;"",VLOOKUP(LARGE($A$28:$A$47,16),$A$28:$R$47,4,FALSE),"")</f>
        <v/>
      </c>
      <c r="Y43" s="32" t="str">
        <f ca="1">IF($V$43&lt;&gt;"",VLOOKUP(LARGE($A$28:$A$47,16),$A$28:$R$47,8,FALSE),"")</f>
        <v/>
      </c>
      <c r="Z43" s="32" t="str">
        <f ca="1">IF($V$43&lt;&gt;"",VLOOKUP(LARGE($A$28:$A$47,16),$A$28:$R$47,5,FALSE),"")</f>
        <v/>
      </c>
      <c r="AA43" s="32" t="str">
        <f ca="1">IF($V$43&lt;&gt;"",VLOOKUP(LARGE($A$28:$A$47,16),$A$28:$R$47,6,FALSE),"")</f>
        <v/>
      </c>
      <c r="AB43" s="32" t="str">
        <f ca="1">IF($V$43&lt;&gt;"",VLOOKUP(LARGE($A$28:$A$47,16),$A$28:$R$47,7,FALSE),"")</f>
        <v/>
      </c>
      <c r="AC43" s="32" t="str">
        <f ca="1">IF($V$43&lt;&gt;"",VLOOKUP(LARGE($A$28:$A$47,16),$A$28:$R$47,11,FALSE),"")</f>
        <v/>
      </c>
      <c r="AE43" s="64">
        <f t="shared" ca="1" si="116"/>
        <v>0</v>
      </c>
      <c r="AF43" s="75">
        <f t="shared" ca="1" si="116"/>
        <v>0</v>
      </c>
      <c r="AH43" s="71" t="str">
        <f t="shared" si="117"/>
        <v/>
      </c>
      <c r="AI43" s="65">
        <f t="shared" ca="1" si="118"/>
        <v>0</v>
      </c>
      <c r="AJ43" s="34" t="str">
        <f ca="1">IF($V$43&lt;&gt;"",VLOOKUP($V$43,$B$4:$FZ$23,1,FALSE),"")</f>
        <v/>
      </c>
      <c r="AK43" s="34" t="str">
        <f ca="1">IF($V$43&lt;&gt;"",VLOOKUP($V$43,$B$4:$FZ$23,2,FALSE),"")</f>
        <v/>
      </c>
      <c r="AL43" s="32" t="str">
        <f ca="1">IF($V$43&lt;&gt;"",VLOOKUP($V$43,$B$4:$FZ$23,20,FALSE),"")</f>
        <v/>
      </c>
      <c r="AM43" s="32" t="str">
        <f ca="1">IF($V$43&lt;&gt;"",VLOOKUP($V$43,$B$4:$FZ$23,21,FALSE),"")</f>
        <v/>
      </c>
      <c r="AN43" s="32" t="str">
        <f ca="1">IF($V$43&lt;&gt;"",VLOOKUP($V$43,$B$4:$FZ$23,22,FALSE),"")</f>
        <v/>
      </c>
      <c r="AO43" s="32" t="str">
        <f ca="1">IF($V$43&lt;&gt;"",VLOOKUP($V$43,$B$4:$FZ$23,23,FALSE),"")</f>
        <v/>
      </c>
      <c r="AP43" s="32" t="str">
        <f ca="1">IF($V$43&lt;&gt;"",VLOOKUP($V$43,$B$4:$FZ$23,24,FALSE),"")</f>
        <v/>
      </c>
      <c r="AQ43" s="32" t="str">
        <f ca="1">IF($V$43&lt;&gt;"",VLOOKUP($V$43,$B$4:$FZ$23,25,FALSE),"")</f>
        <v/>
      </c>
      <c r="AR43" s="80">
        <f t="shared" ca="1" si="128"/>
        <v>0</v>
      </c>
      <c r="AS43" s="76">
        <f t="shared" ca="1" si="119"/>
        <v>0</v>
      </c>
      <c r="AT43" s="26">
        <f t="shared" ca="1" si="120"/>
        <v>0</v>
      </c>
      <c r="AU43" s="26">
        <f t="shared" ca="1" si="121"/>
        <v>0</v>
      </c>
      <c r="AV43" s="26">
        <f t="shared" ca="1" si="122"/>
        <v>0</v>
      </c>
      <c r="AW43" s="26">
        <f t="shared" ca="1" si="123"/>
        <v>0</v>
      </c>
      <c r="AX43" s="26">
        <f t="shared" ca="1" si="124"/>
        <v>0</v>
      </c>
      <c r="AY43" s="26">
        <f t="shared" ca="1" si="125"/>
        <v>0</v>
      </c>
      <c r="AZ43" s="77" t="str">
        <f>IFERROR(RANK(BB43,$BB$28:$BB$47)+COUNTIF(BB43:BB$47,BB43)-1,"")</f>
        <v/>
      </c>
      <c r="BB43" s="71" t="str">
        <f t="shared" si="107"/>
        <v/>
      </c>
      <c r="BD43" s="79">
        <f ca="1">IFERROR(RANK(AR43,$AR$28:$AR$47)+COUNTIF(AR$28:AR43,AR43)-1,"")</f>
        <v>16</v>
      </c>
      <c r="BE43" s="79">
        <f ca="1">IFERROR(RANK(AS43,$AS$28:$AS$47)+COUNTIF(AS$28:AS43,AS43)-1,"")</f>
        <v>16</v>
      </c>
      <c r="BF43" s="79">
        <f ca="1">IFERROR(RANK(AT43,$AT$28:$AT$47)+COUNTIF(AT$28:AT43,AT43)-1,"")</f>
        <v>16</v>
      </c>
      <c r="BG43" s="79">
        <f ca="1">IFERROR(RANK(AU43,$AU$28:$AU$47)+COUNTIF(AU$28:AU43,AU43)-1,"")</f>
        <v>16</v>
      </c>
      <c r="BH43" s="79">
        <f ca="1">IFERROR(RANK(AV43,$AV$28:$AV$47)+COUNTIF(AV$28:AV43,AV43)-1,"")</f>
        <v>16</v>
      </c>
      <c r="BI43" s="79">
        <f ca="1">IFERROR(RANK(AW43,$AW$28:$AW$47)+COUNTIF(AW$28:AW43,AW43)-1,"")</f>
        <v>16</v>
      </c>
      <c r="BJ43" s="79">
        <f ca="1">IFERROR(RANK(AX43,$AX$28:$AX$47)+COUNTIF(AX$28:AX43,AX43)-1,"")</f>
        <v>16</v>
      </c>
      <c r="BK43" s="79">
        <f ca="1">IFERROR(RANK(AY43,$AY$28:$AY$47)+COUNTIF(AY$28:AY43,AY43)-1,"")</f>
        <v>16</v>
      </c>
      <c r="BL43" s="1" t="str">
        <f t="shared" ca="1" si="126"/>
        <v/>
      </c>
      <c r="BM43" s="78"/>
      <c r="BN43" s="78"/>
      <c r="BO43" s="78"/>
      <c r="BP43" s="78"/>
      <c r="BQ43" s="78"/>
      <c r="BR43" s="78"/>
      <c r="BS43" s="78"/>
      <c r="BT43" s="78"/>
    </row>
    <row r="44" spans="1:130" ht="13.2" x14ac:dyDescent="0.25">
      <c r="A44" s="71" t="str">
        <f t="shared" ca="1" si="108"/>
        <v/>
      </c>
      <c r="B44" s="32">
        <f t="shared" ca="1" si="101"/>
        <v>0</v>
      </c>
      <c r="C44" s="32" t="str">
        <f t="shared" ca="1" si="109"/>
        <v/>
      </c>
      <c r="D44" s="32" t="str">
        <f t="shared" ca="1" si="110"/>
        <v/>
      </c>
      <c r="E44" s="32" t="str">
        <f t="shared" ca="1" si="127"/>
        <v/>
      </c>
      <c r="F44" s="32" t="str">
        <f t="shared" ca="1" si="111"/>
        <v/>
      </c>
      <c r="G44" s="32" t="str">
        <f t="shared" ca="1" si="102"/>
        <v/>
      </c>
      <c r="H44" s="32" t="str">
        <f t="shared" ca="1" si="103"/>
        <v/>
      </c>
      <c r="I44" s="36" t="str">
        <f t="shared" ca="1" si="112"/>
        <v/>
      </c>
      <c r="J44" s="37" t="str">
        <f t="shared" ca="1" si="113"/>
        <v/>
      </c>
      <c r="K44" s="32" t="str">
        <f t="shared" ca="1" si="114"/>
        <v/>
      </c>
      <c r="L44" s="32" t="str">
        <f ca="1">IF(B44&lt;&gt;0,SUMPRODUCT((COUNTIF(AJ20:AO20,{1,2,3,4,5,10})=0)*{1,2,3,4,5,10}),"")</f>
        <v/>
      </c>
      <c r="M44" s="32" t="str">
        <f t="shared" ca="1" si="115"/>
        <v/>
      </c>
      <c r="N44" s="73" t="str">
        <f t="shared" ca="1" si="130"/>
        <v/>
      </c>
      <c r="O44" s="74" t="str">
        <f ca="1">IFERROR(_xlfn.RANK.EQ(A44,$A$28:$A$47,1)+COUNTIF(A$28:A44,A44)-1,"")</f>
        <v/>
      </c>
      <c r="P44" s="8"/>
      <c r="Q44" s="1">
        <v>17</v>
      </c>
      <c r="S44" s="32" t="str">
        <f t="shared" ca="1" si="105"/>
        <v/>
      </c>
      <c r="T44" s="32" t="str">
        <f t="shared" ca="1" si="106"/>
        <v/>
      </c>
      <c r="U44" s="8" t="e">
        <f ca="1">VLOOKUP(SMALL($A$28:$A$47,17),$A$28:$O$47,2,FALSE)</f>
        <v>#NUM!</v>
      </c>
      <c r="V44" s="32" t="str">
        <f ca="1">IF(ISERROR(VLOOKUP(SMALL($A$28:$A$47,17),$A$28:$R$47,2,FALSE)),"",VLOOKUP(SMALL($A$28:$A$47,17),$A$28:$R$47,2,FALSE))</f>
        <v/>
      </c>
      <c r="W44" s="32" t="str">
        <f ca="1">IF($V$44&lt;&gt;"",VLOOKUP(LARGE($A$28:$A$47,17),$A$28:$R$47,3,FALSE),"")</f>
        <v/>
      </c>
      <c r="X44" s="32" t="str">
        <f ca="1">IF($V$44&lt;&gt;"",VLOOKUP(LARGE($A$28:$A$47,17),$A$28:$R$47,4,FALSE),"")</f>
        <v/>
      </c>
      <c r="Y44" s="32" t="str">
        <f ca="1">IF($V$44&lt;&gt;"",VLOOKUP(LARGE($A$28:$A$47,17),$A$28:$R$47,8,FALSE),"")</f>
        <v/>
      </c>
      <c r="Z44" s="32" t="str">
        <f ca="1">IF($V$44&lt;&gt;"",VLOOKUP(LARGE($A$28:$A$47,17),$A$28:$R$47,5,FALSE),"")</f>
        <v/>
      </c>
      <c r="AA44" s="32" t="str">
        <f ca="1">IF($V$44&lt;&gt;"",VLOOKUP(LARGE($A$28:$A$47,17),$A$28:$R$47,6,FALSE),"")</f>
        <v/>
      </c>
      <c r="AB44" s="32" t="str">
        <f ca="1">IF($V$44&lt;&gt;"",VLOOKUP(LARGE($A$28:$A$47,17),$A$28:$R$47,7,FALSE),"")</f>
        <v/>
      </c>
      <c r="AC44" s="32" t="str">
        <f ca="1">IF($V$44&lt;&gt;"",VLOOKUP(LARGE($A$28:$A$47,17),$A$28:$R$47,11,FALSE),"")</f>
        <v/>
      </c>
      <c r="AE44" s="64">
        <f t="shared" ca="1" si="116"/>
        <v>0</v>
      </c>
      <c r="AF44" s="75">
        <f t="shared" ca="1" si="116"/>
        <v>0</v>
      </c>
      <c r="AH44" s="71" t="str">
        <f t="shared" si="117"/>
        <v/>
      </c>
      <c r="AI44" s="65">
        <f t="shared" ca="1" si="118"/>
        <v>0</v>
      </c>
      <c r="AJ44" s="34" t="str">
        <f ca="1">IF($V$44&lt;&gt;"",VLOOKUP($V$44,$B$4:$FZ$23,1,FALSE),"")</f>
        <v/>
      </c>
      <c r="AK44" s="34" t="str">
        <f ca="1">IF($V$44&lt;&gt;"",VLOOKUP($V$44,$B$4:$FZ$23,2,FALSE),"")</f>
        <v/>
      </c>
      <c r="AL44" s="32" t="str">
        <f ca="1">IF($V$44&lt;&gt;"",VLOOKUP($V$44,$B$4:$FZ$23,20,FALSE),"")</f>
        <v/>
      </c>
      <c r="AM44" s="32" t="str">
        <f ca="1">IF($V$44&lt;&gt;"",VLOOKUP($V$44,$B$4:$FZ$23,21,FALSE),"")</f>
        <v/>
      </c>
      <c r="AN44" s="32" t="str">
        <f ca="1">IF($V$44&lt;&gt;"",VLOOKUP($V$44,$B$4:$FZ$23,22,FALSE),"")</f>
        <v/>
      </c>
      <c r="AO44" s="32" t="str">
        <f ca="1">IF($V$44&lt;&gt;"",VLOOKUP($V$44,$B$4:$FZ$23,23,FALSE),"")</f>
        <v/>
      </c>
      <c r="AP44" s="32" t="str">
        <f ca="1">IF($V$44&lt;&gt;"",VLOOKUP($V$44,$B$4:$FZ$23,24,FALSE),"")</f>
        <v/>
      </c>
      <c r="AQ44" s="32" t="str">
        <f ca="1">IF($V$44&lt;&gt;"",VLOOKUP($V$44,$B$4:$FZ$23,25,FALSE),"")</f>
        <v/>
      </c>
      <c r="AR44" s="80">
        <f t="shared" ca="1" si="128"/>
        <v>0</v>
      </c>
      <c r="AS44" s="76">
        <f t="shared" ca="1" si="119"/>
        <v>0</v>
      </c>
      <c r="AT44" s="26">
        <f t="shared" ca="1" si="120"/>
        <v>0</v>
      </c>
      <c r="AU44" s="26">
        <f t="shared" ca="1" si="121"/>
        <v>0</v>
      </c>
      <c r="AV44" s="26">
        <f t="shared" ca="1" si="122"/>
        <v>0</v>
      </c>
      <c r="AW44" s="26">
        <f t="shared" ca="1" si="123"/>
        <v>0</v>
      </c>
      <c r="AX44" s="26">
        <f t="shared" ca="1" si="124"/>
        <v>0</v>
      </c>
      <c r="AY44" s="26">
        <f t="shared" ca="1" si="125"/>
        <v>0</v>
      </c>
      <c r="AZ44" s="77" t="str">
        <f>IFERROR(RANK(BB44,$BB$28:$BB$47)+COUNTIF(BB44:BB$47,BB44)-1,"")</f>
        <v/>
      </c>
      <c r="BB44" s="71" t="str">
        <f t="shared" si="107"/>
        <v/>
      </c>
      <c r="BD44" s="79">
        <f ca="1">IFERROR(RANK(AR44,$AR$28:$AR$47)+COUNTIF(AR$28:AR44,AR44)-1,"")</f>
        <v>17</v>
      </c>
      <c r="BE44" s="79">
        <f ca="1">IFERROR(RANK(AS44,$AS$28:$AS$47)+COUNTIF(AS$28:AS44,AS44)-1,"")</f>
        <v>17</v>
      </c>
      <c r="BF44" s="79">
        <f ca="1">IFERROR(RANK(AT44,$AT$28:$AT$47)+COUNTIF(AT$28:AT44,AT44)-1,"")</f>
        <v>17</v>
      </c>
      <c r="BG44" s="79">
        <f ca="1">IFERROR(RANK(AU44,$AU$28:$AU$47)+COUNTIF(AU$28:AU44,AU44)-1,"")</f>
        <v>17</v>
      </c>
      <c r="BH44" s="79">
        <f ca="1">IFERROR(RANK(AV44,$AV$28:$AV$47)+COUNTIF(AV$28:AV44,AV44)-1,"")</f>
        <v>17</v>
      </c>
      <c r="BI44" s="79">
        <f ca="1">IFERROR(RANK(AW44,$AW$28:$AW$47)+COUNTIF(AW$28:AW44,AW44)-1,"")</f>
        <v>17</v>
      </c>
      <c r="BJ44" s="79">
        <f ca="1">IFERROR(RANK(AX44,$AX$28:$AX$47)+COUNTIF(AX$28:AX44,AX44)-1,"")</f>
        <v>17</v>
      </c>
      <c r="BK44" s="79">
        <f ca="1">IFERROR(RANK(AY44,$AY$28:$AY$47)+COUNTIF(AY$28:AY44,AY44)-1,"")</f>
        <v>17</v>
      </c>
      <c r="BL44" s="1" t="str">
        <f t="shared" ca="1" si="126"/>
        <v/>
      </c>
      <c r="BM44" s="78"/>
      <c r="BN44" s="78"/>
      <c r="BO44" s="78"/>
      <c r="BP44" s="78"/>
      <c r="BQ44" s="78"/>
      <c r="BR44" s="78"/>
      <c r="BS44" s="78"/>
      <c r="BT44" s="78"/>
    </row>
    <row r="45" spans="1:130" ht="13.2" x14ac:dyDescent="0.25">
      <c r="A45" s="71" t="str">
        <f t="shared" ca="1" si="108"/>
        <v/>
      </c>
      <c r="B45" s="32">
        <f t="shared" ca="1" si="101"/>
        <v>0</v>
      </c>
      <c r="C45" s="32" t="str">
        <f t="shared" ca="1" si="109"/>
        <v/>
      </c>
      <c r="D45" s="32" t="str">
        <f t="shared" ca="1" si="110"/>
        <v/>
      </c>
      <c r="E45" s="32" t="str">
        <f t="shared" ca="1" si="127"/>
        <v/>
      </c>
      <c r="F45" s="32" t="str">
        <f t="shared" ca="1" si="111"/>
        <v/>
      </c>
      <c r="G45" s="32" t="str">
        <f t="shared" ca="1" si="102"/>
        <v/>
      </c>
      <c r="H45" s="32" t="str">
        <f t="shared" ca="1" si="103"/>
        <v/>
      </c>
      <c r="I45" s="36" t="str">
        <f t="shared" ca="1" si="112"/>
        <v/>
      </c>
      <c r="J45" s="37" t="str">
        <f t="shared" ca="1" si="113"/>
        <v/>
      </c>
      <c r="K45" s="32" t="str">
        <f t="shared" ca="1" si="114"/>
        <v/>
      </c>
      <c r="L45" s="32" t="str">
        <f ca="1">IF(B45&lt;&gt;0,SUMPRODUCT((COUNTIF(AJ21:AO21,{1,2,3,4,5,10})=0)*{1,2,3,4,5,10}),"")</f>
        <v/>
      </c>
      <c r="M45" s="32" t="str">
        <f t="shared" ca="1" si="115"/>
        <v/>
      </c>
      <c r="N45" s="73" t="str">
        <f t="shared" ca="1" si="130"/>
        <v/>
      </c>
      <c r="O45" s="74" t="str">
        <f ca="1">IFERROR(_xlfn.RANK.EQ(A45,$A$28:$A$47,1)+COUNTIF(A$28:A45,A45)-1,"")</f>
        <v/>
      </c>
      <c r="P45" s="8"/>
      <c r="Q45" s="1">
        <v>18</v>
      </c>
      <c r="S45" s="32" t="str">
        <f t="shared" ca="1" si="105"/>
        <v/>
      </c>
      <c r="T45" s="32" t="str">
        <f t="shared" ca="1" si="106"/>
        <v/>
      </c>
      <c r="U45" s="8" t="e">
        <f ca="1">VLOOKUP(SMALL($A$28:$A$47,18),$A$28:$O$47,2,FALSE)</f>
        <v>#NUM!</v>
      </c>
      <c r="V45" s="32" t="str">
        <f ca="1">IFERROR(VLOOKUP(SMALL($A$28:$A$47,18),$A$28:$O$47,2,FALSE),"")</f>
        <v/>
      </c>
      <c r="W45" s="32" t="str">
        <f ca="1">IF($V$45&lt;&gt;"",VLOOKUP(LARGE($A$28:$A$47,18),$A$28:$R$47,3,FALSE),"")</f>
        <v/>
      </c>
      <c r="X45" s="32" t="str">
        <f ca="1">IF($V$45&lt;&gt;"",VLOOKUP(LARGE($A$28:$A$47,18),$A$28:$R$47,4,FALSE),"")</f>
        <v/>
      </c>
      <c r="Y45" s="32" t="str">
        <f ca="1">IF($V$45&lt;&gt;"",VLOOKUP(LARGE($A$28:$A$47,18),$A$28:$R$47,8,FALSE),"")</f>
        <v/>
      </c>
      <c r="Z45" s="32" t="str">
        <f ca="1">IF($V$45&lt;&gt;"",VLOOKUP(LARGE($A$28:$A$47,18),$A$28:$R$47,5,FALSE),"")</f>
        <v/>
      </c>
      <c r="AA45" s="32" t="str">
        <f ca="1">IF($V$45&lt;&gt;"",VLOOKUP(LARGE($A$28:$A$47,18),$A$28:$R$47,6,FALSE),"")</f>
        <v/>
      </c>
      <c r="AB45" s="32" t="str">
        <f ca="1">IF($V$45&lt;&gt;"",VLOOKUP(LARGE($A$28:$A$47,18),$A$28:$R$47,7,FALSE),"")</f>
        <v/>
      </c>
      <c r="AC45" s="32" t="str">
        <f ca="1">IF($V$45&lt;&gt;"",VLOOKUP(LARGE($A$28:$A$47,18),$A$28:$R$47,11,FALSE),"")</f>
        <v/>
      </c>
      <c r="AE45" s="64">
        <f t="shared" ca="1" si="116"/>
        <v>0</v>
      </c>
      <c r="AF45" s="75">
        <f t="shared" ca="1" si="116"/>
        <v>0</v>
      </c>
      <c r="AH45" s="71" t="str">
        <f t="shared" si="117"/>
        <v/>
      </c>
      <c r="AI45" s="65">
        <f t="shared" ca="1" si="118"/>
        <v>0</v>
      </c>
      <c r="AJ45" s="34" t="str">
        <f ca="1">IF($V$45&lt;&gt;"",VLOOKUP($V$45,$B$4:$FZ$23,1,FALSE),"")</f>
        <v/>
      </c>
      <c r="AK45" s="34" t="str">
        <f ca="1">IF($V$45&lt;&gt;"",VLOOKUP($V$45,$B$4:$FZ$23,2,FALSE),"")</f>
        <v/>
      </c>
      <c r="AL45" s="32" t="str">
        <f ca="1">IF($V$45&lt;&gt;"",VLOOKUP($V$45,$B$4:$FZ$23,20,FALSE),"")</f>
        <v/>
      </c>
      <c r="AM45" s="32" t="str">
        <f ca="1">IF($V$45&lt;&gt;"",VLOOKUP($V$45,$B$4:$FZ$23,21,FALSE),"")</f>
        <v/>
      </c>
      <c r="AN45" s="32" t="str">
        <f ca="1">IF($V$45&lt;&gt;"",VLOOKUP($V$45,$B$4:$FZ$23,22,FALSE),"")</f>
        <v/>
      </c>
      <c r="AO45" s="32" t="str">
        <f ca="1">IF($V$45&lt;&gt;"",VLOOKUP($V$45,$B$4:$FZ$23,23,FALSE),"")</f>
        <v/>
      </c>
      <c r="AP45" s="32" t="str">
        <f ca="1">IF($V$45&lt;&gt;"",VLOOKUP($V$45,$B$4:$FZ$23,24,FALSE),"")</f>
        <v/>
      </c>
      <c r="AQ45" s="32" t="str">
        <f ca="1">IF($V$45&lt;&gt;"",VLOOKUP($V$45,$B$4:$FZ$23,25,FALSE),"")</f>
        <v/>
      </c>
      <c r="AR45" s="80">
        <f t="shared" ca="1" si="128"/>
        <v>0</v>
      </c>
      <c r="AS45" s="76">
        <f t="shared" ca="1" si="119"/>
        <v>0</v>
      </c>
      <c r="AT45" s="26">
        <f t="shared" ca="1" si="120"/>
        <v>0</v>
      </c>
      <c r="AU45" s="26">
        <f t="shared" ca="1" si="121"/>
        <v>0</v>
      </c>
      <c r="AV45" s="26">
        <f t="shared" ca="1" si="122"/>
        <v>0</v>
      </c>
      <c r="AW45" s="26">
        <f t="shared" ca="1" si="123"/>
        <v>0</v>
      </c>
      <c r="AX45" s="26">
        <f t="shared" ca="1" si="124"/>
        <v>0</v>
      </c>
      <c r="AY45" s="26">
        <f t="shared" ca="1" si="125"/>
        <v>0</v>
      </c>
      <c r="AZ45" s="77" t="str">
        <f>IFERROR(RANK(BB45,$BB$28:$BB$47)+COUNTIF(BB45:BB$47,BB45)-1,"")</f>
        <v/>
      </c>
      <c r="BB45" s="71" t="str">
        <f t="shared" si="107"/>
        <v/>
      </c>
      <c r="BD45" s="79">
        <f ca="1">IFERROR(RANK(AR45,$AR$28:$AR$47)+COUNTIF(AR$28:AR45,AR45)-1,"")</f>
        <v>18</v>
      </c>
      <c r="BE45" s="79">
        <f ca="1">IFERROR(RANK(AS45,$AS$28:$AS$47)+COUNTIF(AS$28:AS45,AS45)-1,"")</f>
        <v>18</v>
      </c>
      <c r="BF45" s="79">
        <f ca="1">IFERROR(RANK(AT45,$AT$28:$AT$47)+COUNTIF(AT$28:AT45,AT45)-1,"")</f>
        <v>18</v>
      </c>
      <c r="BG45" s="79">
        <f ca="1">IFERROR(RANK(AU45,$AU$28:$AU$47)+COUNTIF(AU$28:AU45,AU45)-1,"")</f>
        <v>18</v>
      </c>
      <c r="BH45" s="79">
        <f ca="1">IFERROR(RANK(AV45,$AV$28:$AV$47)+COUNTIF(AV$28:AV45,AV45)-1,"")</f>
        <v>18</v>
      </c>
      <c r="BI45" s="79">
        <f ca="1">IFERROR(RANK(AW45,$AW$28:$AW$47)+COUNTIF(AW$28:AW45,AW45)-1,"")</f>
        <v>18</v>
      </c>
      <c r="BJ45" s="79">
        <f ca="1">IFERROR(RANK(AX45,$AX$28:$AX$47)+COUNTIF(AX$28:AX45,AX45)-1,"")</f>
        <v>18</v>
      </c>
      <c r="BK45" s="79">
        <f ca="1">IFERROR(RANK(AY45,$AY$28:$AY$47)+COUNTIF(AY$28:AY45,AY45)-1,"")</f>
        <v>18</v>
      </c>
      <c r="BL45" s="1" t="str">
        <f t="shared" ca="1" si="126"/>
        <v/>
      </c>
      <c r="BM45" s="78"/>
      <c r="BN45" s="78"/>
      <c r="BO45" s="78"/>
      <c r="BP45" s="78"/>
      <c r="BQ45" s="78"/>
      <c r="BR45" s="78"/>
      <c r="BS45" s="78"/>
      <c r="BT45" s="78"/>
    </row>
    <row r="46" spans="1:130" ht="13.2" x14ac:dyDescent="0.25">
      <c r="A46" s="71" t="str">
        <f t="shared" ca="1" si="108"/>
        <v/>
      </c>
      <c r="B46" s="32">
        <f t="shared" ca="1" si="101"/>
        <v>0</v>
      </c>
      <c r="C46" s="32" t="str">
        <f t="shared" ca="1" si="109"/>
        <v/>
      </c>
      <c r="D46" s="32" t="str">
        <f t="shared" ca="1" si="110"/>
        <v/>
      </c>
      <c r="E46" s="32" t="str">
        <f t="shared" ca="1" si="127"/>
        <v/>
      </c>
      <c r="F46" s="32" t="str">
        <f t="shared" ca="1" si="111"/>
        <v/>
      </c>
      <c r="G46" s="32" t="str">
        <f t="shared" ca="1" si="102"/>
        <v/>
      </c>
      <c r="H46" s="32" t="str">
        <f t="shared" ca="1" si="103"/>
        <v/>
      </c>
      <c r="I46" s="36" t="str">
        <f t="shared" ca="1" si="112"/>
        <v/>
      </c>
      <c r="J46" s="37" t="str">
        <f t="shared" ca="1" si="113"/>
        <v/>
      </c>
      <c r="K46" s="32" t="str">
        <f t="shared" ca="1" si="114"/>
        <v/>
      </c>
      <c r="L46" s="32" t="str">
        <f ca="1">IF(B46&lt;&gt;0,SUMPRODUCT((COUNTIF(AJ22:AO22,{1,2,3,4,5,10})=0)*{1,2,3,4,5,10}),"")</f>
        <v/>
      </c>
      <c r="M46" s="32" t="str">
        <f t="shared" ca="1" si="115"/>
        <v/>
      </c>
      <c r="N46" s="73" t="str">
        <f t="shared" ca="1" si="130"/>
        <v/>
      </c>
      <c r="O46" s="74" t="str">
        <f ca="1">IFERROR(_xlfn.RANK.EQ(A46,$A$28:$A$47,1)+COUNTIF(A$28:A46,A46)-1,"")</f>
        <v/>
      </c>
      <c r="P46" s="8"/>
      <c r="Q46" s="1">
        <v>0</v>
      </c>
      <c r="S46" s="32" t="str">
        <f t="shared" ca="1" si="105"/>
        <v/>
      </c>
      <c r="T46" s="32" t="str">
        <f t="shared" ca="1" si="106"/>
        <v/>
      </c>
      <c r="V46" s="32" t="str">
        <f ca="1">IF(ISERROR(VLOOKUP(SMALL($A$28:$A$47,19),$A$28:$R$47,2,FALSE)),"",VLOOKUP(LARGE($A$28:$A$47,19),$A$28:$R$47,2,FALSE))</f>
        <v/>
      </c>
      <c r="W46" s="32" t="str">
        <f ca="1">IF($V$46&lt;&gt;"",VLOOKUP(LARGE($A$28:$A$47,19),$A$28:$R$47,3,FALSE),"")</f>
        <v/>
      </c>
      <c r="X46" s="32" t="str">
        <f ca="1">IF($V$46&lt;&gt;"",VLOOKUP(LARGE($A$28:$A$47,19),$A$28:$R$47,4,FALSE),"")</f>
        <v/>
      </c>
      <c r="Y46" s="32" t="str">
        <f ca="1">IF($V$46&lt;&gt;"",VLOOKUP(LARGE($A$28:$A$47,19),$A$28:$R$47,8,FALSE),"")</f>
        <v/>
      </c>
      <c r="Z46" s="32" t="str">
        <f ca="1">IF($V$46&lt;&gt;"",VLOOKUP(LARGE($A$28:$A$47,19),$A$28:$R$47,5,FALSE),"")</f>
        <v/>
      </c>
      <c r="AA46" s="32" t="str">
        <f ca="1">IF($V$46&lt;&gt;"",VLOOKUP(LARGE($A$28:$A$47,19),$A$28:$R$47,6,FALSE),"")</f>
        <v/>
      </c>
      <c r="AB46" s="32" t="str">
        <f ca="1">IF($V$46&lt;&gt;"",VLOOKUP(LARGE($A$28:$A$47,19),$A$28:$R$47,7,FALSE),"")</f>
        <v/>
      </c>
      <c r="AC46" s="32" t="str">
        <f ca="1">IF($V$46&lt;&gt;"",VLOOKUP(LARGE($A$28:$A$47,19),$A$28:$R$47,11,FALSE),"")</f>
        <v/>
      </c>
      <c r="AE46" s="64">
        <f t="shared" ca="1" si="116"/>
        <v>0</v>
      </c>
      <c r="AF46" s="75">
        <f t="shared" ca="1" si="116"/>
        <v>0</v>
      </c>
      <c r="AH46" s="71" t="str">
        <f t="shared" si="117"/>
        <v/>
      </c>
      <c r="AI46" s="65">
        <f t="shared" ca="1" si="118"/>
        <v>0</v>
      </c>
      <c r="AJ46" s="34" t="str">
        <f ca="1">IF($V$46&lt;&gt;"",VLOOKUP($V$46,$B$4:$FZ$23,1,FALSE),"")</f>
        <v/>
      </c>
      <c r="AK46" s="34" t="str">
        <f ca="1">IF($V$46&lt;&gt;"",VLOOKUP($V$46,$B$4:$FZ$23,2,FALSE),"")</f>
        <v/>
      </c>
      <c r="AL46" s="32" t="str">
        <f ca="1">IF($V$46&lt;&gt;"",VLOOKUP($V$46,$B$4:$FZ$23,20,FALSE),"")</f>
        <v/>
      </c>
      <c r="AM46" s="32" t="str">
        <f ca="1">IF($V$46&lt;&gt;"",VLOOKUP($V$46,$B$4:$FZ$23,21,FALSE),"")</f>
        <v/>
      </c>
      <c r="AN46" s="32" t="str">
        <f ca="1">IF($V$46&lt;&gt;"",VLOOKUP($V$46,$B$4:$FZ$23,22,FALSE),"")</f>
        <v/>
      </c>
      <c r="AO46" s="32" t="str">
        <f ca="1">IF($V$46&lt;&gt;"",VLOOKUP($V$46,$B$4:$FZ$23,23,FALSE),"")</f>
        <v/>
      </c>
      <c r="AP46" s="32" t="str">
        <f ca="1">IF($V$46&lt;&gt;"",VLOOKUP($V$46,$B$4:$FZ$23,24,FALSE),"")</f>
        <v/>
      </c>
      <c r="AQ46" s="32" t="str">
        <f ca="1">IF($V$46&lt;&gt;"",VLOOKUP($V$46,$B$4:$FZ$23,25,FALSE),"")</f>
        <v/>
      </c>
      <c r="AR46" s="80">
        <f t="shared" ca="1" si="128"/>
        <v>0</v>
      </c>
      <c r="AS46" s="76">
        <f t="shared" ca="1" si="119"/>
        <v>0</v>
      </c>
      <c r="AT46" s="26">
        <f t="shared" ca="1" si="120"/>
        <v>0</v>
      </c>
      <c r="AU46" s="26">
        <f t="shared" ca="1" si="121"/>
        <v>0</v>
      </c>
      <c r="AV46" s="26">
        <f t="shared" ca="1" si="122"/>
        <v>0</v>
      </c>
      <c r="AW46" s="26">
        <f t="shared" ca="1" si="123"/>
        <v>0</v>
      </c>
      <c r="AX46" s="26">
        <f t="shared" ca="1" si="124"/>
        <v>0</v>
      </c>
      <c r="AY46" s="26">
        <f t="shared" ca="1" si="125"/>
        <v>0</v>
      </c>
      <c r="AZ46" s="77" t="str">
        <f>IFERROR(RANK(BB46,$BB$28:$BB$47)+COUNTIF(BB46:BB$47,BB46)-1,"")</f>
        <v/>
      </c>
      <c r="BB46" s="71" t="str">
        <f t="shared" si="107"/>
        <v/>
      </c>
      <c r="BD46" s="79">
        <f ca="1">IFERROR(RANK(AR46,$AR$28:$AR$47)+COUNTIF(AR$28:AR46,AR46)-1,"")</f>
        <v>19</v>
      </c>
      <c r="BE46" s="79">
        <f ca="1">IFERROR(RANK(AS46,$AS$28:$AS$47)+COUNTIF(AS$28:AS46,AS46)-1,"")</f>
        <v>19</v>
      </c>
      <c r="BF46" s="79">
        <f ca="1">IFERROR(RANK(AT46,$AT$28:$AT$47)+COUNTIF(AT$28:AT46,AT46)-1,"")</f>
        <v>19</v>
      </c>
      <c r="BG46" s="79">
        <f ca="1">IFERROR(RANK(AU46,$AU$28:$AU$47)+COUNTIF(AU$28:AU46,AU46)-1,"")</f>
        <v>19</v>
      </c>
      <c r="BH46" s="79">
        <f ca="1">IFERROR(RANK(AV46,$AV$28:$AV$47)+COUNTIF(AV$28:AV46,AV46)-1,"")</f>
        <v>19</v>
      </c>
      <c r="BI46" s="79">
        <f ca="1">IFERROR(RANK(AW46,$AW$28:$AW$47)+COUNTIF(AW$28:AW46,AW46)-1,"")</f>
        <v>19</v>
      </c>
      <c r="BJ46" s="79">
        <f ca="1">IFERROR(RANK(AX46,$AX$28:$AX$47)+COUNTIF(AX$28:AX46,AX46)-1,"")</f>
        <v>19</v>
      </c>
      <c r="BK46" s="79">
        <f ca="1">IFERROR(RANK(AY46,$AY$28:$AY$47)+COUNTIF(AY$28:AY46,AY46)-1,"")</f>
        <v>19</v>
      </c>
      <c r="BL46" s="1" t="str">
        <f t="shared" ca="1" si="126"/>
        <v/>
      </c>
      <c r="BM46" s="78"/>
      <c r="BN46" s="78"/>
      <c r="BO46" s="78"/>
      <c r="BP46" s="78"/>
      <c r="BQ46" s="78"/>
      <c r="BR46" s="78"/>
      <c r="BS46" s="78"/>
      <c r="BT46" s="78"/>
    </row>
    <row r="47" spans="1:130" ht="13.2" x14ac:dyDescent="0.25">
      <c r="A47" s="71" t="str">
        <f t="shared" ca="1" si="108"/>
        <v/>
      </c>
      <c r="B47" s="48">
        <f t="shared" ca="1" si="101"/>
        <v>0</v>
      </c>
      <c r="C47" s="48" t="str">
        <f t="shared" ca="1" si="109"/>
        <v/>
      </c>
      <c r="D47" s="48" t="str">
        <f t="shared" ca="1" si="110"/>
        <v/>
      </c>
      <c r="E47" s="48" t="str">
        <f t="shared" ca="1" si="127"/>
        <v/>
      </c>
      <c r="F47" s="48" t="str">
        <f t="shared" ca="1" si="111"/>
        <v/>
      </c>
      <c r="G47" s="48" t="str">
        <f t="shared" ca="1" si="102"/>
        <v/>
      </c>
      <c r="H47" s="48" t="str">
        <f t="shared" ca="1" si="103"/>
        <v/>
      </c>
      <c r="I47" s="52" t="str">
        <f t="shared" ca="1" si="112"/>
        <v/>
      </c>
      <c r="J47" s="53" t="str">
        <f t="shared" ca="1" si="113"/>
        <v/>
      </c>
      <c r="K47" s="48" t="str">
        <f t="shared" ca="1" si="114"/>
        <v/>
      </c>
      <c r="L47" s="48" t="str">
        <f ca="1">IF(B47&lt;&gt;0,SUMPRODUCT((COUNTIF(AJ23:AO23,{1,2,3,4,5,10})=0)*{1,2,3,4,5,10}),"")</f>
        <v/>
      </c>
      <c r="M47" s="48" t="str">
        <f t="shared" ca="1" si="115"/>
        <v/>
      </c>
      <c r="N47" s="73" t="str">
        <f t="shared" ca="1" si="130"/>
        <v/>
      </c>
      <c r="O47" s="74" t="str">
        <f ca="1">IFERROR(_xlfn.RANK.EQ(A47,$A$28:$A$47,1)+COUNTIF(A$28:A47,A47)-1,"")</f>
        <v/>
      </c>
      <c r="P47" s="8"/>
      <c r="Q47" s="1">
        <v>0</v>
      </c>
      <c r="S47" s="48" t="str">
        <f t="shared" ca="1" si="105"/>
        <v/>
      </c>
      <c r="T47" s="48" t="str">
        <f t="shared" ca="1" si="106"/>
        <v/>
      </c>
      <c r="V47" s="48" t="str">
        <f ca="1">IF(ISERROR(VLOOKUP(SMALL($A$28:$A$47,20),$A$28:$R$47,2,FALSE)),"",VLOOKUP(LARGE($A$28:$A$47,20),$A$28:$R$47,2,FALSE))</f>
        <v/>
      </c>
      <c r="W47" s="48" t="str">
        <f ca="1">IF($V$47&lt;&gt;"",VLOOKUP(LARGE($A$28:$A$47,20),$A$28:$R$47,3,FALSE),"")</f>
        <v/>
      </c>
      <c r="X47" s="48" t="str">
        <f ca="1">IF($V$47&lt;&gt;"",VLOOKUP(LARGE($A$28:$A$47,20),$A$28:$R$47,4,FALSE),"")</f>
        <v/>
      </c>
      <c r="Y47" s="48" t="str">
        <f ca="1">IF($V$47&lt;&gt;"",VLOOKUP(LARGE($A$28:$A$47,20),$A$28:$R$47,8,FALSE),"")</f>
        <v/>
      </c>
      <c r="Z47" s="48" t="str">
        <f ca="1">IF($V$47&lt;&gt;"",VLOOKUP(LARGE($A$28:$A$47,20),$A$28:$R$47,5,FALSE),"")</f>
        <v/>
      </c>
      <c r="AA47" s="48" t="str">
        <f ca="1">IF($V$47&lt;&gt;"",VLOOKUP(LARGE($A$28:$A$47,20),$A$28:$R$47,6,FALSE),"")</f>
        <v/>
      </c>
      <c r="AB47" s="48" t="str">
        <f ca="1">IF($V$47&lt;&gt;"",VLOOKUP(LARGE($A$28:$A$47,20),$A$28:$R$47,7,FALSE),"")</f>
        <v/>
      </c>
      <c r="AC47" s="48" t="str">
        <f ca="1">IF($V$47&lt;&gt;"",VLOOKUP(LARGE($A$28:$A$47,20),$A$28:$R$47,11,FALSE),"")</f>
        <v/>
      </c>
      <c r="AE47" s="64">
        <f t="shared" ca="1" si="116"/>
        <v>0</v>
      </c>
      <c r="AF47" s="75">
        <f t="shared" ca="1" si="116"/>
        <v>0</v>
      </c>
      <c r="AH47" s="71" t="str">
        <f t="shared" si="117"/>
        <v/>
      </c>
      <c r="AI47" s="65">
        <f t="shared" ca="1" si="118"/>
        <v>0</v>
      </c>
      <c r="AJ47" s="50" t="str">
        <f ca="1">IF($V$47&lt;&gt;"",VLOOKUP($V$47,$B$4:$FZ$23,1,FALSE),"")</f>
        <v/>
      </c>
      <c r="AK47" s="50" t="str">
        <f ca="1">IF($V$47&lt;&gt;"",VLOOKUP($V$47,$B$4:$FZ$23,2,FALSE),"")</f>
        <v/>
      </c>
      <c r="AL47" s="48" t="str">
        <f ca="1">IF($V$47&lt;&gt;"",VLOOKUP($V$47,$B$4:$FZ$23,20,FALSE),"")</f>
        <v/>
      </c>
      <c r="AM47" s="48" t="str">
        <f ca="1">IF($V$47&lt;&gt;"",VLOOKUP($V$47,$B$4:$FZ$23,21,FALSE),"")</f>
        <v/>
      </c>
      <c r="AN47" s="48" t="str">
        <f ca="1">IF($V$47&lt;&gt;"",VLOOKUP($V$47,$B$4:$FZ$23,22,FALSE),"")</f>
        <v/>
      </c>
      <c r="AO47" s="48" t="str">
        <f ca="1">IF($V$47&lt;&gt;"",VLOOKUP($V$47,$B$4:$FZ$23,23,FALSE),"")</f>
        <v/>
      </c>
      <c r="AP47" s="48" t="str">
        <f ca="1">IF($V$47&lt;&gt;"",VLOOKUP($V$47,$B$4:$FZ$23,24,FALSE),"")</f>
        <v/>
      </c>
      <c r="AQ47" s="48" t="str">
        <f ca="1">IF($V$47&lt;&gt;"",VLOOKUP($V$47,$B$4:$FZ$23,25,FALSE),"")</f>
        <v/>
      </c>
      <c r="AR47" s="80">
        <f t="shared" ca="1" si="128"/>
        <v>0</v>
      </c>
      <c r="AS47" s="76">
        <f t="shared" ca="1" si="119"/>
        <v>0</v>
      </c>
      <c r="AT47" s="26">
        <f t="shared" ca="1" si="120"/>
        <v>0</v>
      </c>
      <c r="AU47" s="26">
        <f t="shared" ca="1" si="121"/>
        <v>0</v>
      </c>
      <c r="AV47" s="26">
        <f t="shared" ca="1" si="122"/>
        <v>0</v>
      </c>
      <c r="AW47" s="26">
        <f t="shared" ca="1" si="123"/>
        <v>0</v>
      </c>
      <c r="AX47" s="26">
        <f t="shared" ca="1" si="124"/>
        <v>0</v>
      </c>
      <c r="AY47" s="26">
        <f t="shared" ca="1" si="125"/>
        <v>0</v>
      </c>
      <c r="AZ47" s="77" t="str">
        <f>IFERROR(RANK(BB47,$BB$28:$BB$47)+COUNTIF(BB47:BB$47,BB47)-1,"")</f>
        <v/>
      </c>
      <c r="BB47" s="71" t="str">
        <f t="shared" si="107"/>
        <v/>
      </c>
      <c r="BD47" s="79">
        <f ca="1">IFERROR(RANK(AR47,$AR$28:$AR$47)+COUNTIF(AR$28:AR47,AR47)-1,"")</f>
        <v>20</v>
      </c>
      <c r="BE47" s="79">
        <f ca="1">IFERROR(RANK(AS47,$AS$28:$AS$47)+COUNTIF(AS$28:AS47,AS47)-1,"")</f>
        <v>20</v>
      </c>
      <c r="BF47" s="79">
        <f ca="1">IFERROR(RANK(AT47,$AT$28:$AT$47)+COUNTIF(AT$28:AT47,AT47)-1,"")</f>
        <v>20</v>
      </c>
      <c r="BG47" s="79">
        <f ca="1">IFERROR(RANK(AU47,$AU$28:$AU$47)+COUNTIF(AU$28:AU47,AU47)-1,"")</f>
        <v>20</v>
      </c>
      <c r="BH47" s="79">
        <f ca="1">IFERROR(RANK(AV47,$AV$28:$AV$47)+COUNTIF(AV$28:AV47,AV47)-1,"")</f>
        <v>20</v>
      </c>
      <c r="BI47" s="79">
        <f ca="1">IFERROR(RANK(AW47,$AW$28:$AW$47)+COUNTIF(AW$28:AW47,AW47)-1,"")</f>
        <v>20</v>
      </c>
      <c r="BJ47" s="79">
        <f ca="1">IFERROR(RANK(AX47,$AX$28:$AX$47)+COUNTIF(AX$28:AX47,AX47)-1,"")</f>
        <v>20</v>
      </c>
      <c r="BK47" s="79">
        <f ca="1">IFERROR(RANK(AY47,$AY$28:$AY$47)+COUNTIF(AY$28:AY47,AY47)-1,"")</f>
        <v>20</v>
      </c>
      <c r="BL47" s="1" t="str">
        <f t="shared" ca="1" si="126"/>
        <v/>
      </c>
      <c r="BM47" s="78"/>
      <c r="BN47" s="78"/>
      <c r="BO47" s="78"/>
      <c r="BP47" s="78"/>
      <c r="BQ47" s="78"/>
      <c r="BR47" s="78"/>
      <c r="BS47" s="78"/>
      <c r="BT47" s="78"/>
    </row>
    <row r="48" spans="1:130" x14ac:dyDescent="0.3">
      <c r="N48" s="81">
        <f ca="1">AVERAGE(N28:N47)</f>
        <v>315.87504499999994</v>
      </c>
      <c r="AC48" s="81"/>
      <c r="AD48" s="81"/>
      <c r="AE48" s="81" t="str">
        <f t="array" aca="1" ref="AE48" ca="1">IFERROR(AVERAGE(IF(AE28:AE47&lt;&gt;0,AE28:AE47)),"")</f>
        <v/>
      </c>
      <c r="AF48" s="81">
        <f t="array" aca="1" ref="AF48" ca="1">IFERROR(AVERAGE(IF(AF28:AF47&lt;&gt;0,AF28:AF47)),"")</f>
        <v>19.270833333378331</v>
      </c>
      <c r="AR48" s="82">
        <f t="array" aca="1" ref="AR48" ca="1">IFERROR(AVERAGE(IF(AR28:AR47&lt;&gt;0,AR28:AR47)),"")</f>
        <v>19.270833333378331</v>
      </c>
      <c r="AS48" s="82">
        <f t="array" aca="1" ref="AS48" ca="1">IFERROR(AVERAGE(IF(AS28:AS47&lt;&gt;0,AS28:AS47)),"")</f>
        <v>0.56500044999999999</v>
      </c>
      <c r="AT48" s="82">
        <f t="array" aca="1" ref="AT48" ca="1">IFERROR(AVERAGE(IF(AT28:AT47&lt;&gt;0,AT28:AT47)),"")</f>
        <v>135.9999998625</v>
      </c>
      <c r="AU48" s="82">
        <f t="array" aca="1" ref="AU48" ca="1">IFERROR(AVERAGE(IF(AU28:AU47&lt;&gt;0,AU28:AU47)),"")</f>
        <v>129.49999955000001</v>
      </c>
      <c r="AV48" s="82">
        <f t="array" aca="1" ref="AV48" ca="1">IFERROR(AVERAGE(IF(AV28:AV47&lt;&gt;0,AV28:AV47)),"")</f>
        <v>133.6249998625</v>
      </c>
      <c r="AW48" s="82">
        <f t="array" aca="1" ref="AW48" ca="1">IFERROR(AVERAGE(IF(AW28:AW47&lt;&gt;0,AW28:AW47)),"")</f>
        <v>125.62499955</v>
      </c>
      <c r="AX48" s="82">
        <f t="array" aca="1" ref="AX48" ca="1">IFERROR(AVERAGE(IF(AX28:AX47&lt;&gt;0,AX28:AX47)),"")</f>
        <v>135.9999998625</v>
      </c>
      <c r="AY48" s="82">
        <f t="array" aca="1" ref="AY48" ca="1">IFERROR(AVERAGE(IF(AY28:AY47&lt;&gt;0,AY28:AY47)),"")</f>
        <v>129.49999955000001</v>
      </c>
      <c r="BB48" s="81">
        <f ca="1">AVERAGE(BB28:BB47)</f>
        <v>131.70833303958332</v>
      </c>
      <c r="BC48" s="81">
        <f t="array" aca="1" ref="BC48" ca="1">IFERROR(AVERAGE(IF(BC28:BC47&lt;&gt;0,BC28:BC47)),"")</f>
        <v>5</v>
      </c>
    </row>
    <row r="49" spans="2:54" ht="13.2" x14ac:dyDescent="0.25">
      <c r="B49" s="5" t="s">
        <v>44</v>
      </c>
      <c r="C49" s="5" t="s">
        <v>45</v>
      </c>
      <c r="D49" s="74"/>
      <c r="E49" s="83">
        <f ca="1">AQ4</f>
        <v>0.76000009999999996</v>
      </c>
      <c r="F49" s="1">
        <v>1</v>
      </c>
      <c r="G49" s="78">
        <f ca="1">IFERROR(VLOOKUP(LARGE($E$49:$E$68,1),$E$49:$F$68,2,FALSE),"")</f>
        <v>2</v>
      </c>
      <c r="I49" s="64">
        <f ca="1">AI4</f>
        <v>21.666666666676669</v>
      </c>
      <c r="J49" s="1">
        <v>1</v>
      </c>
      <c r="K49" s="78">
        <f ca="1">IFERROR(VLOOKUP(SMALL($I$49:$I$68,1),$I$49:$J$68,2,FALSE),"")</f>
        <v>7</v>
      </c>
      <c r="M49" s="84"/>
      <c r="N49" s="73">
        <f t="array" aca="1" ref="N49" ca="1">INDEX(N28:N47,MATCH(MIN(IF(N28:N47&lt;&gt;"",ABS(N48-(N28:N47)))),ABS(N28:N47-N48),0))</f>
        <v>-12.999989999999997</v>
      </c>
      <c r="O49" s="71"/>
      <c r="P49" s="71">
        <f ca="1">SUM(U4:Y4)/5</f>
        <v>3.8</v>
      </c>
      <c r="Q49" s="71"/>
      <c r="S49" s="77">
        <f ca="1">E49+I49</f>
        <v>22.426666766676668</v>
      </c>
      <c r="T49" s="77"/>
      <c r="U49" s="77"/>
      <c r="V49" s="77"/>
      <c r="W49" s="85"/>
      <c r="Y49" s="78"/>
      <c r="Z49" s="78"/>
      <c r="AA49" s="78"/>
      <c r="AB49" s="78"/>
      <c r="AE49" s="1" t="e">
        <f t="array" aca="1" ref="AE49" ca="1">INDEX(AE28:AE47,MATCH(MIN(IF(OR(AE28:AE47&lt;&gt;0,AE28:AE47="-"),ABS(AE48-(AE28:AE47)))),ABS(AE28:AE47-AE48),0))</f>
        <v>#REF!</v>
      </c>
      <c r="AF49" s="64">
        <f t="array" aca="1" ref="AF49" ca="1">INDEX(AF28:AF47,MATCH(MIN(IF(OR(AF28:AF47&lt;&gt;0,AF28:AF47="-"),ABS(AF48-(AF28:AF47)))),ABS(AF28:AF47-AF48),0))</f>
        <v>19.166666666696667</v>
      </c>
      <c r="AR49" s="65">
        <f t="array" aca="1" ref="AR49" ca="1">INDEX(AR28:AR47,MATCH(MIN(IF(OR(AR28:AR47&lt;&gt;0,AR28:AR47="-"),ABS(AR48-(AR28:AR47)))),ABS(AR28:AR47-AR48),0))</f>
        <v>19.166666666696667</v>
      </c>
      <c r="AS49" s="65">
        <f t="array" aca="1" ref="AS49" ca="1">INDEX(AS28:AS47,MATCH(MIN(IF(OR(AS28:AS47&lt;&gt;0,AS28:AS47="-"),ABS(AS48-(AS28:AS47)))),ABS(AS28:AS47-AS48),0))</f>
        <v>0.63000080000000003</v>
      </c>
      <c r="AT49" s="65">
        <f t="array" aca="1" ref="AT49" ca="1">INDEX(AT28:AT47,MATCH(MIN(IF(OR(AT28:AT47&lt;&gt;0,AT28:AT47="-"),ABS(AT48-(AT28:AT47)))),ABS(AT28:AT47-AT48),0))</f>
        <v>132</v>
      </c>
      <c r="AU49" s="65">
        <f t="array" aca="1" ref="AU49" ca="1">INDEX(AU28:AU47,MATCH(MIN(IF(OR(AU28:AU47&lt;&gt;0,AU28:AU47="-"),ABS(AU48-(AU28:AU47)))),ABS(AU28:AU47-AU48),0))</f>
        <v>130.99999930000001</v>
      </c>
      <c r="AV49" s="65">
        <f t="array" aca="1" ref="AV49" ca="1">INDEX(AV28:AV47,MATCH(MIN(IF(OR(AV28:AV47&lt;&gt;0,AV28:AV47="-"),ABS(AV48-(AV28:AV47)))),ABS(AV28:AV47-AV48),0))</f>
        <v>132</v>
      </c>
      <c r="AW49" s="65">
        <f t="array" aca="1" ref="AW49" ca="1">INDEX(AW28:AW47,MATCH(MIN(IF(OR(AW28:AW47&lt;&gt;0,AW28:AW47="-"),ABS(AW48-(AW28:AW47)))),ABS(AW28:AW47-AW48),0))</f>
        <v>125.9999997</v>
      </c>
      <c r="AX49" s="65">
        <f t="array" aca="1" ref="AX49" ca="1">INDEX(AX28:AX47,MATCH(MIN(IF(OR(AX28:AX47&lt;&gt;0,AX28:AX47="-"),ABS(AX48-(AX28:AX47)))),ABS(AX28:AX47-AX48),0))</f>
        <v>132</v>
      </c>
      <c r="AY49" s="65">
        <f t="array" aca="1" ref="AY49" ca="1">INDEX(AY28:AY47,MATCH(MIN(IF(OR(AY28:AY47&lt;&gt;0,AY28:AY47="-"),ABS(AY48-(AY28:AY47)))),ABS(AY28:AY47-AY48),0))</f>
        <v>130.99999930000001</v>
      </c>
      <c r="BB49" s="73">
        <f t="array" aca="1" ref="BB49" ca="1">INDEX(BB28:BB47,MATCH(MIN(IF(BB28:BB47&lt;&gt;"",ABS(BB48-(BB28:BB47)))),ABS(BB28:BB47-BB48),0))</f>
        <v>131.66666651666665</v>
      </c>
    </row>
    <row r="50" spans="2:54" ht="13.2" x14ac:dyDescent="0.25">
      <c r="B50" s="32"/>
      <c r="C50" s="32" t="s">
        <v>46</v>
      </c>
      <c r="D50" s="74"/>
      <c r="E50" s="83">
        <f t="shared" ref="E50:E68" ca="1" si="131">AQ5</f>
        <v>0.82000019999999996</v>
      </c>
      <c r="F50" s="1">
        <v>2</v>
      </c>
      <c r="G50" s="78">
        <f ca="1">IFERROR(VLOOKUP(LARGE($E$49:$E$68,2),$E$49:$F$68,2,FALSE),"")</f>
        <v>1</v>
      </c>
      <c r="I50" s="64">
        <f t="shared" ref="I50:I68" ca="1" si="132">AI5</f>
        <v>17.500000000019998</v>
      </c>
      <c r="J50" s="1">
        <v>2</v>
      </c>
      <c r="K50" s="78">
        <f ca="1">IFERROR(VLOOKUP(SMALL($I$49:$I$68,2),$I$49:$J$68,2,FALSE),"")</f>
        <v>5</v>
      </c>
      <c r="M50" s="84"/>
      <c r="N50" s="71"/>
      <c r="O50" s="71"/>
      <c r="P50" s="71">
        <f t="shared" ref="P50:P68" ca="1" si="133">SUM(U5:Y5)/5</f>
        <v>3</v>
      </c>
      <c r="Q50" s="71"/>
      <c r="S50" s="77">
        <f t="shared" ref="S50:S68" ca="1" si="134">E50+I50</f>
        <v>18.320000200019997</v>
      </c>
      <c r="T50" s="77"/>
      <c r="U50" s="77"/>
      <c r="V50" s="77"/>
      <c r="W50" s="85"/>
      <c r="Y50" s="78"/>
      <c r="Z50" s="78"/>
      <c r="AA50" s="78"/>
      <c r="AB50" s="78"/>
      <c r="AD50" s="85"/>
      <c r="AF50" s="64"/>
    </row>
    <row r="51" spans="2:54" ht="13.8" thickBot="1" x14ac:dyDescent="0.3">
      <c r="B51" s="32">
        <v>0</v>
      </c>
      <c r="C51" s="32" t="s">
        <v>47</v>
      </c>
      <c r="D51" s="74"/>
      <c r="E51" s="83">
        <f t="shared" ca="1" si="131"/>
        <v>0.72000029999999993</v>
      </c>
      <c r="F51" s="1">
        <v>3</v>
      </c>
      <c r="G51" s="78">
        <f ca="1">IFERROR(VLOOKUP(LARGE($E$49:$E$68,3),$E$49:$F$68,2,FALSE),"")</f>
        <v>7</v>
      </c>
      <c r="I51" s="64">
        <f t="shared" ca="1" si="132"/>
        <v>19.166666666696667</v>
      </c>
      <c r="J51" s="1">
        <v>3</v>
      </c>
      <c r="K51" s="78">
        <f ca="1">IFERROR(VLOOKUP(SMALL($I$49:$I$68,3),$I$49:$J$68,2,FALSE),"")</f>
        <v>2</v>
      </c>
      <c r="M51" s="84"/>
      <c r="N51" s="71"/>
      <c r="O51" s="71"/>
      <c r="P51" s="71">
        <f t="shared" ca="1" si="133"/>
        <v>3.8</v>
      </c>
      <c r="Q51" s="71"/>
      <c r="S51" s="77">
        <f t="shared" ca="1" si="134"/>
        <v>19.886666966696666</v>
      </c>
      <c r="T51" s="77"/>
      <c r="U51" s="77"/>
      <c r="V51" s="77"/>
      <c r="W51" s="85"/>
      <c r="Y51" s="78"/>
      <c r="Z51" s="78"/>
      <c r="AA51" s="78"/>
      <c r="AB51" s="78"/>
      <c r="AD51" s="85"/>
      <c r="AF51" s="86"/>
    </row>
    <row r="52" spans="2:54" ht="13.8" thickBot="1" x14ac:dyDescent="0.3">
      <c r="B52" s="32">
        <v>1</v>
      </c>
      <c r="C52" s="32" t="s">
        <v>48</v>
      </c>
      <c r="D52" s="74"/>
      <c r="E52" s="83">
        <f t="shared" ca="1" si="131"/>
        <v>0.1000004</v>
      </c>
      <c r="F52" s="1">
        <v>4</v>
      </c>
      <c r="G52" s="78">
        <f ca="1">IFERROR(VLOOKUP(LARGE($E$49:$E$68,4),$E$49:$F$68,2,FALSE),"")</f>
        <v>3</v>
      </c>
      <c r="I52" s="64">
        <f t="shared" ca="1" si="132"/>
        <v>29.166666666706668</v>
      </c>
      <c r="J52" s="1">
        <v>4</v>
      </c>
      <c r="K52" s="78">
        <f ca="1">IFERROR(VLOOKUP(SMALL($I$49:$I$68,4),$I$49:$J$68,2,FALSE),"")</f>
        <v>8</v>
      </c>
      <c r="M52" s="84"/>
      <c r="N52" s="71"/>
      <c r="O52" s="71"/>
      <c r="P52" s="71">
        <f t="shared" ca="1" si="133"/>
        <v>5.6</v>
      </c>
      <c r="Q52" s="71"/>
      <c r="S52" s="77">
        <f t="shared" ca="1" si="134"/>
        <v>29.266667066706667</v>
      </c>
      <c r="T52" s="77"/>
      <c r="U52" s="77"/>
      <c r="V52" s="77"/>
      <c r="W52" s="85"/>
      <c r="Y52" s="78"/>
      <c r="Z52" s="78"/>
      <c r="AA52" s="78"/>
      <c r="AB52" s="78"/>
      <c r="AD52" s="85"/>
      <c r="AE52" s="87"/>
      <c r="AF52" s="88"/>
    </row>
    <row r="53" spans="2:54" ht="13.2" x14ac:dyDescent="0.25">
      <c r="B53" s="32">
        <v>2</v>
      </c>
      <c r="C53" s="32" t="s">
        <v>49</v>
      </c>
      <c r="D53" s="74"/>
      <c r="E53" s="83">
        <f t="shared" ca="1" si="131"/>
        <v>0.4800005</v>
      </c>
      <c r="F53" s="1">
        <v>5</v>
      </c>
      <c r="G53" s="78">
        <f ca="1">IFERROR(VLOOKUP(LARGE($E$49:$E$68,5),$E$49:$F$68,2,FALSE),"")</f>
        <v>8</v>
      </c>
      <c r="I53" s="64">
        <f t="shared" ca="1" si="132"/>
        <v>15.000000000049999</v>
      </c>
      <c r="J53" s="1">
        <v>5</v>
      </c>
      <c r="K53" s="78">
        <f ca="1">IFERROR(VLOOKUP(SMALL($I$49:$I$68,5),$I$49:$J$68,2,FALSE),"")</f>
        <v>3</v>
      </c>
      <c r="M53" s="84"/>
      <c r="N53" s="71"/>
      <c r="O53" s="71"/>
      <c r="P53" s="71">
        <f t="shared" ca="1" si="133"/>
        <v>3.2</v>
      </c>
      <c r="Q53" s="71"/>
      <c r="S53" s="77">
        <f t="shared" ca="1" si="134"/>
        <v>15.480000500049998</v>
      </c>
      <c r="T53" s="77"/>
      <c r="U53" s="77"/>
      <c r="V53" s="77"/>
      <c r="W53" s="85"/>
      <c r="Y53" s="78"/>
      <c r="Z53" s="78"/>
      <c r="AA53" s="78"/>
      <c r="AB53" s="78"/>
      <c r="AD53" s="85"/>
    </row>
    <row r="54" spans="2:54" ht="13.2" x14ac:dyDescent="0.25">
      <c r="B54" s="32">
        <v>3</v>
      </c>
      <c r="C54" s="32" t="s">
        <v>50</v>
      </c>
      <c r="D54" s="74"/>
      <c r="E54" s="83">
        <f t="shared" ca="1" si="131"/>
        <v>0.28000060000000004</v>
      </c>
      <c r="F54" s="1">
        <v>6</v>
      </c>
      <c r="G54" s="78"/>
      <c r="I54" s="64">
        <f t="shared" ca="1" si="132"/>
        <v>26.666666666726666</v>
      </c>
      <c r="J54" s="1">
        <v>6</v>
      </c>
      <c r="M54" s="84"/>
      <c r="N54" s="71"/>
      <c r="O54" s="71"/>
      <c r="P54" s="71">
        <f t="shared" ca="1" si="133"/>
        <v>5.6</v>
      </c>
      <c r="Q54" s="71"/>
      <c r="S54" s="77">
        <f t="shared" ca="1" si="134"/>
        <v>26.946667266726667</v>
      </c>
      <c r="T54" s="77"/>
      <c r="U54" s="77"/>
      <c r="V54" s="77"/>
      <c r="W54" s="85"/>
      <c r="AD54" s="85"/>
    </row>
    <row r="55" spans="2:54" ht="13.2" x14ac:dyDescent="0.25">
      <c r="B55" s="32">
        <v>4</v>
      </c>
      <c r="C55" s="32" t="s">
        <v>50</v>
      </c>
      <c r="D55" s="74"/>
      <c r="E55" s="83">
        <f t="shared" ca="1" si="131"/>
        <v>0.73000069999999995</v>
      </c>
      <c r="F55" s="1">
        <v>7</v>
      </c>
      <c r="G55" s="78"/>
      <c r="I55" s="64">
        <f t="shared" ca="1" si="132"/>
        <v>6.666666666736667</v>
      </c>
      <c r="J55" s="1">
        <v>7</v>
      </c>
      <c r="M55" s="84"/>
      <c r="N55" s="71"/>
      <c r="O55" s="71"/>
      <c r="P55" s="71">
        <f t="shared" ca="1" si="133"/>
        <v>1.6</v>
      </c>
      <c r="Q55" s="71"/>
      <c r="S55" s="77">
        <f t="shared" ca="1" si="134"/>
        <v>7.3966673667366667</v>
      </c>
      <c r="T55" s="77"/>
      <c r="U55" s="77"/>
      <c r="V55" s="77"/>
      <c r="W55" s="85"/>
      <c r="Y55" s="89"/>
      <c r="Z55" s="89"/>
      <c r="AA55" s="89"/>
      <c r="AB55" s="89"/>
      <c r="AD55" s="85"/>
    </row>
    <row r="56" spans="2:54" ht="13.2" x14ac:dyDescent="0.25">
      <c r="B56" s="32">
        <v>5</v>
      </c>
      <c r="C56" s="32" t="s">
        <v>50</v>
      </c>
      <c r="D56" s="74"/>
      <c r="E56" s="83">
        <f t="shared" ca="1" si="131"/>
        <v>0.63000080000000003</v>
      </c>
      <c r="F56" s="1">
        <v>8</v>
      </c>
      <c r="G56" s="78"/>
      <c r="I56" s="64">
        <f t="shared" ca="1" si="132"/>
        <v>18.333333333413332</v>
      </c>
      <c r="J56" s="1">
        <v>8</v>
      </c>
      <c r="M56" s="84"/>
      <c r="N56" s="71"/>
      <c r="O56" s="71"/>
      <c r="P56" s="71">
        <f t="shared" ca="1" si="133"/>
        <v>3.8</v>
      </c>
      <c r="Q56" s="71"/>
      <c r="S56" s="77">
        <f t="shared" ca="1" si="134"/>
        <v>18.963334133413333</v>
      </c>
      <c r="T56" s="77"/>
      <c r="U56" s="77"/>
      <c r="V56" s="77"/>
      <c r="W56" s="85"/>
      <c r="AD56" s="85"/>
    </row>
    <row r="57" spans="2:54" ht="13.2" x14ac:dyDescent="0.25">
      <c r="B57" s="32">
        <v>10</v>
      </c>
      <c r="C57" s="32" t="s">
        <v>51</v>
      </c>
      <c r="D57" s="74"/>
      <c r="E57" s="83" t="str">
        <f t="shared" ca="1" si="131"/>
        <v/>
      </c>
      <c r="F57" s="1">
        <v>9</v>
      </c>
      <c r="G57" s="78"/>
      <c r="I57" s="64" t="str">
        <f t="shared" ca="1" si="132"/>
        <v/>
      </c>
      <c r="J57" s="1">
        <v>9</v>
      </c>
      <c r="M57" s="84"/>
      <c r="N57" s="71"/>
      <c r="O57" s="71"/>
      <c r="P57" s="71">
        <f t="shared" ca="1" si="133"/>
        <v>0</v>
      </c>
      <c r="Q57" s="71">
        <v>9</v>
      </c>
      <c r="S57" s="77" t="e">
        <f t="shared" ca="1" si="134"/>
        <v>#VALUE!</v>
      </c>
      <c r="T57" s="77"/>
      <c r="U57" s="77"/>
      <c r="V57" s="77"/>
      <c r="W57" s="85"/>
      <c r="AD57" s="85"/>
    </row>
    <row r="58" spans="2:54" x14ac:dyDescent="0.2">
      <c r="B58" s="32">
        <v>12</v>
      </c>
      <c r="C58" s="32" t="s">
        <v>51</v>
      </c>
      <c r="E58" s="83" t="str">
        <f t="shared" ca="1" si="131"/>
        <v/>
      </c>
      <c r="F58" s="1">
        <v>10</v>
      </c>
      <c r="G58" s="78"/>
      <c r="I58" s="64" t="str">
        <f t="shared" ca="1" si="132"/>
        <v/>
      </c>
      <c r="J58" s="1">
        <v>10</v>
      </c>
      <c r="M58" s="84"/>
      <c r="N58" s="71"/>
      <c r="O58" s="71"/>
      <c r="P58" s="71">
        <f t="shared" ca="1" si="133"/>
        <v>0</v>
      </c>
      <c r="Q58" s="71">
        <v>10</v>
      </c>
      <c r="S58" s="77" t="e">
        <f t="shared" ca="1" si="134"/>
        <v>#VALUE!</v>
      </c>
      <c r="T58" s="77"/>
      <c r="U58" s="77"/>
      <c r="V58" s="77"/>
      <c r="W58" s="85"/>
      <c r="AD58" s="85"/>
    </row>
    <row r="59" spans="2:54" x14ac:dyDescent="0.2">
      <c r="B59" s="32">
        <v>13</v>
      </c>
      <c r="C59" s="32" t="s">
        <v>51</v>
      </c>
      <c r="E59" s="83" t="str">
        <f t="shared" ca="1" si="131"/>
        <v/>
      </c>
      <c r="F59" s="1">
        <v>11</v>
      </c>
      <c r="G59" s="78"/>
      <c r="I59" s="64" t="str">
        <f t="shared" ca="1" si="132"/>
        <v/>
      </c>
      <c r="J59" s="1">
        <v>11</v>
      </c>
      <c r="M59" s="84"/>
      <c r="N59" s="71"/>
      <c r="O59" s="71"/>
      <c r="P59" s="71">
        <f t="shared" ca="1" si="133"/>
        <v>0</v>
      </c>
      <c r="Q59" s="71"/>
      <c r="S59" s="77" t="e">
        <f t="shared" ca="1" si="134"/>
        <v>#VALUE!</v>
      </c>
      <c r="T59" s="77"/>
      <c r="U59" s="77"/>
      <c r="V59" s="77"/>
      <c r="W59" s="85"/>
    </row>
    <row r="60" spans="2:54" x14ac:dyDescent="0.2">
      <c r="B60" s="32">
        <v>14</v>
      </c>
      <c r="C60" s="32" t="s">
        <v>51</v>
      </c>
      <c r="E60" s="83" t="str">
        <f t="shared" ca="1" si="131"/>
        <v/>
      </c>
      <c r="F60" s="1">
        <v>12</v>
      </c>
      <c r="G60" s="78"/>
      <c r="I60" s="64" t="str">
        <f t="shared" ca="1" si="132"/>
        <v/>
      </c>
      <c r="J60" s="1">
        <v>12</v>
      </c>
      <c r="M60" s="84"/>
      <c r="N60" s="71"/>
      <c r="O60" s="71"/>
      <c r="P60" s="71">
        <f t="shared" ca="1" si="133"/>
        <v>0</v>
      </c>
      <c r="Q60" s="71">
        <v>12</v>
      </c>
      <c r="S60" s="77" t="e">
        <f t="shared" ca="1" si="134"/>
        <v>#VALUE!</v>
      </c>
      <c r="T60" s="77"/>
      <c r="U60" s="77"/>
      <c r="V60" s="77"/>
      <c r="W60" s="85"/>
      <c r="AF60" s="90"/>
    </row>
    <row r="61" spans="2:54" x14ac:dyDescent="0.2">
      <c r="B61" s="32">
        <v>15</v>
      </c>
      <c r="C61" s="32" t="s">
        <v>51</v>
      </c>
      <c r="E61" s="83" t="str">
        <f t="shared" ca="1" si="131"/>
        <v/>
      </c>
      <c r="F61" s="1">
        <v>13</v>
      </c>
      <c r="G61" s="78"/>
      <c r="I61" s="64" t="str">
        <f t="shared" ca="1" si="132"/>
        <v/>
      </c>
      <c r="J61" s="1">
        <v>13</v>
      </c>
      <c r="M61" s="84"/>
      <c r="N61" s="71"/>
      <c r="O61" s="71"/>
      <c r="P61" s="71">
        <f t="shared" ca="1" si="133"/>
        <v>0</v>
      </c>
      <c r="Q61" s="71"/>
      <c r="S61" s="77" t="e">
        <f t="shared" ca="1" si="134"/>
        <v>#VALUE!</v>
      </c>
      <c r="T61" s="77"/>
      <c r="U61" s="77"/>
      <c r="V61" s="77"/>
      <c r="W61" s="85"/>
      <c r="AF61" s="64"/>
    </row>
    <row r="62" spans="2:54" x14ac:dyDescent="0.2">
      <c r="B62" s="32">
        <v>20</v>
      </c>
      <c r="C62" s="32" t="s">
        <v>52</v>
      </c>
      <c r="E62" s="83" t="str">
        <f t="shared" ca="1" si="131"/>
        <v/>
      </c>
      <c r="F62" s="1">
        <v>14</v>
      </c>
      <c r="G62" s="78"/>
      <c r="I62" s="64" t="str">
        <f t="shared" ca="1" si="132"/>
        <v/>
      </c>
      <c r="J62" s="1">
        <v>14</v>
      </c>
      <c r="M62" s="84"/>
      <c r="N62" s="71"/>
      <c r="O62" s="71"/>
      <c r="P62" s="71">
        <f t="shared" ca="1" si="133"/>
        <v>0</v>
      </c>
      <c r="Q62" s="71"/>
      <c r="S62" s="77" t="e">
        <f t="shared" ca="1" si="134"/>
        <v>#VALUE!</v>
      </c>
      <c r="T62" s="77"/>
      <c r="U62" s="77"/>
      <c r="V62" s="77"/>
      <c r="W62" s="85"/>
    </row>
    <row r="63" spans="2:54" x14ac:dyDescent="0.2">
      <c r="B63" s="32">
        <v>23</v>
      </c>
      <c r="C63" s="32" t="s">
        <v>53</v>
      </c>
      <c r="E63" s="83" t="str">
        <f t="shared" ca="1" si="131"/>
        <v/>
      </c>
      <c r="F63" s="1">
        <v>15</v>
      </c>
      <c r="G63" s="78"/>
      <c r="I63" s="64" t="str">
        <f t="shared" ca="1" si="132"/>
        <v/>
      </c>
      <c r="J63" s="1">
        <v>15</v>
      </c>
      <c r="M63" s="84"/>
      <c r="N63" s="71"/>
      <c r="O63" s="71"/>
      <c r="P63" s="71">
        <f t="shared" ca="1" si="133"/>
        <v>0</v>
      </c>
      <c r="Q63" s="71"/>
      <c r="S63" s="77" t="e">
        <f t="shared" ca="1" si="134"/>
        <v>#VALUE!</v>
      </c>
      <c r="T63" s="77"/>
      <c r="U63" s="77"/>
      <c r="V63" s="77"/>
      <c r="W63" s="85"/>
    </row>
    <row r="64" spans="2:54" x14ac:dyDescent="0.2">
      <c r="B64" s="32">
        <v>24</v>
      </c>
      <c r="C64" s="32" t="s">
        <v>54</v>
      </c>
      <c r="E64" s="83" t="str">
        <f t="shared" ca="1" si="131"/>
        <v/>
      </c>
      <c r="F64" s="1">
        <v>16</v>
      </c>
      <c r="G64" s="78"/>
      <c r="I64" s="64" t="str">
        <f t="shared" ca="1" si="132"/>
        <v/>
      </c>
      <c r="J64" s="1">
        <v>16</v>
      </c>
      <c r="M64" s="84"/>
      <c r="N64" s="71"/>
      <c r="O64" s="71"/>
      <c r="P64" s="71">
        <f t="shared" ca="1" si="133"/>
        <v>0</v>
      </c>
      <c r="Q64" s="71">
        <v>16</v>
      </c>
      <c r="S64" s="77" t="e">
        <f t="shared" ca="1" si="134"/>
        <v>#VALUE!</v>
      </c>
      <c r="T64" s="77"/>
      <c r="U64" s="77"/>
      <c r="V64" s="77"/>
      <c r="W64" s="85"/>
    </row>
    <row r="65" spans="2:32" x14ac:dyDescent="0.2">
      <c r="B65" s="32">
        <v>25</v>
      </c>
      <c r="C65" s="32" t="s">
        <v>54</v>
      </c>
      <c r="E65" s="83" t="str">
        <f t="shared" ca="1" si="131"/>
        <v/>
      </c>
      <c r="F65" s="1">
        <v>17</v>
      </c>
      <c r="G65" s="78"/>
      <c r="I65" s="64" t="str">
        <f t="shared" ca="1" si="132"/>
        <v/>
      </c>
      <c r="J65" s="1">
        <v>17</v>
      </c>
      <c r="M65" s="84"/>
      <c r="N65" s="71"/>
      <c r="O65" s="71"/>
      <c r="P65" s="71">
        <f t="shared" ca="1" si="133"/>
        <v>0</v>
      </c>
      <c r="Q65" s="71"/>
      <c r="S65" s="77" t="e">
        <f t="shared" ca="1" si="134"/>
        <v>#VALUE!</v>
      </c>
      <c r="T65" s="77"/>
      <c r="U65" s="77"/>
      <c r="V65" s="77"/>
      <c r="W65" s="85"/>
    </row>
    <row r="66" spans="2:32" x14ac:dyDescent="0.2">
      <c r="B66" s="32">
        <v>30</v>
      </c>
      <c r="C66" s="32" t="s">
        <v>52</v>
      </c>
      <c r="E66" s="83" t="str">
        <f t="shared" ca="1" si="131"/>
        <v/>
      </c>
      <c r="F66" s="1">
        <v>18</v>
      </c>
      <c r="G66" s="78"/>
      <c r="I66" s="64" t="str">
        <f t="shared" ca="1" si="132"/>
        <v/>
      </c>
      <c r="J66" s="1">
        <v>18</v>
      </c>
      <c r="M66" s="84"/>
      <c r="N66" s="71"/>
      <c r="O66" s="71"/>
      <c r="P66" s="71">
        <f t="shared" ca="1" si="133"/>
        <v>0</v>
      </c>
      <c r="Q66" s="71"/>
      <c r="S66" s="77" t="e">
        <f t="shared" ca="1" si="134"/>
        <v>#VALUE!</v>
      </c>
      <c r="T66" s="77"/>
      <c r="U66" s="77"/>
      <c r="V66" s="77"/>
      <c r="W66" s="85"/>
      <c r="AF66" s="64"/>
    </row>
    <row r="67" spans="2:32" x14ac:dyDescent="0.2">
      <c r="B67" s="32">
        <v>34</v>
      </c>
      <c r="C67" s="32" t="s">
        <v>50</v>
      </c>
      <c r="E67" s="83" t="str">
        <f t="shared" ca="1" si="131"/>
        <v/>
      </c>
      <c r="F67" s="1">
        <v>19</v>
      </c>
      <c r="G67" s="78"/>
      <c r="I67" s="64" t="str">
        <f t="shared" ca="1" si="132"/>
        <v/>
      </c>
      <c r="J67" s="1">
        <v>19</v>
      </c>
      <c r="M67" s="84"/>
      <c r="N67" s="71"/>
      <c r="O67" s="71"/>
      <c r="P67" s="71">
        <f t="shared" ca="1" si="133"/>
        <v>0</v>
      </c>
      <c r="Q67" s="71"/>
      <c r="S67" s="77" t="e">
        <f t="shared" ca="1" si="134"/>
        <v>#VALUE!</v>
      </c>
      <c r="T67" s="77"/>
      <c r="U67" s="77"/>
      <c r="V67" s="77"/>
      <c r="W67" s="85"/>
    </row>
    <row r="68" spans="2:32" x14ac:dyDescent="0.2">
      <c r="B68" s="32">
        <v>35</v>
      </c>
      <c r="C68" s="32" t="s">
        <v>50</v>
      </c>
      <c r="E68" s="83" t="str">
        <f t="shared" ca="1" si="131"/>
        <v/>
      </c>
      <c r="F68" s="1">
        <v>20</v>
      </c>
      <c r="G68" s="78"/>
      <c r="I68" s="64" t="str">
        <f t="shared" ca="1" si="132"/>
        <v/>
      </c>
      <c r="J68" s="1">
        <v>20</v>
      </c>
      <c r="M68" s="84"/>
      <c r="N68" s="71"/>
      <c r="O68" s="71"/>
      <c r="P68" s="71">
        <f t="shared" ca="1" si="133"/>
        <v>0</v>
      </c>
      <c r="Q68" s="71"/>
      <c r="S68" s="77" t="e">
        <f t="shared" ca="1" si="134"/>
        <v>#VALUE!</v>
      </c>
      <c r="T68" s="77"/>
      <c r="U68" s="77"/>
      <c r="V68" s="77"/>
      <c r="W68" s="85"/>
    </row>
    <row r="69" spans="2:32" x14ac:dyDescent="0.3">
      <c r="B69" s="32">
        <v>40</v>
      </c>
      <c r="C69" s="32" t="s">
        <v>52</v>
      </c>
      <c r="S69" s="89"/>
      <c r="T69" s="89"/>
      <c r="U69" s="89"/>
      <c r="V69" s="89"/>
    </row>
    <row r="70" spans="2:32" x14ac:dyDescent="0.3">
      <c r="B70" s="32">
        <v>45</v>
      </c>
      <c r="C70" s="32" t="s">
        <v>50</v>
      </c>
    </row>
    <row r="71" spans="2:32" x14ac:dyDescent="0.3">
      <c r="B71" s="32">
        <v>50</v>
      </c>
      <c r="C71" s="32" t="s">
        <v>52</v>
      </c>
    </row>
    <row r="72" spans="2:32" x14ac:dyDescent="0.3">
      <c r="B72" s="32">
        <v>120</v>
      </c>
      <c r="C72" s="32" t="s">
        <v>55</v>
      </c>
    </row>
    <row r="73" spans="2:32" x14ac:dyDescent="0.3">
      <c r="B73" s="32">
        <v>123</v>
      </c>
      <c r="C73" s="32" t="s">
        <v>56</v>
      </c>
    </row>
    <row r="74" spans="2:32" x14ac:dyDescent="0.3">
      <c r="B74" s="32">
        <v>124</v>
      </c>
      <c r="C74" s="32" t="s">
        <v>57</v>
      </c>
    </row>
    <row r="75" spans="2:32" x14ac:dyDescent="0.3">
      <c r="B75" s="32">
        <v>125</v>
      </c>
      <c r="C75" s="32" t="s">
        <v>58</v>
      </c>
    </row>
    <row r="76" spans="2:32" x14ac:dyDescent="0.3">
      <c r="B76" s="32">
        <v>130</v>
      </c>
      <c r="C76" s="32" t="s">
        <v>55</v>
      </c>
    </row>
    <row r="77" spans="2:32" x14ac:dyDescent="0.3">
      <c r="B77" s="32">
        <v>134</v>
      </c>
      <c r="C77" s="32" t="s">
        <v>57</v>
      </c>
    </row>
    <row r="78" spans="2:32" x14ac:dyDescent="0.3">
      <c r="B78" s="32">
        <v>135</v>
      </c>
      <c r="C78" s="32" t="s">
        <v>58</v>
      </c>
    </row>
    <row r="79" spans="2:32" x14ac:dyDescent="0.3">
      <c r="B79" s="32">
        <v>140</v>
      </c>
      <c r="C79" s="32" t="s">
        <v>55</v>
      </c>
    </row>
    <row r="80" spans="2:32" x14ac:dyDescent="0.3">
      <c r="B80" s="32">
        <v>145</v>
      </c>
      <c r="C80" s="32" t="s">
        <v>58</v>
      </c>
    </row>
    <row r="81" spans="2:3" x14ac:dyDescent="0.3">
      <c r="B81" s="32">
        <v>150</v>
      </c>
      <c r="C81" s="32" t="s">
        <v>55</v>
      </c>
    </row>
    <row r="82" spans="2:3" x14ac:dyDescent="0.3">
      <c r="B82" s="32">
        <v>230</v>
      </c>
      <c r="C82" s="32" t="s">
        <v>52</v>
      </c>
    </row>
    <row r="83" spans="2:3" x14ac:dyDescent="0.3">
      <c r="B83" s="32">
        <v>234</v>
      </c>
      <c r="C83" s="32" t="s">
        <v>59</v>
      </c>
    </row>
    <row r="84" spans="2:3" x14ac:dyDescent="0.3">
      <c r="B84" s="32">
        <v>235</v>
      </c>
      <c r="C84" s="32" t="s">
        <v>59</v>
      </c>
    </row>
    <row r="85" spans="2:3" x14ac:dyDescent="0.3">
      <c r="B85" s="32">
        <v>240</v>
      </c>
      <c r="C85" s="32" t="s">
        <v>52</v>
      </c>
    </row>
    <row r="86" spans="2:3" x14ac:dyDescent="0.3">
      <c r="B86" s="32">
        <v>245</v>
      </c>
      <c r="C86" s="32" t="s">
        <v>54</v>
      </c>
    </row>
    <row r="87" spans="2:3" x14ac:dyDescent="0.3">
      <c r="B87" s="32">
        <v>250</v>
      </c>
      <c r="C87" s="32" t="s">
        <v>52</v>
      </c>
    </row>
    <row r="88" spans="2:3" x14ac:dyDescent="0.3">
      <c r="B88" s="32">
        <v>340</v>
      </c>
      <c r="C88" s="32" t="s">
        <v>52</v>
      </c>
    </row>
    <row r="89" spans="2:3" x14ac:dyDescent="0.3">
      <c r="B89" s="32">
        <v>345</v>
      </c>
      <c r="C89" s="32" t="s">
        <v>50</v>
      </c>
    </row>
    <row r="90" spans="2:3" x14ac:dyDescent="0.3">
      <c r="B90" s="32">
        <v>350</v>
      </c>
      <c r="C90" s="32" t="s">
        <v>52</v>
      </c>
    </row>
    <row r="91" spans="2:3" x14ac:dyDescent="0.3">
      <c r="B91" s="32">
        <v>450</v>
      </c>
      <c r="C91" s="32" t="s">
        <v>52</v>
      </c>
    </row>
    <row r="92" spans="2:3" x14ac:dyDescent="0.3">
      <c r="B92" s="32">
        <v>1230</v>
      </c>
      <c r="C92" s="32" t="s">
        <v>56</v>
      </c>
    </row>
    <row r="93" spans="2:3" x14ac:dyDescent="0.3">
      <c r="B93" s="32">
        <v>1234</v>
      </c>
      <c r="C93" s="32" t="s">
        <v>60</v>
      </c>
    </row>
    <row r="94" spans="2:3" x14ac:dyDescent="0.3">
      <c r="B94" s="32">
        <v>1235</v>
      </c>
      <c r="C94" s="32" t="s">
        <v>61</v>
      </c>
    </row>
    <row r="95" spans="2:3" x14ac:dyDescent="0.3">
      <c r="B95" s="32">
        <v>1240</v>
      </c>
      <c r="C95" s="32" t="s">
        <v>55</v>
      </c>
    </row>
    <row r="96" spans="2:3" x14ac:dyDescent="0.3">
      <c r="B96" s="32">
        <v>1245</v>
      </c>
      <c r="C96" s="32" t="s">
        <v>57</v>
      </c>
    </row>
    <row r="97" spans="2:3" x14ac:dyDescent="0.3">
      <c r="B97" s="32">
        <v>1250</v>
      </c>
      <c r="C97" s="32" t="s">
        <v>55</v>
      </c>
    </row>
    <row r="98" spans="2:3" x14ac:dyDescent="0.3">
      <c r="B98" s="32">
        <v>1340</v>
      </c>
      <c r="C98" s="32" t="s">
        <v>55</v>
      </c>
    </row>
    <row r="99" spans="2:3" x14ac:dyDescent="0.3">
      <c r="B99" s="32">
        <v>1345</v>
      </c>
      <c r="C99" s="32" t="s">
        <v>57</v>
      </c>
    </row>
    <row r="100" spans="2:3" x14ac:dyDescent="0.3">
      <c r="B100" s="32">
        <v>1350</v>
      </c>
      <c r="C100" s="32" t="s">
        <v>55</v>
      </c>
    </row>
    <row r="101" spans="2:3" x14ac:dyDescent="0.3">
      <c r="B101" s="32">
        <v>1450</v>
      </c>
      <c r="C101" s="32" t="s">
        <v>55</v>
      </c>
    </row>
    <row r="102" spans="2:3" x14ac:dyDescent="0.3">
      <c r="B102" s="32">
        <v>2340</v>
      </c>
      <c r="C102" s="32" t="s">
        <v>52</v>
      </c>
    </row>
    <row r="103" spans="2:3" x14ac:dyDescent="0.3">
      <c r="B103" s="32">
        <v>2345</v>
      </c>
      <c r="C103" s="32" t="s">
        <v>59</v>
      </c>
    </row>
    <row r="104" spans="2:3" x14ac:dyDescent="0.3">
      <c r="B104" s="32">
        <v>2350</v>
      </c>
      <c r="C104" s="32" t="s">
        <v>52</v>
      </c>
    </row>
    <row r="105" spans="2:3" x14ac:dyDescent="0.3">
      <c r="B105" s="32">
        <v>2450</v>
      </c>
      <c r="C105" s="32" t="s">
        <v>52</v>
      </c>
    </row>
    <row r="106" spans="2:3" x14ac:dyDescent="0.3">
      <c r="B106" s="32">
        <v>3450</v>
      </c>
      <c r="C106" s="32" t="s">
        <v>52</v>
      </c>
    </row>
    <row r="107" spans="2:3" x14ac:dyDescent="0.3">
      <c r="B107" s="32">
        <v>12340</v>
      </c>
      <c r="C107" s="32" t="s">
        <v>60</v>
      </c>
    </row>
    <row r="108" spans="2:3" x14ac:dyDescent="0.3">
      <c r="B108" s="32">
        <v>12345</v>
      </c>
      <c r="C108" s="32" t="s">
        <v>62</v>
      </c>
    </row>
    <row r="109" spans="2:3" x14ac:dyDescent="0.3">
      <c r="B109" s="32">
        <v>12350</v>
      </c>
      <c r="C109" s="32" t="s">
        <v>55</v>
      </c>
    </row>
    <row r="110" spans="2:3" x14ac:dyDescent="0.3">
      <c r="B110" s="32">
        <v>12450</v>
      </c>
      <c r="C110" s="32" t="s">
        <v>55</v>
      </c>
    </row>
    <row r="111" spans="2:3" x14ac:dyDescent="0.3">
      <c r="B111" s="32">
        <v>13450</v>
      </c>
      <c r="C111" s="32" t="s">
        <v>55</v>
      </c>
    </row>
    <row r="112" spans="2:3" x14ac:dyDescent="0.3">
      <c r="B112" s="32">
        <v>23450</v>
      </c>
      <c r="C112" s="32" t="s">
        <v>52</v>
      </c>
    </row>
    <row r="113" spans="2:3" x14ac:dyDescent="0.3">
      <c r="B113" s="48">
        <v>123450</v>
      </c>
      <c r="C113" s="4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et elisabeth lumina</dc:creator>
  <cp:lastModifiedBy>FRANCK et elisabeth lumina</cp:lastModifiedBy>
  <dcterms:created xsi:type="dcterms:W3CDTF">2018-07-20T14:33:17Z</dcterms:created>
  <dcterms:modified xsi:type="dcterms:W3CDTF">2018-07-20T14:46:57Z</dcterms:modified>
</cp:coreProperties>
</file>