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tables/table9.xml" ContentType="application/vnd.openxmlformats-officedocument.spreadsheetml.table+xml"/>
  <Override PartName="/xl/comments9.xml" ContentType="application/vnd.openxmlformats-officedocument.spreadsheetml.comments+xml"/>
  <Override PartName="/xl/tables/table10.xml" ContentType="application/vnd.openxmlformats-officedocument.spreadsheetml.table+xml"/>
  <Override PartName="/xl/comments10.xml" ContentType="application/vnd.openxmlformats-officedocument.spreadsheetml.comments+xml"/>
  <Override PartName="/xl/tables/table11.xml" ContentType="application/vnd.openxmlformats-officedocument.spreadsheetml.table+xml"/>
  <Override PartName="/xl/comments11.xml" ContentType="application/vnd.openxmlformats-officedocument.spreadsheetml.comments+xml"/>
  <Override PartName="/xl/tables/table12.xml" ContentType="application/vnd.openxmlformats-officedocument.spreadsheetml.table+xml"/>
  <Override PartName="/xl/comments12.xml" ContentType="application/vnd.openxmlformats-officedocument.spreadsheetml.comments+xml"/>
  <Override PartName="/xl/tables/table13.xml" ContentType="application/vnd.openxmlformats-officedocument.spreadsheetml.table+xml"/>
  <Override PartName="/xl/comments13.xml" ContentType="application/vnd.openxmlformats-officedocument.spreadsheetml.comments+xml"/>
  <Override PartName="/xl/tables/table14.xml" ContentType="application/vnd.openxmlformats-officedocument.spreadsheetml.table+xml"/>
  <Override PartName="/xl/comments14.xml" ContentType="application/vnd.openxmlformats-officedocument.spreadsheetml.comments+xml"/>
  <Override PartName="/xl/tables/table15.xml" ContentType="application/vnd.openxmlformats-officedocument.spreadsheetml.table+xml"/>
  <Override PartName="/xl/comments15.xml" ContentType="application/vnd.openxmlformats-officedocument.spreadsheetml.comments+xml"/>
  <Override PartName="/xl/tables/table16.xml" ContentType="application/vnd.openxmlformats-officedocument.spreadsheetml.table+xml"/>
  <Override PartName="/xl/comments16.xml" ContentType="application/vnd.openxmlformats-officedocument.spreadsheetml.comments+xml"/>
  <Override PartName="/xl/tables/table17.xml" ContentType="application/vnd.openxmlformats-officedocument.spreadsheetml.table+xml"/>
  <Override PartName="/xl/comments17.xml" ContentType="application/vnd.openxmlformats-officedocument.spreadsheetml.comments+xml"/>
  <Override PartName="/xl/tables/table18.xml" ContentType="application/vnd.openxmlformats-officedocument.spreadsheetml.table+xml"/>
  <Override PartName="/xl/comments18.xml" ContentType="application/vnd.openxmlformats-officedocument.spreadsheetml.comments+xml"/>
  <Override PartName="/xl/tables/table19.xml" ContentType="application/vnd.openxmlformats-officedocument.spreadsheetml.table+xml"/>
  <Override PartName="/xl/comments19.xml" ContentType="application/vnd.openxmlformats-officedocument.spreadsheetml.comments+xml"/>
  <Override PartName="/xl/tables/table20.xml" ContentType="application/vnd.openxmlformats-officedocument.spreadsheetml.table+xml"/>
  <Override PartName="/xl/comments20.xml" ContentType="application/vnd.openxmlformats-officedocument.spreadsheetml.comments+xml"/>
  <Override PartName="/xl/tables/table21.xml" ContentType="application/vnd.openxmlformats-officedocument.spreadsheetml.table+xml"/>
  <Override PartName="/xl/comments21.xml" ContentType="application/vnd.openxmlformats-officedocument.spreadsheetml.comments+xml"/>
  <Override PartName="/xl/tables/table22.xml" ContentType="application/vnd.openxmlformats-officedocument.spreadsheetml.table+xml"/>
  <Override PartName="/xl/comments22.xml" ContentType="application/vnd.openxmlformats-officedocument.spreadsheetml.comments+xml"/>
  <Override PartName="/xl/tables/table23.xml" ContentType="application/vnd.openxmlformats-officedocument.spreadsheetml.table+xml"/>
  <Override PartName="/xl/comments23.xml" ContentType="application/vnd.openxmlformats-officedocument.spreadsheetml.comments+xml"/>
  <Override PartName="/xl/tables/table24.xml" ContentType="application/vnd.openxmlformats-officedocument.spreadsheetml.table+xml"/>
  <Override PartName="/xl/comments24.xml" ContentType="application/vnd.openxmlformats-officedocument.spreadsheetml.comments+xml"/>
  <Override PartName="/xl/tables/table25.xml" ContentType="application/vnd.openxmlformats-officedocument.spreadsheetml.table+xml"/>
  <Override PartName="/xl/comments25.xml" ContentType="application/vnd.openxmlformats-officedocument.spreadsheetml.comments+xml"/>
  <Override PartName="/xl/tables/table26.xml" ContentType="application/vnd.openxmlformats-officedocument.spreadsheetml.table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LOGISTIQUE BUREAU\Feuille de temps\"/>
    </mc:Choice>
  </mc:AlternateContent>
  <xr:revisionPtr revIDLastSave="0" documentId="13_ncr:1_{2CDF23B0-58CC-4473-84F5-85D85E48E416}" xr6:coauthVersionLast="33" xr6:coauthVersionMax="33" xr10:uidLastSave="{00000000-0000-0000-0000-000000000000}"/>
  <bookViews>
    <workbookView xWindow="0" yWindow="0" windowWidth="28800" windowHeight="12210" firstSheet="24" activeTab="28" xr2:uid="{00000000-000D-0000-FFFF-FFFF00000000}"/>
  </bookViews>
  <sheets>
    <sheet name="Calendrier annuel" sheetId="43" r:id="rId1"/>
    <sheet name="Fériés de l'année en cours" sheetId="42" state="hidden" r:id="rId2"/>
    <sheet name="Congés de l'employé" sheetId="34" r:id="rId3"/>
    <sheet name="Janvier - 2prem. semaines" sheetId="30" r:id="rId4"/>
    <sheet name="Janvier - 2dern. semaines" sheetId="44" r:id="rId5"/>
    <sheet name="Fin Jan.-Février - 2prem. sem." sheetId="46" r:id="rId6"/>
    <sheet name="Février - 2e-3e semaine" sheetId="45" r:id="rId7"/>
    <sheet name="Fin Fév.-Mars - 2prem. sem." sheetId="47" r:id="rId8"/>
    <sheet name="Mars - 3e-4e semaine" sheetId="48" r:id="rId9"/>
    <sheet name="Fin Mars-Avril - prem. semaine" sheetId="49" r:id="rId10"/>
    <sheet name="Avril - 2e-3e semaine" sheetId="50" r:id="rId11"/>
    <sheet name="Fin Avril-Mai - prem. semaine" sheetId="51" r:id="rId12"/>
    <sheet name="Mai - 2e-3e semaine" sheetId="52" r:id="rId13"/>
    <sheet name="Fin Mai-Début juin semaine 1" sheetId="53" r:id="rId14"/>
    <sheet name="Juin 2e-3e semaine" sheetId="54" r:id="rId15"/>
    <sheet name="Juin 4e-5e semaine-Juillet déb." sheetId="55" r:id="rId16"/>
    <sheet name="Juillet-2prem. semaines" sheetId="56" r:id="rId17"/>
    <sheet name="Juillet 3e-4e semaine" sheetId="57" r:id="rId18"/>
    <sheet name="Fin Juillet-Août 2prem. sem." sheetId="58" r:id="rId19"/>
    <sheet name="Août 3e-4e semaine" sheetId="59" r:id="rId20"/>
    <sheet name="Fin Août-Sept 2 prem. sem." sheetId="60" r:id="rId21"/>
    <sheet name="Septembre 3e-4e semaine" sheetId="61" r:id="rId22"/>
    <sheet name="Fin Sept.-Oct.-première semaine" sheetId="62" r:id="rId23"/>
    <sheet name="Octobre-2e-3e semaine" sheetId="63" r:id="rId24"/>
    <sheet name="Fin Oct.-Nov.-première semaine" sheetId="64" r:id="rId25"/>
    <sheet name="Novembre 2e-3e semaine" sheetId="65" r:id="rId26"/>
    <sheet name="Nov. 4e-5e semaine-Début Déc." sheetId="66" r:id="rId27"/>
    <sheet name="Décembre 1e-2e semaine" sheetId="67" r:id="rId28"/>
    <sheet name="Décembre 3e-4e semaine" sheetId="68" r:id="rId29"/>
  </sheets>
  <definedNames>
    <definedName name="An_ref">'Calendrier annuel'!$B$5</definedName>
    <definedName name="Annee" localSheetId="19">'Août 3e-4e semaine'!$J$8</definedName>
    <definedName name="Annee" localSheetId="10">'Avril - 2e-3e semaine'!$J$8</definedName>
    <definedName name="Annee" localSheetId="27">'Décembre 1e-2e semaine'!$J$8</definedName>
    <definedName name="Annee" localSheetId="28">'Décembre 3e-4e semaine'!$J$8</definedName>
    <definedName name="Annee" localSheetId="6">'Février - 2e-3e semaine'!$J$8</definedName>
    <definedName name="Annee" localSheetId="20">'Fin Août-Sept 2 prem. sem.'!$J$8</definedName>
    <definedName name="Annee" localSheetId="11">'Fin Avril-Mai - prem. semaine'!$J$8</definedName>
    <definedName name="Annee" localSheetId="7">'Fin Fév.-Mars - 2prem. sem.'!$J$8</definedName>
    <definedName name="Annee" localSheetId="5">'Fin Jan.-Février - 2prem. sem.'!$J$8</definedName>
    <definedName name="Annee" localSheetId="18">'Fin Juillet-Août 2prem. sem.'!$J$8</definedName>
    <definedName name="Annee" localSheetId="13">'Fin Mai-Début juin semaine 1'!$J$8</definedName>
    <definedName name="Annee" localSheetId="9">'Fin Mars-Avril - prem. semaine'!$J$8</definedName>
    <definedName name="Annee" localSheetId="24">'Fin Oct.-Nov.-première semaine'!$J$8</definedName>
    <definedName name="Annee" localSheetId="22">'Fin Sept.-Oct.-première semaine'!$J$8</definedName>
    <definedName name="Annee" localSheetId="4">'Janvier - 2dern. semaines'!$J$8</definedName>
    <definedName name="Annee" localSheetId="17">'Juillet 3e-4e semaine'!$J$8</definedName>
    <definedName name="Annee" localSheetId="16">'Juillet-2prem. semaines'!$J$8</definedName>
    <definedName name="Annee" localSheetId="14">'Juin 2e-3e semaine'!$J$8</definedName>
    <definedName name="Annee" localSheetId="15">'Juin 4e-5e semaine-Juillet déb.'!$J$8</definedName>
    <definedName name="Annee" localSheetId="12">'Mai - 2e-3e semaine'!$J$8</definedName>
    <definedName name="Annee" localSheetId="8">'Mars - 3e-4e semaine'!$J$8</definedName>
    <definedName name="Annee" localSheetId="26">'Nov. 4e-5e semaine-Début Déc.'!$J$8</definedName>
    <definedName name="Annee" localSheetId="25">'Novembre 2e-3e semaine'!$J$8</definedName>
    <definedName name="Annee" localSheetId="23">'Octobre-2e-3e semaine'!$J$8</definedName>
    <definedName name="Annee" localSheetId="21">'Septembre 3e-4e semaine'!$J$8</definedName>
    <definedName name="Annee">'Janvier - 2prem. semaines'!#REF!</definedName>
    <definedName name="Année">'Fériés de l''année en cours'!$C$10</definedName>
    <definedName name="Férié">'Calendrier annuel'!$AF$11,'Calendrier annuel'!$AF$13,'Calendrier annuel'!$AF$14,'Calendrier annuel'!$AF$16,'Calendrier annuel'!$AF$18,'Calendrier annuel'!$AF$19,'Calendrier annuel'!$AF$20,'Calendrier annuel'!$AF$21</definedName>
    <definedName name="_xlnm.Print_Titles" localSheetId="2">'Congés de l''employé'!$1:$20</definedName>
    <definedName name="midi">TIMEVALUE("12:30")</definedName>
    <definedName name="Pâques">'Fériés de l''année en cours'!$C$13</definedName>
    <definedName name="_xlnm.Print_Area" localSheetId="19">'Août 3e-4e semaine'!$A$1:$I$43</definedName>
    <definedName name="_xlnm.Print_Area" localSheetId="10">'Avril - 2e-3e semaine'!$A$1:$I$43</definedName>
    <definedName name="_xlnm.Print_Area" localSheetId="0">'Calendrier annuel'!$B$1:$X$44</definedName>
    <definedName name="_xlnm.Print_Area" localSheetId="2">'Congés de l''employé'!$A$1:$E$63</definedName>
    <definedName name="_xlnm.Print_Area" localSheetId="27">'Décembre 1e-2e semaine'!$A$1:$I$43</definedName>
    <definedName name="_xlnm.Print_Area" localSheetId="28">'Décembre 3e-4e semaine'!$A$1:$I$43</definedName>
    <definedName name="_xlnm.Print_Area" localSheetId="1">'Fériés de l''année en cours'!$A$1:$E$26</definedName>
    <definedName name="_xlnm.Print_Area" localSheetId="6">'Février - 2e-3e semaine'!$A$1:$I$43</definedName>
    <definedName name="_xlnm.Print_Area" localSheetId="20">'Fin Août-Sept 2 prem. sem.'!$A$1:$I$43</definedName>
    <definedName name="_xlnm.Print_Area" localSheetId="11">'Fin Avril-Mai - prem. semaine'!$A$1:$I$43</definedName>
    <definedName name="_xlnm.Print_Area" localSheetId="7">'Fin Fév.-Mars - 2prem. sem.'!$A$1:$I$43</definedName>
    <definedName name="_xlnm.Print_Area" localSheetId="5">'Fin Jan.-Février - 2prem. sem.'!$A$1:$I$43</definedName>
    <definedName name="_xlnm.Print_Area" localSheetId="18">'Fin Juillet-Août 2prem. sem.'!$A$1:$I$43</definedName>
    <definedName name="_xlnm.Print_Area" localSheetId="13">'Fin Mai-Début juin semaine 1'!$A$1:$I$43</definedName>
    <definedName name="_xlnm.Print_Area" localSheetId="9">'Fin Mars-Avril - prem. semaine'!$A$1:$I$43</definedName>
    <definedName name="_xlnm.Print_Area" localSheetId="24">'Fin Oct.-Nov.-première semaine'!$A$1:$I$43</definedName>
    <definedName name="_xlnm.Print_Area" localSheetId="22">'Fin Sept.-Oct.-première semaine'!$A$1:$I$43</definedName>
    <definedName name="_xlnm.Print_Area" localSheetId="4">'Janvier - 2dern. semaines'!$A$1:$I$44</definedName>
    <definedName name="_xlnm.Print_Area" localSheetId="3">'Janvier - 2prem. semaines'!$A$1:$J$43</definedName>
    <definedName name="_xlnm.Print_Area" localSheetId="17">'Juillet 3e-4e semaine'!$A$1:$I$43</definedName>
    <definedName name="_xlnm.Print_Area" localSheetId="16">'Juillet-2prem. semaines'!$A$1:$I$43</definedName>
    <definedName name="_xlnm.Print_Area" localSheetId="14">'Juin 2e-3e semaine'!$A$1:$I$43</definedName>
    <definedName name="_xlnm.Print_Area" localSheetId="15">'Juin 4e-5e semaine-Juillet déb.'!$A$1:$I$43</definedName>
    <definedName name="_xlnm.Print_Area" localSheetId="12">'Mai - 2e-3e semaine'!$A$1:$I$43</definedName>
    <definedName name="_xlnm.Print_Area" localSheetId="8">'Mars - 3e-4e semaine'!$A$1:$I$43</definedName>
    <definedName name="_xlnm.Print_Area" localSheetId="26">'Nov. 4e-5e semaine-Début Déc.'!$A$1:$I$43</definedName>
    <definedName name="_xlnm.Print_Area" localSheetId="25">'Novembre 2e-3e semaine'!$A$1:$I$43</definedName>
    <definedName name="_xlnm.Print_Area" localSheetId="23">'Octobre-2e-3e semaine'!$A$1:$I$43</definedName>
    <definedName name="_xlnm.Print_Area" localSheetId="21">'Septembre 3e-4e semaine'!$A$1:$I$43</definedName>
  </definedNames>
  <calcPr calcId="179017" iterate="1" iterateDelta="1E-4"/>
  <fileRecoveryPr autoRecover="0"/>
</workbook>
</file>

<file path=xl/calcChain.xml><?xml version="1.0" encoding="utf-8"?>
<calcChain xmlns="http://schemas.openxmlformats.org/spreadsheetml/2006/main">
  <c r="A21" i="34" l="1"/>
  <c r="B22" i="34"/>
  <c r="B23" i="34"/>
  <c r="B24" i="34"/>
  <c r="B25" i="34"/>
  <c r="B21" i="34"/>
  <c r="L16" i="30"/>
  <c r="L17" i="30"/>
  <c r="L18" i="30"/>
  <c r="L23" i="30"/>
  <c r="L24" i="30"/>
  <c r="L25" i="30"/>
  <c r="L26" i="30"/>
  <c r="L27" i="30"/>
  <c r="L28" i="30"/>
  <c r="L29" i="30"/>
  <c r="L30" i="30"/>
  <c r="L31" i="30"/>
  <c r="L32" i="30"/>
  <c r="L34" i="30"/>
  <c r="L35" i="30"/>
  <c r="L19" i="30"/>
  <c r="L20" i="30"/>
  <c r="L21" i="30"/>
  <c r="L22" i="30"/>
  <c r="K15" i="46"/>
  <c r="K15" i="45"/>
  <c r="K15" i="47"/>
  <c r="K15" i="48"/>
  <c r="K15" i="49"/>
  <c r="K15" i="50"/>
  <c r="K15" i="51"/>
  <c r="K15" i="52"/>
  <c r="K15" i="53"/>
  <c r="K15" i="54"/>
  <c r="K15" i="55"/>
  <c r="K15" i="56"/>
  <c r="K15" i="57"/>
  <c r="K15" i="58"/>
  <c r="K15" i="59"/>
  <c r="K15" i="60"/>
  <c r="K15" i="61"/>
  <c r="K15" i="62"/>
  <c r="K15" i="63"/>
  <c r="K15" i="64"/>
  <c r="K15" i="65"/>
  <c r="K15" i="66"/>
  <c r="K15" i="67"/>
  <c r="K15" i="68"/>
  <c r="K15" i="44"/>
  <c r="C21" i="34" l="1"/>
  <c r="L33" i="30"/>
  <c r="D21" i="34" l="1"/>
  <c r="K16" i="44" l="1"/>
  <c r="K34" i="44"/>
  <c r="K33" i="44"/>
  <c r="K32" i="44"/>
  <c r="K31" i="44"/>
  <c r="K30" i="44"/>
  <c r="K29" i="44"/>
  <c r="K28" i="44"/>
  <c r="K27" i="44"/>
  <c r="K26" i="44"/>
  <c r="K25" i="44"/>
  <c r="K24" i="44"/>
  <c r="K23" i="44"/>
  <c r="K22" i="44"/>
  <c r="K21" i="44"/>
  <c r="K20" i="44"/>
  <c r="K19" i="44"/>
  <c r="K18" i="44"/>
  <c r="K17" i="44"/>
  <c r="L8" i="34"/>
  <c r="H35" i="68"/>
  <c r="A35" i="68"/>
  <c r="K34" i="68"/>
  <c r="A34" i="68"/>
  <c r="H34" i="68" s="1"/>
  <c r="K33" i="68"/>
  <c r="H33" i="68"/>
  <c r="A33" i="68"/>
  <c r="K32" i="68"/>
  <c r="A32" i="68"/>
  <c r="H32" i="68" s="1"/>
  <c r="K31" i="68"/>
  <c r="A31" i="68"/>
  <c r="K30" i="68"/>
  <c r="A30" i="68"/>
  <c r="H30" i="68" s="1"/>
  <c r="H29" i="68"/>
  <c r="A29" i="68"/>
  <c r="K28" i="68"/>
  <c r="K27" i="68"/>
  <c r="K26" i="68"/>
  <c r="K25" i="68"/>
  <c r="K24" i="68"/>
  <c r="K23" i="68"/>
  <c r="K22" i="68"/>
  <c r="A22" i="68"/>
  <c r="H22" i="68" s="1"/>
  <c r="K21" i="68"/>
  <c r="H21" i="68"/>
  <c r="A21" i="68"/>
  <c r="K20" i="68"/>
  <c r="A20" i="68"/>
  <c r="H20" i="68" s="1"/>
  <c r="K19" i="68"/>
  <c r="H19" i="68"/>
  <c r="A19" i="68"/>
  <c r="A18" i="68"/>
  <c r="H18" i="68" s="1"/>
  <c r="K17" i="68"/>
  <c r="H17" i="68"/>
  <c r="A17" i="68"/>
  <c r="A16" i="68"/>
  <c r="H16" i="68" s="1"/>
  <c r="H35" i="67"/>
  <c r="A35" i="67"/>
  <c r="K34" i="67"/>
  <c r="A34" i="67"/>
  <c r="H34" i="67" s="1"/>
  <c r="K33" i="67"/>
  <c r="A33" i="67"/>
  <c r="H33" i="67" s="1"/>
  <c r="K32" i="67"/>
  <c r="A32" i="67"/>
  <c r="H32" i="67" s="1"/>
  <c r="K31" i="67"/>
  <c r="H31" i="67"/>
  <c r="A31" i="67"/>
  <c r="K30" i="67"/>
  <c r="A30" i="67"/>
  <c r="H30" i="67" s="1"/>
  <c r="A29" i="67"/>
  <c r="H29" i="67" s="1"/>
  <c r="K28" i="67"/>
  <c r="K27" i="67"/>
  <c r="K26" i="67"/>
  <c r="K25" i="67"/>
  <c r="K24" i="67"/>
  <c r="K23" i="67"/>
  <c r="K22" i="67"/>
  <c r="A22" i="67"/>
  <c r="H22" i="67" s="1"/>
  <c r="K21" i="67"/>
  <c r="H21" i="67"/>
  <c r="A21" i="67"/>
  <c r="K20" i="67"/>
  <c r="A20" i="67"/>
  <c r="H20" i="67" s="1"/>
  <c r="K19" i="67"/>
  <c r="A19" i="67"/>
  <c r="H19" i="67" s="1"/>
  <c r="A18" i="67"/>
  <c r="H18" i="67" s="1"/>
  <c r="K17" i="67"/>
  <c r="H17" i="67"/>
  <c r="A17" i="67"/>
  <c r="A16" i="67"/>
  <c r="H16" i="67" s="1"/>
  <c r="H35" i="66"/>
  <c r="A35" i="66"/>
  <c r="K34" i="66"/>
  <c r="A34" i="66"/>
  <c r="H34" i="66" s="1"/>
  <c r="K33" i="66"/>
  <c r="A33" i="66"/>
  <c r="H33" i="66" s="1"/>
  <c r="K32" i="66"/>
  <c r="A32" i="66"/>
  <c r="H32" i="66" s="1"/>
  <c r="K31" i="66"/>
  <c r="H31" i="66"/>
  <c r="A31" i="66"/>
  <c r="K30" i="66"/>
  <c r="A30" i="66"/>
  <c r="H30" i="66" s="1"/>
  <c r="A29" i="66"/>
  <c r="H29" i="66" s="1"/>
  <c r="K28" i="66"/>
  <c r="K27" i="66"/>
  <c r="K26" i="66"/>
  <c r="K25" i="66"/>
  <c r="K24" i="66"/>
  <c r="K23" i="66"/>
  <c r="K22" i="66"/>
  <c r="H22" i="66"/>
  <c r="A22" i="66"/>
  <c r="K21" i="66"/>
  <c r="H21" i="66"/>
  <c r="A21" i="66"/>
  <c r="K20" i="66"/>
  <c r="A20" i="66"/>
  <c r="H20" i="66" s="1"/>
  <c r="K19" i="66"/>
  <c r="A19" i="66"/>
  <c r="H19" i="66" s="1"/>
  <c r="H18" i="66"/>
  <c r="A18" i="66"/>
  <c r="K17" i="66"/>
  <c r="H17" i="66"/>
  <c r="A17" i="66"/>
  <c r="A16" i="66"/>
  <c r="H16" i="66" s="1"/>
  <c r="H35" i="65"/>
  <c r="A35" i="65"/>
  <c r="K34" i="65"/>
  <c r="A34" i="65"/>
  <c r="H34" i="65" s="1"/>
  <c r="K33" i="65"/>
  <c r="A33" i="65"/>
  <c r="H33" i="65" s="1"/>
  <c r="K32" i="65"/>
  <c r="H32" i="65"/>
  <c r="A32" i="65"/>
  <c r="K31" i="65"/>
  <c r="H31" i="65"/>
  <c r="A31" i="65"/>
  <c r="K30" i="65"/>
  <c r="A30" i="65"/>
  <c r="H30" i="65" s="1"/>
  <c r="A29" i="65"/>
  <c r="H29" i="65" s="1"/>
  <c r="K28" i="65"/>
  <c r="K27" i="65"/>
  <c r="K26" i="65"/>
  <c r="K25" i="65"/>
  <c r="K24" i="65"/>
  <c r="K23" i="65"/>
  <c r="K22" i="65"/>
  <c r="H22" i="65"/>
  <c r="A22" i="65"/>
  <c r="K21" i="65"/>
  <c r="H21" i="65"/>
  <c r="A21" i="65"/>
  <c r="K20" i="65"/>
  <c r="A20" i="65"/>
  <c r="H20" i="65" s="1"/>
  <c r="K19" i="65"/>
  <c r="A19" i="65"/>
  <c r="H19" i="65" s="1"/>
  <c r="H18" i="65"/>
  <c r="A18" i="65"/>
  <c r="K17" i="65"/>
  <c r="H17" i="65"/>
  <c r="A17" i="65"/>
  <c r="A16" i="65"/>
  <c r="H16" i="65" s="1"/>
  <c r="A35" i="64"/>
  <c r="H35" i="64" s="1"/>
  <c r="K34" i="64"/>
  <c r="A34" i="64"/>
  <c r="H34" i="64" s="1"/>
  <c r="K33" i="64"/>
  <c r="H33" i="64"/>
  <c r="A33" i="64"/>
  <c r="K32" i="64"/>
  <c r="A32" i="64"/>
  <c r="H32" i="64" s="1"/>
  <c r="K31" i="64"/>
  <c r="A31" i="64"/>
  <c r="H31" i="64" s="1"/>
  <c r="K30" i="64"/>
  <c r="A30" i="64"/>
  <c r="H30" i="64" s="1"/>
  <c r="H29" i="64"/>
  <c r="A29" i="64"/>
  <c r="K28" i="64"/>
  <c r="K27" i="64"/>
  <c r="K26" i="64"/>
  <c r="K25" i="64"/>
  <c r="K24" i="64"/>
  <c r="K23" i="64"/>
  <c r="K22" i="64"/>
  <c r="A22" i="64"/>
  <c r="H22" i="64" s="1"/>
  <c r="K21" i="64"/>
  <c r="A21" i="64"/>
  <c r="H21" i="64" s="1"/>
  <c r="K20" i="64"/>
  <c r="A20" i="64"/>
  <c r="H20" i="64" s="1"/>
  <c r="K19" i="64"/>
  <c r="H19" i="64"/>
  <c r="A19" i="64"/>
  <c r="A18" i="64"/>
  <c r="H18" i="64" s="1"/>
  <c r="K17" i="64"/>
  <c r="A17" i="64"/>
  <c r="H17" i="64" s="1"/>
  <c r="K16" i="64"/>
  <c r="A16" i="64"/>
  <c r="H16" i="64" s="1"/>
  <c r="H35" i="63"/>
  <c r="A35" i="63"/>
  <c r="K34" i="63"/>
  <c r="A34" i="63"/>
  <c r="H34" i="63" s="1"/>
  <c r="K33" i="63"/>
  <c r="H33" i="63"/>
  <c r="A33" i="63"/>
  <c r="K32" i="63"/>
  <c r="H32" i="63"/>
  <c r="A32" i="63"/>
  <c r="K31" i="63"/>
  <c r="H31" i="63"/>
  <c r="A31" i="63"/>
  <c r="K30" i="63"/>
  <c r="A30" i="63"/>
  <c r="H30" i="63" s="1"/>
  <c r="A29" i="63"/>
  <c r="K28" i="63"/>
  <c r="K27" i="63"/>
  <c r="K26" i="63"/>
  <c r="K25" i="63"/>
  <c r="K24" i="63"/>
  <c r="K23" i="63"/>
  <c r="K22" i="63"/>
  <c r="H22" i="63"/>
  <c r="A22" i="63"/>
  <c r="K21" i="63"/>
  <c r="H21" i="63"/>
  <c r="A21" i="63"/>
  <c r="K20" i="63"/>
  <c r="A20" i="63"/>
  <c r="H20" i="63" s="1"/>
  <c r="K19" i="63"/>
  <c r="H19" i="63"/>
  <c r="A19" i="63"/>
  <c r="H18" i="63"/>
  <c r="A18" i="63"/>
  <c r="K17" i="63"/>
  <c r="H17" i="63"/>
  <c r="A17" i="63"/>
  <c r="A16" i="63"/>
  <c r="H16" i="63" s="1"/>
  <c r="A35" i="62"/>
  <c r="H35" i="62" s="1"/>
  <c r="K34" i="62"/>
  <c r="A34" i="62"/>
  <c r="H34" i="62" s="1"/>
  <c r="K33" i="62"/>
  <c r="H33" i="62"/>
  <c r="A33" i="62"/>
  <c r="K32" i="62"/>
  <c r="A32" i="62"/>
  <c r="H32" i="62" s="1"/>
  <c r="K31" i="62"/>
  <c r="A31" i="62"/>
  <c r="H31" i="62" s="1"/>
  <c r="K30" i="62"/>
  <c r="A30" i="62"/>
  <c r="H30" i="62" s="1"/>
  <c r="H29" i="62"/>
  <c r="A29" i="62"/>
  <c r="K28" i="62"/>
  <c r="K27" i="62"/>
  <c r="K26" i="62"/>
  <c r="K25" i="62"/>
  <c r="K24" i="62"/>
  <c r="K23" i="62"/>
  <c r="K22" i="62"/>
  <c r="A22" i="62"/>
  <c r="H22" i="62" s="1"/>
  <c r="K21" i="62"/>
  <c r="A21" i="62"/>
  <c r="H21" i="62" s="1"/>
  <c r="K20" i="62"/>
  <c r="A20" i="62"/>
  <c r="H20" i="62" s="1"/>
  <c r="K19" i="62"/>
  <c r="H19" i="62"/>
  <c r="A19" i="62"/>
  <c r="A18" i="62"/>
  <c r="H18" i="62" s="1"/>
  <c r="K17" i="62"/>
  <c r="A17" i="62"/>
  <c r="H17" i="62" s="1"/>
  <c r="A16" i="62"/>
  <c r="H16" i="62" s="1"/>
  <c r="H35" i="61"/>
  <c r="A35" i="61"/>
  <c r="K34" i="61"/>
  <c r="A34" i="61"/>
  <c r="H34" i="61" s="1"/>
  <c r="K33" i="61"/>
  <c r="A33" i="61"/>
  <c r="H33" i="61" s="1"/>
  <c r="K32" i="61"/>
  <c r="A32" i="61"/>
  <c r="H32" i="61" s="1"/>
  <c r="K31" i="61"/>
  <c r="H31" i="61"/>
  <c r="A31" i="61"/>
  <c r="K30" i="61"/>
  <c r="A30" i="61"/>
  <c r="H30" i="61" s="1"/>
  <c r="A29" i="61"/>
  <c r="H29" i="61" s="1"/>
  <c r="K28" i="61"/>
  <c r="K27" i="61"/>
  <c r="K26" i="61"/>
  <c r="K25" i="61"/>
  <c r="K24" i="61"/>
  <c r="K23" i="61"/>
  <c r="K22" i="61"/>
  <c r="A22" i="61"/>
  <c r="H22" i="61" s="1"/>
  <c r="K21" i="61"/>
  <c r="H21" i="61"/>
  <c r="A21" i="61"/>
  <c r="K20" i="61"/>
  <c r="A20" i="61"/>
  <c r="H20" i="61" s="1"/>
  <c r="K19" i="61"/>
  <c r="A19" i="61"/>
  <c r="H19" i="61" s="1"/>
  <c r="A18" i="61"/>
  <c r="H18" i="61" s="1"/>
  <c r="K17" i="61"/>
  <c r="H17" i="61"/>
  <c r="A17" i="61"/>
  <c r="A16" i="61"/>
  <c r="H16" i="61" s="1"/>
  <c r="H23" i="61" s="1"/>
  <c r="H26" i="61" s="1"/>
  <c r="A35" i="60"/>
  <c r="H35" i="60" s="1"/>
  <c r="K34" i="60"/>
  <c r="A34" i="60"/>
  <c r="H34" i="60" s="1"/>
  <c r="K33" i="60"/>
  <c r="H33" i="60"/>
  <c r="A33" i="60"/>
  <c r="K32" i="60"/>
  <c r="A32" i="60"/>
  <c r="H32" i="60" s="1"/>
  <c r="K31" i="60"/>
  <c r="A31" i="60"/>
  <c r="H31" i="60" s="1"/>
  <c r="K30" i="60"/>
  <c r="A30" i="60"/>
  <c r="H30" i="60" s="1"/>
  <c r="A29" i="60"/>
  <c r="K28" i="60"/>
  <c r="K27" i="60"/>
  <c r="K26" i="60"/>
  <c r="K25" i="60"/>
  <c r="K24" i="60"/>
  <c r="K23" i="60"/>
  <c r="K22" i="60"/>
  <c r="A22" i="60"/>
  <c r="H22" i="60" s="1"/>
  <c r="K21" i="60"/>
  <c r="A21" i="60"/>
  <c r="H21" i="60" s="1"/>
  <c r="K20" i="60"/>
  <c r="A20" i="60"/>
  <c r="H20" i="60" s="1"/>
  <c r="K19" i="60"/>
  <c r="H19" i="60"/>
  <c r="A19" i="60"/>
  <c r="A18" i="60"/>
  <c r="H18" i="60" s="1"/>
  <c r="K17" i="60"/>
  <c r="A17" i="60"/>
  <c r="H17" i="60" s="1"/>
  <c r="A16" i="60"/>
  <c r="H16" i="60" s="1"/>
  <c r="A35" i="59"/>
  <c r="H35" i="59" s="1"/>
  <c r="K34" i="59"/>
  <c r="A34" i="59"/>
  <c r="H34" i="59" s="1"/>
  <c r="K33" i="59"/>
  <c r="H33" i="59"/>
  <c r="A33" i="59"/>
  <c r="K32" i="59"/>
  <c r="A32" i="59"/>
  <c r="H32" i="59" s="1"/>
  <c r="K31" i="59"/>
  <c r="A31" i="59"/>
  <c r="H31" i="59" s="1"/>
  <c r="K30" i="59"/>
  <c r="A30" i="59"/>
  <c r="H30" i="59" s="1"/>
  <c r="H29" i="59"/>
  <c r="A29" i="59"/>
  <c r="K28" i="59"/>
  <c r="K27" i="59"/>
  <c r="K26" i="59"/>
  <c r="K25" i="59"/>
  <c r="K24" i="59"/>
  <c r="K23" i="59"/>
  <c r="K22" i="59"/>
  <c r="A22" i="59"/>
  <c r="H22" i="59" s="1"/>
  <c r="K21" i="59"/>
  <c r="A21" i="59"/>
  <c r="H21" i="59" s="1"/>
  <c r="K20" i="59"/>
  <c r="A20" i="59"/>
  <c r="H20" i="59" s="1"/>
  <c r="K19" i="59"/>
  <c r="H19" i="59"/>
  <c r="A19" i="59"/>
  <c r="A18" i="59"/>
  <c r="H18" i="59" s="1"/>
  <c r="K17" i="59"/>
  <c r="A17" i="59"/>
  <c r="H17" i="59" s="1"/>
  <c r="A16" i="59"/>
  <c r="H16" i="59" s="1"/>
  <c r="H35" i="58"/>
  <c r="A35" i="58"/>
  <c r="K34" i="58"/>
  <c r="A34" i="58"/>
  <c r="H34" i="58" s="1"/>
  <c r="K33" i="58"/>
  <c r="A33" i="58"/>
  <c r="H33" i="58" s="1"/>
  <c r="K32" i="58"/>
  <c r="A32" i="58"/>
  <c r="H32" i="58" s="1"/>
  <c r="K31" i="58"/>
  <c r="H31" i="58"/>
  <c r="A31" i="58"/>
  <c r="K30" i="58"/>
  <c r="A30" i="58"/>
  <c r="H30" i="58" s="1"/>
  <c r="A29" i="58"/>
  <c r="H29" i="58" s="1"/>
  <c r="K28" i="58"/>
  <c r="K27" i="58"/>
  <c r="K26" i="58"/>
  <c r="K25" i="58"/>
  <c r="K24" i="58"/>
  <c r="K23" i="58"/>
  <c r="K22" i="58"/>
  <c r="H22" i="58"/>
  <c r="A22" i="58"/>
  <c r="K21" i="58"/>
  <c r="H21" i="58"/>
  <c r="A21" i="58"/>
  <c r="K20" i="58"/>
  <c r="A20" i="58"/>
  <c r="H20" i="58" s="1"/>
  <c r="K19" i="58"/>
  <c r="A19" i="58"/>
  <c r="H19" i="58" s="1"/>
  <c r="H18" i="58"/>
  <c r="A18" i="58"/>
  <c r="K17" i="58"/>
  <c r="H17" i="58"/>
  <c r="A17" i="58"/>
  <c r="A16" i="58"/>
  <c r="H16" i="58" s="1"/>
  <c r="H35" i="57"/>
  <c r="A35" i="57"/>
  <c r="K34" i="57"/>
  <c r="A34" i="57"/>
  <c r="H34" i="57" s="1"/>
  <c r="K33" i="57"/>
  <c r="A33" i="57"/>
  <c r="H33" i="57" s="1"/>
  <c r="K32" i="57"/>
  <c r="A32" i="57"/>
  <c r="H32" i="57" s="1"/>
  <c r="K31" i="57"/>
  <c r="H31" i="57"/>
  <c r="A31" i="57"/>
  <c r="K30" i="57"/>
  <c r="A30" i="57"/>
  <c r="H30" i="57" s="1"/>
  <c r="A29" i="57"/>
  <c r="H29" i="57" s="1"/>
  <c r="K28" i="57"/>
  <c r="K27" i="57"/>
  <c r="K26" i="57"/>
  <c r="K25" i="57"/>
  <c r="K24" i="57"/>
  <c r="K23" i="57"/>
  <c r="K22" i="57"/>
  <c r="H22" i="57"/>
  <c r="A22" i="57"/>
  <c r="K21" i="57"/>
  <c r="H21" i="57"/>
  <c r="A21" i="57"/>
  <c r="K20" i="57"/>
  <c r="A20" i="57"/>
  <c r="H20" i="57" s="1"/>
  <c r="K19" i="57"/>
  <c r="A19" i="57"/>
  <c r="H19" i="57" s="1"/>
  <c r="H18" i="57"/>
  <c r="A18" i="57"/>
  <c r="K17" i="57"/>
  <c r="H17" i="57"/>
  <c r="A17" i="57"/>
  <c r="A16" i="57"/>
  <c r="H16" i="57" s="1"/>
  <c r="H35" i="56"/>
  <c r="A35" i="56"/>
  <c r="K34" i="56"/>
  <c r="A34" i="56"/>
  <c r="H34" i="56" s="1"/>
  <c r="K33" i="56"/>
  <c r="H33" i="56"/>
  <c r="A33" i="56"/>
  <c r="K32" i="56"/>
  <c r="A32" i="56"/>
  <c r="H32" i="56" s="1"/>
  <c r="K31" i="56"/>
  <c r="H31" i="56"/>
  <c r="A31" i="56"/>
  <c r="K30" i="56"/>
  <c r="A30" i="56"/>
  <c r="H30" i="56" s="1"/>
  <c r="H29" i="56"/>
  <c r="A29" i="56"/>
  <c r="K28" i="56"/>
  <c r="K27" i="56"/>
  <c r="K26" i="56"/>
  <c r="K25" i="56"/>
  <c r="K24" i="56"/>
  <c r="K23" i="56"/>
  <c r="K22" i="56"/>
  <c r="A22" i="56"/>
  <c r="H22" i="56" s="1"/>
  <c r="K21" i="56"/>
  <c r="H21" i="56"/>
  <c r="A21" i="56"/>
  <c r="K20" i="56"/>
  <c r="A20" i="56"/>
  <c r="H20" i="56" s="1"/>
  <c r="K19" i="56"/>
  <c r="H19" i="56"/>
  <c r="A19" i="56"/>
  <c r="A18" i="56"/>
  <c r="H18" i="56" s="1"/>
  <c r="K17" i="56"/>
  <c r="H17" i="56"/>
  <c r="A17" i="56"/>
  <c r="A16" i="56"/>
  <c r="H16" i="56" s="1"/>
  <c r="H35" i="55"/>
  <c r="A35" i="55"/>
  <c r="K34" i="55"/>
  <c r="A34" i="55"/>
  <c r="H34" i="55" s="1"/>
  <c r="K33" i="55"/>
  <c r="A33" i="55"/>
  <c r="H33" i="55" s="1"/>
  <c r="K32" i="55"/>
  <c r="H32" i="55"/>
  <c r="A32" i="55"/>
  <c r="K31" i="55"/>
  <c r="H31" i="55"/>
  <c r="A31" i="55"/>
  <c r="K30" i="55"/>
  <c r="A30" i="55"/>
  <c r="H30" i="55" s="1"/>
  <c r="A29" i="55"/>
  <c r="H29" i="55" s="1"/>
  <c r="K28" i="55"/>
  <c r="K27" i="55"/>
  <c r="K26" i="55"/>
  <c r="K25" i="55"/>
  <c r="K24" i="55"/>
  <c r="K23" i="55"/>
  <c r="K22" i="55"/>
  <c r="H22" i="55"/>
  <c r="A22" i="55"/>
  <c r="K21" i="55"/>
  <c r="H21" i="55"/>
  <c r="A21" i="55"/>
  <c r="K20" i="55"/>
  <c r="A20" i="55"/>
  <c r="H20" i="55" s="1"/>
  <c r="K19" i="55"/>
  <c r="A19" i="55"/>
  <c r="H19" i="55" s="1"/>
  <c r="H18" i="55"/>
  <c r="A18" i="55"/>
  <c r="K17" i="55"/>
  <c r="A17" i="55"/>
  <c r="H17" i="55" s="1"/>
  <c r="A16" i="55"/>
  <c r="H16" i="55" s="1"/>
  <c r="A35" i="54"/>
  <c r="H35" i="54" s="1"/>
  <c r="K34" i="54"/>
  <c r="A34" i="54"/>
  <c r="H34" i="54" s="1"/>
  <c r="K33" i="54"/>
  <c r="A33" i="54"/>
  <c r="H33" i="54" s="1"/>
  <c r="K32" i="54"/>
  <c r="H32" i="54"/>
  <c r="A32" i="54"/>
  <c r="K31" i="54"/>
  <c r="A31" i="54"/>
  <c r="H31" i="54" s="1"/>
  <c r="K30" i="54"/>
  <c r="A30" i="54"/>
  <c r="H30" i="54" s="1"/>
  <c r="A29" i="54"/>
  <c r="H29" i="54" s="1"/>
  <c r="K28" i="54"/>
  <c r="K27" i="54"/>
  <c r="K26" i="54"/>
  <c r="K25" i="54"/>
  <c r="K24" i="54"/>
  <c r="K23" i="54"/>
  <c r="K22" i="54"/>
  <c r="H22" i="54"/>
  <c r="A22" i="54"/>
  <c r="K21" i="54"/>
  <c r="A21" i="54"/>
  <c r="H21" i="54" s="1"/>
  <c r="K20" i="54"/>
  <c r="A20" i="54"/>
  <c r="H20" i="54" s="1"/>
  <c r="K19" i="54"/>
  <c r="A19" i="54"/>
  <c r="H19" i="54" s="1"/>
  <c r="H18" i="54"/>
  <c r="A18" i="54"/>
  <c r="K17" i="54"/>
  <c r="A17" i="54"/>
  <c r="H17" i="54" s="1"/>
  <c r="A16" i="54"/>
  <c r="H16" i="54" s="1"/>
  <c r="H35" i="53"/>
  <c r="A35" i="53"/>
  <c r="K34" i="53"/>
  <c r="A34" i="53"/>
  <c r="H34" i="53" s="1"/>
  <c r="K33" i="53"/>
  <c r="A33" i="53"/>
  <c r="H33" i="53" s="1"/>
  <c r="K32" i="53"/>
  <c r="H32" i="53"/>
  <c r="A32" i="53"/>
  <c r="K31" i="53"/>
  <c r="H31" i="53"/>
  <c r="A31" i="53"/>
  <c r="K30" i="53"/>
  <c r="A30" i="53"/>
  <c r="H30" i="53" s="1"/>
  <c r="A29" i="53"/>
  <c r="H29" i="53" s="1"/>
  <c r="K28" i="53"/>
  <c r="K27" i="53"/>
  <c r="K26" i="53"/>
  <c r="K25" i="53"/>
  <c r="K24" i="53"/>
  <c r="K23" i="53"/>
  <c r="K22" i="53"/>
  <c r="H22" i="53"/>
  <c r="A22" i="53"/>
  <c r="K21" i="53"/>
  <c r="H21" i="53"/>
  <c r="A21" i="53"/>
  <c r="K20" i="53"/>
  <c r="A20" i="53"/>
  <c r="H20" i="53" s="1"/>
  <c r="K19" i="53"/>
  <c r="A19" i="53"/>
  <c r="H19" i="53" s="1"/>
  <c r="H18" i="53"/>
  <c r="A18" i="53"/>
  <c r="K17" i="53"/>
  <c r="H17" i="53"/>
  <c r="A17" i="53"/>
  <c r="A16" i="53"/>
  <c r="H35" i="52"/>
  <c r="A35" i="52"/>
  <c r="K34" i="52"/>
  <c r="A34" i="52"/>
  <c r="H34" i="52" s="1"/>
  <c r="K33" i="52"/>
  <c r="H33" i="52"/>
  <c r="A33" i="52"/>
  <c r="K32" i="52"/>
  <c r="A32" i="52"/>
  <c r="H32" i="52" s="1"/>
  <c r="K31" i="52"/>
  <c r="H31" i="52"/>
  <c r="A31" i="52"/>
  <c r="K30" i="52"/>
  <c r="A30" i="52"/>
  <c r="H30" i="52" s="1"/>
  <c r="H29" i="52"/>
  <c r="A29" i="52"/>
  <c r="K28" i="52"/>
  <c r="K27" i="52"/>
  <c r="K26" i="52"/>
  <c r="K25" i="52"/>
  <c r="K24" i="52"/>
  <c r="K23" i="52"/>
  <c r="K22" i="52"/>
  <c r="A22" i="52"/>
  <c r="H22" i="52" s="1"/>
  <c r="K21" i="52"/>
  <c r="H21" i="52"/>
  <c r="A21" i="52"/>
  <c r="K20" i="52"/>
  <c r="A20" i="52"/>
  <c r="H20" i="52" s="1"/>
  <c r="K19" i="52"/>
  <c r="H19" i="52"/>
  <c r="A19" i="52"/>
  <c r="A18" i="52"/>
  <c r="H18" i="52" s="1"/>
  <c r="K17" i="52"/>
  <c r="H17" i="52"/>
  <c r="A17" i="52"/>
  <c r="A16" i="52"/>
  <c r="H16" i="52" s="1"/>
  <c r="H35" i="51"/>
  <c r="A35" i="51"/>
  <c r="K34" i="51"/>
  <c r="A34" i="51"/>
  <c r="H34" i="51" s="1"/>
  <c r="K33" i="51"/>
  <c r="A33" i="51"/>
  <c r="H33" i="51" s="1"/>
  <c r="K32" i="51"/>
  <c r="H32" i="51"/>
  <c r="A32" i="51"/>
  <c r="K31" i="51"/>
  <c r="H31" i="51"/>
  <c r="A31" i="51"/>
  <c r="K30" i="51"/>
  <c r="A30" i="51"/>
  <c r="H30" i="51" s="1"/>
  <c r="A29" i="51"/>
  <c r="H29" i="51" s="1"/>
  <c r="K28" i="51"/>
  <c r="K27" i="51"/>
  <c r="K26" i="51"/>
  <c r="K25" i="51"/>
  <c r="K24" i="51"/>
  <c r="K23" i="51"/>
  <c r="K22" i="51"/>
  <c r="H22" i="51"/>
  <c r="A22" i="51"/>
  <c r="K21" i="51"/>
  <c r="H21" i="51"/>
  <c r="A21" i="51"/>
  <c r="K20" i="51"/>
  <c r="A20" i="51"/>
  <c r="H20" i="51" s="1"/>
  <c r="K19" i="51"/>
  <c r="A19" i="51"/>
  <c r="H19" i="51" s="1"/>
  <c r="H18" i="51"/>
  <c r="A18" i="51"/>
  <c r="K17" i="51"/>
  <c r="A17" i="51"/>
  <c r="H17" i="51" s="1"/>
  <c r="A16" i="51"/>
  <c r="A35" i="50"/>
  <c r="H35" i="50" s="1"/>
  <c r="K34" i="50"/>
  <c r="A34" i="50"/>
  <c r="H34" i="50" s="1"/>
  <c r="K33" i="50"/>
  <c r="H33" i="50"/>
  <c r="A33" i="50"/>
  <c r="K32" i="50"/>
  <c r="A32" i="50"/>
  <c r="H32" i="50" s="1"/>
  <c r="K31" i="50"/>
  <c r="A31" i="50"/>
  <c r="H31" i="50" s="1"/>
  <c r="K30" i="50"/>
  <c r="A30" i="50"/>
  <c r="H30" i="50" s="1"/>
  <c r="H29" i="50"/>
  <c r="A29" i="50"/>
  <c r="K28" i="50"/>
  <c r="K27" i="50"/>
  <c r="K26" i="50"/>
  <c r="K25" i="50"/>
  <c r="K24" i="50"/>
  <c r="K23" i="50"/>
  <c r="K22" i="50"/>
  <c r="A22" i="50"/>
  <c r="H22" i="50" s="1"/>
  <c r="K21" i="50"/>
  <c r="A21" i="50"/>
  <c r="H21" i="50" s="1"/>
  <c r="K20" i="50"/>
  <c r="A20" i="50"/>
  <c r="H20" i="50" s="1"/>
  <c r="K19" i="50"/>
  <c r="H19" i="50"/>
  <c r="A19" i="50"/>
  <c r="A18" i="50"/>
  <c r="H18" i="50" s="1"/>
  <c r="K17" i="50"/>
  <c r="A17" i="50"/>
  <c r="H17" i="50" s="1"/>
  <c r="A16" i="50"/>
  <c r="H16" i="50" s="1"/>
  <c r="H35" i="49"/>
  <c r="A35" i="49"/>
  <c r="K34" i="49"/>
  <c r="A34" i="49"/>
  <c r="H34" i="49" s="1"/>
  <c r="K33" i="49"/>
  <c r="A33" i="49"/>
  <c r="H33" i="49" s="1"/>
  <c r="K32" i="49"/>
  <c r="A32" i="49"/>
  <c r="H32" i="49" s="1"/>
  <c r="K31" i="49"/>
  <c r="H31" i="49"/>
  <c r="A31" i="49"/>
  <c r="K30" i="49"/>
  <c r="A30" i="49"/>
  <c r="H30" i="49" s="1"/>
  <c r="A29" i="49"/>
  <c r="H29" i="49" s="1"/>
  <c r="K28" i="49"/>
  <c r="K27" i="49"/>
  <c r="K26" i="49"/>
  <c r="K25" i="49"/>
  <c r="K24" i="49"/>
  <c r="K23" i="49"/>
  <c r="K22" i="49"/>
  <c r="H22" i="49"/>
  <c r="A22" i="49"/>
  <c r="K21" i="49"/>
  <c r="H21" i="49"/>
  <c r="A21" i="49"/>
  <c r="K20" i="49"/>
  <c r="A20" i="49"/>
  <c r="H20" i="49" s="1"/>
  <c r="K19" i="49"/>
  <c r="A19" i="49"/>
  <c r="H19" i="49" s="1"/>
  <c r="H18" i="49"/>
  <c r="A18" i="49"/>
  <c r="K17" i="49"/>
  <c r="A17" i="49"/>
  <c r="H17" i="49" s="1"/>
  <c r="A16" i="49"/>
  <c r="H16" i="49" s="1"/>
  <c r="H35" i="48"/>
  <c r="A35" i="48"/>
  <c r="K34" i="48"/>
  <c r="A34" i="48"/>
  <c r="H34" i="48" s="1"/>
  <c r="K33" i="48"/>
  <c r="A33" i="48"/>
  <c r="H33" i="48" s="1"/>
  <c r="K32" i="48"/>
  <c r="H32" i="48"/>
  <c r="A32" i="48"/>
  <c r="K31" i="48"/>
  <c r="A31" i="48"/>
  <c r="H31" i="48" s="1"/>
  <c r="K30" i="48"/>
  <c r="A30" i="48"/>
  <c r="H30" i="48" s="1"/>
  <c r="A29" i="48"/>
  <c r="H29" i="48" s="1"/>
  <c r="K28" i="48"/>
  <c r="K27" i="48"/>
  <c r="K26" i="48"/>
  <c r="K25" i="48"/>
  <c r="K24" i="48"/>
  <c r="K23" i="48"/>
  <c r="K22" i="48"/>
  <c r="H22" i="48"/>
  <c r="A22" i="48"/>
  <c r="K21" i="48"/>
  <c r="A21" i="48"/>
  <c r="H21" i="48" s="1"/>
  <c r="K20" i="48"/>
  <c r="A20" i="48"/>
  <c r="H20" i="48" s="1"/>
  <c r="K19" i="48"/>
  <c r="A19" i="48"/>
  <c r="H19" i="48" s="1"/>
  <c r="H18" i="48"/>
  <c r="A18" i="48"/>
  <c r="K17" i="48"/>
  <c r="A17" i="48"/>
  <c r="H17" i="48" s="1"/>
  <c r="A16" i="48"/>
  <c r="H16" i="48" s="1"/>
  <c r="A35" i="47"/>
  <c r="H35" i="47" s="1"/>
  <c r="K34" i="47"/>
  <c r="A34" i="47"/>
  <c r="H34" i="47" s="1"/>
  <c r="K33" i="47"/>
  <c r="A33" i="47"/>
  <c r="H33" i="47" s="1"/>
  <c r="K32" i="47"/>
  <c r="H32" i="47"/>
  <c r="A32" i="47"/>
  <c r="K31" i="47"/>
  <c r="A31" i="47"/>
  <c r="H31" i="47" s="1"/>
  <c r="K30" i="47"/>
  <c r="A30" i="47"/>
  <c r="H30" i="47" s="1"/>
  <c r="A29" i="47"/>
  <c r="H29" i="47" s="1"/>
  <c r="K28" i="47"/>
  <c r="K27" i="47"/>
  <c r="K26" i="47"/>
  <c r="K25" i="47"/>
  <c r="K24" i="47"/>
  <c r="K23" i="47"/>
  <c r="K22" i="47"/>
  <c r="H22" i="47"/>
  <c r="A22" i="47"/>
  <c r="K21" i="47"/>
  <c r="A21" i="47"/>
  <c r="H21" i="47" s="1"/>
  <c r="K20" i="47"/>
  <c r="A20" i="47"/>
  <c r="H20" i="47" s="1"/>
  <c r="K19" i="47"/>
  <c r="A19" i="47"/>
  <c r="H19" i="47" s="1"/>
  <c r="H18" i="47"/>
  <c r="A18" i="47"/>
  <c r="K17" i="47"/>
  <c r="A17" i="47"/>
  <c r="H17" i="47" s="1"/>
  <c r="A16" i="47"/>
  <c r="H16" i="47" s="1"/>
  <c r="A35" i="45"/>
  <c r="H35" i="45" s="1"/>
  <c r="K34" i="45"/>
  <c r="A34" i="45"/>
  <c r="H34" i="45" s="1"/>
  <c r="K33" i="45"/>
  <c r="H33" i="45"/>
  <c r="A33" i="45"/>
  <c r="K32" i="45"/>
  <c r="A32" i="45"/>
  <c r="H32" i="45" s="1"/>
  <c r="K31" i="45"/>
  <c r="A31" i="45"/>
  <c r="H31" i="45" s="1"/>
  <c r="K30" i="45"/>
  <c r="A30" i="45"/>
  <c r="H30" i="45" s="1"/>
  <c r="H29" i="45"/>
  <c r="A29" i="45"/>
  <c r="K28" i="45"/>
  <c r="K27" i="45"/>
  <c r="K26" i="45"/>
  <c r="K25" i="45"/>
  <c r="K24" i="45"/>
  <c r="K23" i="45"/>
  <c r="K22" i="45"/>
  <c r="A22" i="45"/>
  <c r="H22" i="45" s="1"/>
  <c r="K21" i="45"/>
  <c r="A21" i="45"/>
  <c r="H21" i="45" s="1"/>
  <c r="K20" i="45"/>
  <c r="A20" i="45"/>
  <c r="H20" i="45" s="1"/>
  <c r="K19" i="45"/>
  <c r="H19" i="45"/>
  <c r="A19" i="45"/>
  <c r="A18" i="45"/>
  <c r="H18" i="45" s="1"/>
  <c r="K17" i="45"/>
  <c r="A17" i="45"/>
  <c r="H17" i="45" s="1"/>
  <c r="A16" i="45"/>
  <c r="H16" i="45" s="1"/>
  <c r="H35" i="46"/>
  <c r="A35" i="46"/>
  <c r="K34" i="46"/>
  <c r="A34" i="46"/>
  <c r="H34" i="46" s="1"/>
  <c r="K33" i="46"/>
  <c r="A33" i="46"/>
  <c r="H33" i="46" s="1"/>
  <c r="K32" i="46"/>
  <c r="A32" i="46"/>
  <c r="H32" i="46" s="1"/>
  <c r="K31" i="46"/>
  <c r="H31" i="46"/>
  <c r="A31" i="46"/>
  <c r="K30" i="46"/>
  <c r="A30" i="46"/>
  <c r="H30" i="46" s="1"/>
  <c r="A29" i="46"/>
  <c r="H29" i="46" s="1"/>
  <c r="K28" i="46"/>
  <c r="K27" i="46"/>
  <c r="K26" i="46"/>
  <c r="K25" i="46"/>
  <c r="K24" i="46"/>
  <c r="K23" i="46"/>
  <c r="K22" i="46"/>
  <c r="A22" i="46"/>
  <c r="H22" i="46" s="1"/>
  <c r="K21" i="46"/>
  <c r="H21" i="46"/>
  <c r="A21" i="46"/>
  <c r="K20" i="46"/>
  <c r="A20" i="46"/>
  <c r="H20" i="46" s="1"/>
  <c r="K19" i="46"/>
  <c r="A19" i="46"/>
  <c r="H19" i="46" s="1"/>
  <c r="A18" i="46"/>
  <c r="H18" i="46" s="1"/>
  <c r="K17" i="46"/>
  <c r="H17" i="46"/>
  <c r="A17" i="46"/>
  <c r="A16" i="46"/>
  <c r="H16" i="46" s="1"/>
  <c r="H23" i="46" s="1"/>
  <c r="H26" i="46" s="1"/>
  <c r="H23" i="50" l="1"/>
  <c r="H26" i="50" s="1"/>
  <c r="H23" i="65"/>
  <c r="H26" i="65" s="1"/>
  <c r="H23" i="57"/>
  <c r="H26" i="57" s="1"/>
  <c r="H23" i="58"/>
  <c r="H26" i="58" s="1"/>
  <c r="H23" i="62"/>
  <c r="H26" i="62" s="1"/>
  <c r="H23" i="66"/>
  <c r="H26" i="66" s="1"/>
  <c r="H23" i="60"/>
  <c r="H26" i="60" s="1"/>
  <c r="H23" i="63"/>
  <c r="H26" i="63" s="1"/>
  <c r="H23" i="68"/>
  <c r="H26" i="68" s="1"/>
  <c r="H23" i="67"/>
  <c r="H26" i="67" s="1"/>
  <c r="H36" i="67"/>
  <c r="H38" i="67" s="1"/>
  <c r="H36" i="66"/>
  <c r="H38" i="66" s="1"/>
  <c r="H36" i="65"/>
  <c r="H38" i="65" s="1"/>
  <c r="H23" i="64"/>
  <c r="H26" i="64" s="1"/>
  <c r="H36" i="64"/>
  <c r="H38" i="64" s="1"/>
  <c r="K18" i="64"/>
  <c r="H36" i="62"/>
  <c r="H38" i="62" s="1"/>
  <c r="H36" i="61"/>
  <c r="H38" i="61" s="1"/>
  <c r="H23" i="59"/>
  <c r="H26" i="59" s="1"/>
  <c r="H36" i="59"/>
  <c r="H38" i="59" s="1"/>
  <c r="H36" i="58"/>
  <c r="H38" i="58" s="1"/>
  <c r="H36" i="57"/>
  <c r="H38" i="57" s="1"/>
  <c r="H23" i="56"/>
  <c r="H26" i="56" s="1"/>
  <c r="H36" i="56"/>
  <c r="H38" i="56" s="1"/>
  <c r="H23" i="55"/>
  <c r="H26" i="55" s="1"/>
  <c r="H36" i="55"/>
  <c r="H38" i="55" s="1"/>
  <c r="H23" i="54"/>
  <c r="H26" i="54" s="1"/>
  <c r="H36" i="54"/>
  <c r="H38" i="54" s="1"/>
  <c r="H36" i="53"/>
  <c r="H38" i="53" s="1"/>
  <c r="H23" i="52"/>
  <c r="H26" i="52" s="1"/>
  <c r="H36" i="52"/>
  <c r="H38" i="52" s="1"/>
  <c r="H36" i="51"/>
  <c r="H38" i="51" s="1"/>
  <c r="H36" i="50"/>
  <c r="H38" i="50" s="1"/>
  <c r="H23" i="49"/>
  <c r="H26" i="49" s="1"/>
  <c r="H36" i="49"/>
  <c r="H38" i="49" s="1"/>
  <c r="H23" i="48"/>
  <c r="H26" i="48" s="1"/>
  <c r="H36" i="48"/>
  <c r="H38" i="48" s="1"/>
  <c r="H23" i="47"/>
  <c r="H26" i="47" s="1"/>
  <c r="H36" i="47"/>
  <c r="H38" i="47" s="1"/>
  <c r="H23" i="45"/>
  <c r="H26" i="45" s="1"/>
  <c r="H36" i="45"/>
  <c r="H38" i="45" s="1"/>
  <c r="H36" i="46"/>
  <c r="H38" i="46" s="1"/>
  <c r="K29" i="64" l="1"/>
  <c r="K35" i="64" l="1"/>
  <c r="B46" i="34"/>
  <c r="B54" i="34"/>
  <c r="K14" i="44" l="1"/>
  <c r="A55" i="34"/>
  <c r="B45" i="34"/>
  <c r="A61" i="34"/>
  <c r="B51" i="34"/>
  <c r="A37" i="34"/>
  <c r="A56" i="34"/>
  <c r="A48" i="34"/>
  <c r="A40" i="34"/>
  <c r="A57" i="34"/>
  <c r="A49" i="34"/>
  <c r="A41" i="34"/>
  <c r="A60" i="34"/>
  <c r="A53" i="34"/>
  <c r="B49" i="34"/>
  <c r="B50" i="34"/>
  <c r="B53" i="34"/>
  <c r="A44" i="34"/>
  <c r="B59" i="34"/>
  <c r="B48" i="34"/>
  <c r="A58" i="34"/>
  <c r="A54" i="34"/>
  <c r="A46" i="34"/>
  <c r="A38" i="34"/>
  <c r="B55" i="34"/>
  <c r="B47" i="34"/>
  <c r="B61" i="34"/>
  <c r="A52" i="34"/>
  <c r="A39" i="34"/>
  <c r="B56" i="34"/>
  <c r="A45" i="34"/>
  <c r="A59" i="34"/>
  <c r="A51" i="34"/>
  <c r="A43" i="34"/>
  <c r="B60" i="34"/>
  <c r="B52" i="34"/>
  <c r="B44" i="34"/>
  <c r="A47" i="34"/>
  <c r="B43" i="34"/>
  <c r="B41" i="34"/>
  <c r="B42" i="34"/>
  <c r="A36" i="34"/>
  <c r="B57" i="34"/>
  <c r="B58" i="34"/>
  <c r="A50" i="34"/>
  <c r="A42" i="34"/>
  <c r="C54" i="34"/>
  <c r="D54" i="34"/>
  <c r="C46" i="34"/>
  <c r="D46" i="34"/>
  <c r="AH21" i="43"/>
  <c r="H31" i="68" s="1"/>
  <c r="H36" i="68" s="1"/>
  <c r="H38" i="68" s="1"/>
  <c r="AH20" i="43"/>
  <c r="H29" i="63" s="1"/>
  <c r="H36" i="63" s="1"/>
  <c r="H38" i="63" s="1"/>
  <c r="AH19" i="43"/>
  <c r="H29" i="60" s="1"/>
  <c r="H36" i="60" s="1"/>
  <c r="H38" i="60" s="1"/>
  <c r="AH18" i="43"/>
  <c r="AH16" i="43"/>
  <c r="AH14" i="43"/>
  <c r="H16" i="53" s="1"/>
  <c r="H23" i="53" s="1"/>
  <c r="H26" i="53" s="1"/>
  <c r="AH13" i="43"/>
  <c r="H16" i="51" s="1"/>
  <c r="H23" i="51" s="1"/>
  <c r="H26" i="51" s="1"/>
  <c r="AH11" i="43"/>
  <c r="B10" i="68"/>
  <c r="B41" i="68"/>
  <c r="B9" i="68"/>
  <c r="B10" i="67"/>
  <c r="B41" i="67"/>
  <c r="B9" i="67"/>
  <c r="B10" i="66"/>
  <c r="B41" i="66"/>
  <c r="B9" i="66"/>
  <c r="B10" i="65"/>
  <c r="B41" i="65"/>
  <c r="B9" i="65"/>
  <c r="B10" i="64"/>
  <c r="B41" i="64"/>
  <c r="B9" i="64"/>
  <c r="B10" i="63"/>
  <c r="B41" i="63"/>
  <c r="B9" i="63"/>
  <c r="B10" i="62"/>
  <c r="B41" i="62"/>
  <c r="B9" i="62"/>
  <c r="B10" i="61"/>
  <c r="B41" i="61"/>
  <c r="B9" i="61"/>
  <c r="B10" i="60"/>
  <c r="B41" i="60"/>
  <c r="B9" i="60"/>
  <c r="B10" i="59"/>
  <c r="B41" i="59"/>
  <c r="B9" i="59"/>
  <c r="B10" i="58"/>
  <c r="B41" i="58"/>
  <c r="B9" i="58"/>
  <c r="B10" i="57"/>
  <c r="B41" i="57"/>
  <c r="B9" i="57"/>
  <c r="B10" i="56"/>
  <c r="B41" i="56"/>
  <c r="B9" i="56"/>
  <c r="B10" i="55"/>
  <c r="B41" i="55"/>
  <c r="B9" i="55"/>
  <c r="B10" i="54"/>
  <c r="B41" i="54"/>
  <c r="B9" i="54"/>
  <c r="B10" i="53"/>
  <c r="B41" i="53"/>
  <c r="B9" i="53"/>
  <c r="B10" i="52"/>
  <c r="B41" i="52"/>
  <c r="B9" i="52"/>
  <c r="B10" i="51"/>
  <c r="B41" i="51"/>
  <c r="B9" i="51"/>
  <c r="B10" i="50"/>
  <c r="B41" i="50"/>
  <c r="B9" i="50"/>
  <c r="B10" i="49"/>
  <c r="B41" i="49"/>
  <c r="B9" i="49"/>
  <c r="B10" i="48"/>
  <c r="B41" i="48"/>
  <c r="B9" i="48"/>
  <c r="B10" i="47"/>
  <c r="B41" i="47"/>
  <c r="B9" i="47"/>
  <c r="B10" i="45"/>
  <c r="B10" i="46"/>
  <c r="B41" i="46"/>
  <c r="B9" i="46"/>
  <c r="B41" i="45"/>
  <c r="B9" i="45"/>
  <c r="B10" i="44"/>
  <c r="B41" i="44"/>
  <c r="B9" i="44"/>
  <c r="B10" i="30"/>
  <c r="A16" i="30" s="1"/>
  <c r="H16" i="30" s="1"/>
  <c r="AF10" i="43"/>
  <c r="AF21" i="43" s="1"/>
  <c r="K35" i="44" l="1"/>
  <c r="A32" i="44"/>
  <c r="H32" i="44" s="1"/>
  <c r="A29" i="44"/>
  <c r="H29" i="44" s="1"/>
  <c r="A21" i="44"/>
  <c r="H21" i="44" s="1"/>
  <c r="A19" i="44"/>
  <c r="H19" i="44" s="1"/>
  <c r="A35" i="44"/>
  <c r="H35" i="44" s="1"/>
  <c r="A22" i="44"/>
  <c r="H22" i="44" s="1"/>
  <c r="A17" i="44"/>
  <c r="H17" i="44" s="1"/>
  <c r="A30" i="44"/>
  <c r="H30" i="44" s="1"/>
  <c r="A34" i="44"/>
  <c r="H34" i="44" s="1"/>
  <c r="A31" i="44"/>
  <c r="H31" i="44" s="1"/>
  <c r="A20" i="44"/>
  <c r="H20" i="44" s="1"/>
  <c r="A18" i="44"/>
  <c r="H18" i="44" s="1"/>
  <c r="A16" i="44"/>
  <c r="H16" i="44" s="1"/>
  <c r="A33" i="44"/>
  <c r="H33" i="44" s="1"/>
  <c r="C58" i="34"/>
  <c r="D58" i="34"/>
  <c r="C57" i="34"/>
  <c r="D57" i="34"/>
  <c r="D60" i="34"/>
  <c r="C60" i="34"/>
  <c r="D61" i="34"/>
  <c r="C61" i="34"/>
  <c r="C55" i="34"/>
  <c r="D55" i="34"/>
  <c r="C53" i="34"/>
  <c r="D53" i="34"/>
  <c r="C42" i="34"/>
  <c r="D42" i="34"/>
  <c r="C56" i="34"/>
  <c r="D56" i="34"/>
  <c r="D48" i="34"/>
  <c r="C48" i="34"/>
  <c r="D45" i="34"/>
  <c r="C45" i="34"/>
  <c r="C43" i="34"/>
  <c r="D43" i="34"/>
  <c r="D41" i="34"/>
  <c r="C41" i="34"/>
  <c r="C44" i="34"/>
  <c r="D44" i="34"/>
  <c r="D59" i="34"/>
  <c r="C59" i="34"/>
  <c r="D50" i="34"/>
  <c r="C50" i="34"/>
  <c r="C52" i="34"/>
  <c r="D52" i="34"/>
  <c r="C47" i="34"/>
  <c r="D47" i="34"/>
  <c r="C49" i="34"/>
  <c r="D49" i="34"/>
  <c r="C51" i="34"/>
  <c r="D51" i="34"/>
  <c r="AF11" i="43"/>
  <c r="H23" i="44" l="1"/>
  <c r="H26" i="44" s="1"/>
  <c r="H36" i="44"/>
  <c r="H38" i="44" s="1"/>
  <c r="B36" i="43"/>
  <c r="B38" i="43" s="1"/>
  <c r="B27" i="43"/>
  <c r="B29" i="43" s="1"/>
  <c r="C29" i="43" s="1"/>
  <c r="D29" i="43" s="1"/>
  <c r="E29" i="43" s="1"/>
  <c r="F29" i="43" s="1"/>
  <c r="G29" i="43" s="1"/>
  <c r="H29" i="43" s="1"/>
  <c r="B30" i="43" s="1"/>
  <c r="B28" i="43" s="1"/>
  <c r="B18" i="43"/>
  <c r="B20" i="43" s="1"/>
  <c r="J36" i="43"/>
  <c r="J38" i="43" s="1"/>
  <c r="K38" i="43" s="1"/>
  <c r="L38" i="43" s="1"/>
  <c r="M38" i="43" s="1"/>
  <c r="J27" i="43"/>
  <c r="J29" i="43" s="1"/>
  <c r="K29" i="43" s="1"/>
  <c r="L29" i="43" s="1"/>
  <c r="J18" i="43"/>
  <c r="J20" i="43" s="1"/>
  <c r="K20" i="43" s="1"/>
  <c r="R36" i="43"/>
  <c r="R38" i="43" s="1"/>
  <c r="S38" i="43" s="1"/>
  <c r="T38" i="43" s="1"/>
  <c r="U38" i="43" s="1"/>
  <c r="V38" i="43" s="1"/>
  <c r="W38" i="43" s="1"/>
  <c r="X38" i="43" s="1"/>
  <c r="R39" i="43" s="1"/>
  <c r="R37" i="43" s="1"/>
  <c r="R27" i="43"/>
  <c r="R29" i="43" s="1"/>
  <c r="S29" i="43" s="1"/>
  <c r="T29" i="43" s="1"/>
  <c r="U29" i="43" s="1"/>
  <c r="V29" i="43" s="1"/>
  <c r="W29" i="43" s="1"/>
  <c r="X29" i="43" s="1"/>
  <c r="R30" i="43" s="1"/>
  <c r="S30" i="43" s="1"/>
  <c r="R18" i="43"/>
  <c r="R20" i="43" s="1"/>
  <c r="S20" i="43" s="1"/>
  <c r="T20" i="43" s="1"/>
  <c r="U20" i="43" s="1"/>
  <c r="V20" i="43" s="1"/>
  <c r="L14" i="46" l="1"/>
  <c r="C38" i="43"/>
  <c r="D38" i="43" s="1"/>
  <c r="E38" i="43" s="1"/>
  <c r="F38" i="43" s="1"/>
  <c r="G38" i="43" s="1"/>
  <c r="H38" i="43" s="1"/>
  <c r="B39" i="43" s="1"/>
  <c r="B37" i="43" s="1"/>
  <c r="C30" i="43"/>
  <c r="C20" i="43"/>
  <c r="D20" i="43" s="1"/>
  <c r="E20" i="43" s="1"/>
  <c r="F20" i="43" s="1"/>
  <c r="G20" i="43" s="1"/>
  <c r="H20" i="43" s="1"/>
  <c r="B21" i="43" s="1"/>
  <c r="B19" i="43" s="1"/>
  <c r="N38" i="43"/>
  <c r="O38" i="43" s="1"/>
  <c r="P38" i="43" s="1"/>
  <c r="J39" i="43" s="1"/>
  <c r="J37" i="43" s="1"/>
  <c r="M29" i="43"/>
  <c r="N29" i="43" s="1"/>
  <c r="O29" i="43" s="1"/>
  <c r="P29" i="43" s="1"/>
  <c r="J30" i="43" s="1"/>
  <c r="J28" i="43" s="1"/>
  <c r="L20" i="43"/>
  <c r="M20" i="43" s="1"/>
  <c r="N20" i="43" s="1"/>
  <c r="O20" i="43" s="1"/>
  <c r="P20" i="43" s="1"/>
  <c r="J21" i="43" s="1"/>
  <c r="J19" i="43" s="1"/>
  <c r="S39" i="43"/>
  <c r="S28" i="43"/>
  <c r="T30" i="43"/>
  <c r="R28" i="43"/>
  <c r="W20" i="43"/>
  <c r="X20" i="43" s="1"/>
  <c r="R21" i="43" s="1"/>
  <c r="S21" i="43" s="1"/>
  <c r="S19" i="43" s="1"/>
  <c r="C10" i="42"/>
  <c r="K16" i="46" l="1"/>
  <c r="B40" i="34"/>
  <c r="C40" i="34" s="1"/>
  <c r="B39" i="34"/>
  <c r="C11" i="42"/>
  <c r="AF16" i="68"/>
  <c r="AF17" i="68" s="1"/>
  <c r="AF11" i="68"/>
  <c r="AF12" i="68" s="1"/>
  <c r="AF14" i="67"/>
  <c r="AF15" i="67" s="1"/>
  <c r="AF16" i="66"/>
  <c r="AF17" i="66" s="1"/>
  <c r="AF11" i="66"/>
  <c r="AF12" i="66" s="1"/>
  <c r="AF20" i="65"/>
  <c r="AF18" i="65"/>
  <c r="AF10" i="65"/>
  <c r="AF16" i="64"/>
  <c r="AF17" i="64" s="1"/>
  <c r="AF11" i="64"/>
  <c r="AF12" i="64" s="1"/>
  <c r="AF14" i="63"/>
  <c r="AF15" i="63" s="1"/>
  <c r="AF16" i="62"/>
  <c r="AF17" i="62" s="1"/>
  <c r="AF11" i="62"/>
  <c r="AF12" i="62" s="1"/>
  <c r="AF19" i="61"/>
  <c r="AF13" i="61"/>
  <c r="AF20" i="60"/>
  <c r="AF18" i="60"/>
  <c r="AF10" i="60"/>
  <c r="AF19" i="59"/>
  <c r="AF13" i="59"/>
  <c r="AF20" i="58"/>
  <c r="AF18" i="58"/>
  <c r="AF10" i="58"/>
  <c r="AF19" i="57"/>
  <c r="AF13" i="57"/>
  <c r="AF14" i="56"/>
  <c r="AF15" i="56" s="1"/>
  <c r="AF20" i="55"/>
  <c r="AF18" i="55"/>
  <c r="AF10" i="55"/>
  <c r="AF16" i="54"/>
  <c r="AF17" i="54" s="1"/>
  <c r="AF11" i="54"/>
  <c r="AF12" i="54" s="1"/>
  <c r="AF19" i="53"/>
  <c r="AF13" i="53"/>
  <c r="AF14" i="52"/>
  <c r="AF15" i="52" s="1"/>
  <c r="AF20" i="51"/>
  <c r="AF18" i="51"/>
  <c r="AF10" i="51"/>
  <c r="AF16" i="50"/>
  <c r="AF17" i="50" s="1"/>
  <c r="AF11" i="50"/>
  <c r="AF12" i="50" s="1"/>
  <c r="AF19" i="49"/>
  <c r="AF13" i="49"/>
  <c r="AF14" i="48"/>
  <c r="AF15" i="48" s="1"/>
  <c r="AF20" i="47"/>
  <c r="AF18" i="47"/>
  <c r="AF10" i="47"/>
  <c r="AF19" i="46"/>
  <c r="AF13" i="46"/>
  <c r="AF19" i="45"/>
  <c r="AF13" i="45"/>
  <c r="AF14" i="44"/>
  <c r="AF15" i="44" s="1"/>
  <c r="AF18" i="67"/>
  <c r="AF16" i="65"/>
  <c r="AF17" i="65" s="1"/>
  <c r="AF19" i="64"/>
  <c r="AF20" i="63"/>
  <c r="AF10" i="63"/>
  <c r="AF16" i="58"/>
  <c r="AF17" i="58" s="1"/>
  <c r="AF11" i="58"/>
  <c r="AF12" i="58" s="1"/>
  <c r="AF20" i="56"/>
  <c r="AF10" i="56"/>
  <c r="AF11" i="55"/>
  <c r="AF12" i="55" s="1"/>
  <c r="AF19" i="54"/>
  <c r="AF18" i="48"/>
  <c r="AF11" i="47"/>
  <c r="AF12" i="47" s="1"/>
  <c r="AF14" i="46"/>
  <c r="AF15" i="46" s="1"/>
  <c r="AF14" i="45"/>
  <c r="AF15" i="45" s="1"/>
  <c r="AF20" i="44"/>
  <c r="AF10" i="44"/>
  <c r="AF20" i="68"/>
  <c r="AF18" i="68"/>
  <c r="AF10" i="68"/>
  <c r="AF19" i="67"/>
  <c r="AF13" i="67"/>
  <c r="AF20" i="66"/>
  <c r="AF18" i="66"/>
  <c r="AF10" i="66"/>
  <c r="AF14" i="65"/>
  <c r="AF15" i="65" s="1"/>
  <c r="AF20" i="64"/>
  <c r="AF18" i="64"/>
  <c r="AF10" i="64"/>
  <c r="AF19" i="63"/>
  <c r="AF13" i="63"/>
  <c r="AF20" i="62"/>
  <c r="AF18" i="62"/>
  <c r="AF10" i="62"/>
  <c r="AF16" i="61"/>
  <c r="AF17" i="61" s="1"/>
  <c r="AF11" i="61"/>
  <c r="AF12" i="61" s="1"/>
  <c r="AF14" i="60"/>
  <c r="AF15" i="60" s="1"/>
  <c r="AF16" i="59"/>
  <c r="AF17" i="59" s="1"/>
  <c r="AF11" i="59"/>
  <c r="AF12" i="59" s="1"/>
  <c r="AF14" i="58"/>
  <c r="AF15" i="58" s="1"/>
  <c r="AF16" i="57"/>
  <c r="AF17" i="57" s="1"/>
  <c r="AF11" i="57"/>
  <c r="AF12" i="57" s="1"/>
  <c r="AF19" i="56"/>
  <c r="AF13" i="56"/>
  <c r="AF14" i="55"/>
  <c r="AF15" i="55" s="1"/>
  <c r="AF20" i="54"/>
  <c r="AF18" i="54"/>
  <c r="AF10" i="54"/>
  <c r="AF16" i="53"/>
  <c r="AF17" i="53" s="1"/>
  <c r="AF11" i="53"/>
  <c r="AF12" i="53" s="1"/>
  <c r="AF19" i="52"/>
  <c r="AF13" i="52"/>
  <c r="AF14" i="51"/>
  <c r="AF15" i="51" s="1"/>
  <c r="AF20" i="50"/>
  <c r="AF18" i="50"/>
  <c r="AF10" i="50"/>
  <c r="AF16" i="49"/>
  <c r="AF17" i="49" s="1"/>
  <c r="AF11" i="49"/>
  <c r="AF12" i="49" s="1"/>
  <c r="AF19" i="48"/>
  <c r="AF13" i="48"/>
  <c r="AF14" i="47"/>
  <c r="AF15" i="47" s="1"/>
  <c r="AF16" i="46"/>
  <c r="AF17" i="46" s="1"/>
  <c r="AF11" i="46"/>
  <c r="AF12" i="46" s="1"/>
  <c r="AF16" i="45"/>
  <c r="AF17" i="45" s="1"/>
  <c r="AF11" i="45"/>
  <c r="AF12" i="45" s="1"/>
  <c r="AF19" i="44"/>
  <c r="AF13" i="44"/>
  <c r="AF13" i="66"/>
  <c r="AF18" i="63"/>
  <c r="AF13" i="62"/>
  <c r="AF14" i="61"/>
  <c r="AF15" i="61" s="1"/>
  <c r="AF16" i="60"/>
  <c r="AF17" i="60" s="1"/>
  <c r="AF11" i="60"/>
  <c r="AF12" i="60" s="1"/>
  <c r="AF14" i="59"/>
  <c r="AF15" i="59" s="1"/>
  <c r="AF16" i="51"/>
  <c r="AF17" i="51" s="1"/>
  <c r="AF19" i="50"/>
  <c r="AF18" i="44"/>
  <c r="AF14" i="68"/>
  <c r="AF15" i="68" s="1"/>
  <c r="AF16" i="67"/>
  <c r="AF17" i="67" s="1"/>
  <c r="AF11" i="67"/>
  <c r="AF12" i="67" s="1"/>
  <c r="AF14" i="66"/>
  <c r="AF15" i="66" s="1"/>
  <c r="AF19" i="65"/>
  <c r="AF13" i="65"/>
  <c r="AF14" i="64"/>
  <c r="AF15" i="64" s="1"/>
  <c r="AF16" i="63"/>
  <c r="AF17" i="63" s="1"/>
  <c r="AF11" i="63"/>
  <c r="AF12" i="63" s="1"/>
  <c r="AF14" i="62"/>
  <c r="AF15" i="62" s="1"/>
  <c r="AF20" i="61"/>
  <c r="AF18" i="61"/>
  <c r="AF10" i="61"/>
  <c r="AF19" i="60"/>
  <c r="AF13" i="60"/>
  <c r="AF20" i="59"/>
  <c r="AF18" i="59"/>
  <c r="AF10" i="59"/>
  <c r="AF19" i="58"/>
  <c r="AF13" i="58"/>
  <c r="AF20" i="57"/>
  <c r="AF18" i="57"/>
  <c r="AF10" i="57"/>
  <c r="AF16" i="56"/>
  <c r="AF17" i="56" s="1"/>
  <c r="AF11" i="56"/>
  <c r="AF12" i="56" s="1"/>
  <c r="AF19" i="55"/>
  <c r="AF13" i="55"/>
  <c r="AF14" i="54"/>
  <c r="AF15" i="54" s="1"/>
  <c r="AF20" i="53"/>
  <c r="AF18" i="53"/>
  <c r="AF10" i="53"/>
  <c r="AF16" i="52"/>
  <c r="AF17" i="52" s="1"/>
  <c r="AF11" i="52"/>
  <c r="AF12" i="52" s="1"/>
  <c r="AF19" i="51"/>
  <c r="AF13" i="51"/>
  <c r="AF14" i="50"/>
  <c r="AF15" i="50" s="1"/>
  <c r="AF20" i="49"/>
  <c r="AF18" i="49"/>
  <c r="AF10" i="49"/>
  <c r="AF16" i="48"/>
  <c r="AF17" i="48" s="1"/>
  <c r="AF11" i="48"/>
  <c r="AF12" i="48" s="1"/>
  <c r="AF19" i="47"/>
  <c r="AF13" i="47"/>
  <c r="AF20" i="46"/>
  <c r="AF18" i="46"/>
  <c r="AF10" i="46"/>
  <c r="AF20" i="45"/>
  <c r="AF18" i="45"/>
  <c r="AF10" i="45"/>
  <c r="AF16" i="44"/>
  <c r="AF17" i="44" s="1"/>
  <c r="AF11" i="44"/>
  <c r="AF12" i="44" s="1"/>
  <c r="AF19" i="68"/>
  <c r="AF13" i="68"/>
  <c r="AF20" i="67"/>
  <c r="AF10" i="67"/>
  <c r="AF19" i="66"/>
  <c r="AF11" i="65"/>
  <c r="AF12" i="65" s="1"/>
  <c r="AF13" i="64"/>
  <c r="AF19" i="62"/>
  <c r="AF14" i="57"/>
  <c r="AF15" i="57" s="1"/>
  <c r="AF18" i="56"/>
  <c r="AF16" i="55"/>
  <c r="AF17" i="55" s="1"/>
  <c r="AF13" i="54"/>
  <c r="AF14" i="53"/>
  <c r="AF15" i="53" s="1"/>
  <c r="AF20" i="52"/>
  <c r="AF18" i="52"/>
  <c r="AF10" i="52"/>
  <c r="AF11" i="51"/>
  <c r="AF12" i="51" s="1"/>
  <c r="AF13" i="50"/>
  <c r="AF14" i="49"/>
  <c r="AF15" i="49" s="1"/>
  <c r="AF20" i="48"/>
  <c r="AF10" i="48"/>
  <c r="AF16" i="47"/>
  <c r="AF17" i="47" s="1"/>
  <c r="AF18" i="30"/>
  <c r="AF11" i="30"/>
  <c r="AF12" i="30" s="1"/>
  <c r="AF16" i="30"/>
  <c r="AF17" i="30" s="1"/>
  <c r="AF10" i="30"/>
  <c r="AF20" i="30"/>
  <c r="AF14" i="30"/>
  <c r="AF15" i="30" s="1"/>
  <c r="AF19" i="30"/>
  <c r="AF13" i="30"/>
  <c r="AF15" i="43"/>
  <c r="C14" i="42"/>
  <c r="AF17" i="43"/>
  <c r="AF18" i="43" s="1"/>
  <c r="AF12" i="43"/>
  <c r="AF20" i="43"/>
  <c r="AF14" i="43"/>
  <c r="AF19" i="43"/>
  <c r="R19" i="43"/>
  <c r="K21" i="43"/>
  <c r="L21" i="43" s="1"/>
  <c r="K39" i="43"/>
  <c r="K37" i="43" s="1"/>
  <c r="C39" i="43"/>
  <c r="C37" i="43" s="1"/>
  <c r="T21" i="43"/>
  <c r="U21" i="43" s="1"/>
  <c r="K30" i="43"/>
  <c r="L30" i="43" s="1"/>
  <c r="C21" i="43"/>
  <c r="D21" i="43" s="1"/>
  <c r="D30" i="43"/>
  <c r="C28" i="43"/>
  <c r="S37" i="43"/>
  <c r="T39" i="43"/>
  <c r="U30" i="43"/>
  <c r="T28" i="43"/>
  <c r="C17" i="42"/>
  <c r="C18" i="42"/>
  <c r="C12" i="42"/>
  <c r="R9" i="43"/>
  <c r="R11" i="43" s="1"/>
  <c r="S11" i="43" s="1"/>
  <c r="T11" i="43" s="1"/>
  <c r="U11" i="43" s="1"/>
  <c r="V11" i="43" s="1"/>
  <c r="W11" i="43" s="1"/>
  <c r="X11" i="43" s="1"/>
  <c r="R12" i="43" s="1"/>
  <c r="J9" i="43"/>
  <c r="J11" i="43" s="1"/>
  <c r="K11" i="43" s="1"/>
  <c r="L11" i="43" s="1"/>
  <c r="M11" i="43" s="1"/>
  <c r="N11" i="43" s="1"/>
  <c r="O11" i="43" s="1"/>
  <c r="P11" i="43" s="1"/>
  <c r="J12" i="43" s="1"/>
  <c r="K18" i="46" l="1"/>
  <c r="D40" i="34"/>
  <c r="C39" i="34"/>
  <c r="D39" i="34"/>
  <c r="AF13" i="43"/>
  <c r="AB10" i="30"/>
  <c r="AB10" i="48"/>
  <c r="AB10" i="64"/>
  <c r="AB10" i="56"/>
  <c r="AB10" i="52"/>
  <c r="AB10" i="67"/>
  <c r="AB10" i="66"/>
  <c r="AB10" i="44"/>
  <c r="AB10" i="63"/>
  <c r="AB10" i="58"/>
  <c r="AB10" i="57"/>
  <c r="AB10" i="50"/>
  <c r="AB10" i="54"/>
  <c r="AB10" i="68"/>
  <c r="AB10" i="60"/>
  <c r="AB10" i="46"/>
  <c r="AB10" i="59"/>
  <c r="AB10" i="47"/>
  <c r="AB10" i="51"/>
  <c r="AB10" i="55"/>
  <c r="AB10" i="49"/>
  <c r="AB10" i="53"/>
  <c r="AB10" i="45"/>
  <c r="AB10" i="61"/>
  <c r="AB10" i="62"/>
  <c r="AB10" i="65"/>
  <c r="AF16" i="43"/>
  <c r="K28" i="43"/>
  <c r="K19" i="43"/>
  <c r="C19" i="43"/>
  <c r="D39" i="43"/>
  <c r="E39" i="43" s="1"/>
  <c r="L39" i="43"/>
  <c r="M39" i="43" s="1"/>
  <c r="T19" i="43"/>
  <c r="E30" i="43"/>
  <c r="D28" i="43"/>
  <c r="D19" i="43"/>
  <c r="E21" i="43"/>
  <c r="L28" i="43"/>
  <c r="M30" i="43"/>
  <c r="L19" i="43"/>
  <c r="M21" i="43"/>
  <c r="U39" i="43"/>
  <c r="T37" i="43"/>
  <c r="U28" i="43"/>
  <c r="V30" i="43"/>
  <c r="U19" i="43"/>
  <c r="V21" i="43"/>
  <c r="B9" i="43"/>
  <c r="K29" i="46" l="1"/>
  <c r="D37" i="43"/>
  <c r="L37" i="43"/>
  <c r="E37" i="43"/>
  <c r="F39" i="43"/>
  <c r="E28" i="43"/>
  <c r="F30" i="43"/>
  <c r="E19" i="43"/>
  <c r="F21" i="43"/>
  <c r="M37" i="43"/>
  <c r="N39" i="43"/>
  <c r="M28" i="43"/>
  <c r="N30" i="43"/>
  <c r="N21" i="43"/>
  <c r="M19" i="43"/>
  <c r="V39" i="43"/>
  <c r="U37" i="43"/>
  <c r="V28" i="43"/>
  <c r="W30" i="43"/>
  <c r="V19" i="43"/>
  <c r="W21" i="43"/>
  <c r="B11" i="43"/>
  <c r="C13" i="42"/>
  <c r="A22" i="34" l="1"/>
  <c r="K35" i="46"/>
  <c r="B27" i="34" s="1"/>
  <c r="C27" i="34" s="1"/>
  <c r="D27" i="34" s="1"/>
  <c r="D41" i="67"/>
  <c r="A41" i="67"/>
  <c r="E41" i="67" s="1"/>
  <c r="D41" i="53"/>
  <c r="A41" i="53"/>
  <c r="E41" i="53" s="1"/>
  <c r="A22" i="30"/>
  <c r="H22" i="30" s="1"/>
  <c r="F37" i="43"/>
  <c r="G39" i="43"/>
  <c r="F28" i="43"/>
  <c r="G30" i="43"/>
  <c r="F19" i="43"/>
  <c r="G21" i="43"/>
  <c r="N37" i="43"/>
  <c r="O39" i="43"/>
  <c r="N28" i="43"/>
  <c r="O30" i="43"/>
  <c r="N19" i="43"/>
  <c r="O21" i="43"/>
  <c r="V37" i="43"/>
  <c r="W39" i="43"/>
  <c r="W28" i="43"/>
  <c r="X30" i="43"/>
  <c r="W19" i="43"/>
  <c r="X21" i="43"/>
  <c r="C11" i="43"/>
  <c r="C25" i="34" l="1"/>
  <c r="D25" i="34" s="1"/>
  <c r="C24" i="34"/>
  <c r="D24" i="34" s="1"/>
  <c r="C23" i="34"/>
  <c r="D23" i="34" s="1"/>
  <c r="B30" i="34"/>
  <c r="C30" i="34" s="1"/>
  <c r="D30" i="34" s="1"/>
  <c r="B26" i="34"/>
  <c r="C26" i="34" s="1"/>
  <c r="D26" i="34" s="1"/>
  <c r="A23" i="34"/>
  <c r="B32" i="34"/>
  <c r="C32" i="34" s="1"/>
  <c r="D32" i="34" s="1"/>
  <c r="A24" i="34"/>
  <c r="A26" i="34"/>
  <c r="B36" i="34"/>
  <c r="C36" i="34" s="1"/>
  <c r="A31" i="34"/>
  <c r="B34" i="34"/>
  <c r="D34" i="34" s="1"/>
  <c r="B29" i="34"/>
  <c r="C29" i="34" s="1"/>
  <c r="D29" i="34" s="1"/>
  <c r="A28" i="34"/>
  <c r="B38" i="34"/>
  <c r="B28" i="34"/>
  <c r="C28" i="34" s="1"/>
  <c r="D28" i="34" s="1"/>
  <c r="B35" i="34"/>
  <c r="L14" i="45"/>
  <c r="K16" i="45" s="1"/>
  <c r="A30" i="34"/>
  <c r="B33" i="34"/>
  <c r="A29" i="34"/>
  <c r="B31" i="34"/>
  <c r="C31" i="34" s="1"/>
  <c r="D31" i="34" s="1"/>
  <c r="B37" i="34"/>
  <c r="A33" i="34"/>
  <c r="A32" i="34"/>
  <c r="A27" i="34"/>
  <c r="A25" i="34"/>
  <c r="A35" i="34"/>
  <c r="A34" i="34"/>
  <c r="D41" i="49"/>
  <c r="D41" i="50"/>
  <c r="D41" i="65"/>
  <c r="A41" i="65"/>
  <c r="E41" i="65" s="1"/>
  <c r="A41" i="50"/>
  <c r="E41" i="50" s="1"/>
  <c r="D41" i="45"/>
  <c r="A41" i="45"/>
  <c r="E41" i="45" s="1"/>
  <c r="D41" i="55"/>
  <c r="A41" i="55"/>
  <c r="E41" i="55" s="1"/>
  <c r="D41" i="44"/>
  <c r="A41" i="44"/>
  <c r="F41" i="44" s="1"/>
  <c r="D41" i="59"/>
  <c r="A41" i="59"/>
  <c r="E41" i="59" s="1"/>
  <c r="D41" i="60"/>
  <c r="A41" i="60"/>
  <c r="E41" i="60" s="1"/>
  <c r="D41" i="66"/>
  <c r="A41" i="66"/>
  <c r="E41" i="66" s="1"/>
  <c r="D41" i="47"/>
  <c r="A41" i="47"/>
  <c r="E41" i="47" s="1"/>
  <c r="D41" i="68"/>
  <c r="A41" i="68"/>
  <c r="E41" i="68" s="1"/>
  <c r="D41" i="64"/>
  <c r="A41" i="64"/>
  <c r="E41" i="64" s="1"/>
  <c r="D41" i="57"/>
  <c r="A41" i="57"/>
  <c r="E41" i="57" s="1"/>
  <c r="D41" i="58"/>
  <c r="A41" i="58"/>
  <c r="E41" i="58" s="1"/>
  <c r="D41" i="63"/>
  <c r="A41" i="63"/>
  <c r="E41" i="63" s="1"/>
  <c r="A41" i="49"/>
  <c r="E41" i="49" s="1"/>
  <c r="D41" i="48"/>
  <c r="A41" i="48"/>
  <c r="E41" i="48" s="1"/>
  <c r="A41" i="54"/>
  <c r="E41" i="54" s="1"/>
  <c r="D41" i="61"/>
  <c r="A41" i="61"/>
  <c r="E41" i="61" s="1"/>
  <c r="A41" i="51"/>
  <c r="E41" i="51" s="1"/>
  <c r="D41" i="62"/>
  <c r="A41" i="62"/>
  <c r="E41" i="62" s="1"/>
  <c r="D41" i="46"/>
  <c r="A41" i="46"/>
  <c r="E41" i="46" s="1"/>
  <c r="D41" i="54"/>
  <c r="D41" i="52"/>
  <c r="A41" i="52"/>
  <c r="E41" i="52" s="1"/>
  <c r="D41" i="56"/>
  <c r="A41" i="56"/>
  <c r="E41" i="56" s="1"/>
  <c r="D41" i="51"/>
  <c r="D11" i="43"/>
  <c r="E11" i="43" s="1"/>
  <c r="F11" i="43" s="1"/>
  <c r="G11" i="43" s="1"/>
  <c r="H11" i="43" s="1"/>
  <c r="B12" i="43" s="1"/>
  <c r="B10" i="43" s="1"/>
  <c r="A21" i="30"/>
  <c r="H21" i="30" s="1"/>
  <c r="H39" i="43"/>
  <c r="G37" i="43"/>
  <c r="H30" i="43"/>
  <c r="G28" i="43"/>
  <c r="H21" i="43"/>
  <c r="G19" i="43"/>
  <c r="P39" i="43"/>
  <c r="O37" i="43"/>
  <c r="P30" i="43"/>
  <c r="O28" i="43"/>
  <c r="P21" i="43"/>
  <c r="O19" i="43"/>
  <c r="W37" i="43"/>
  <c r="X39" i="43"/>
  <c r="R31" i="43"/>
  <c r="S31" i="43" s="1"/>
  <c r="T31" i="43" s="1"/>
  <c r="U31" i="43" s="1"/>
  <c r="V31" i="43" s="1"/>
  <c r="W31" i="43" s="1"/>
  <c r="X31" i="43" s="1"/>
  <c r="R32" i="43" s="1"/>
  <c r="S32" i="43" s="1"/>
  <c r="T32" i="43" s="1"/>
  <c r="U32" i="43" s="1"/>
  <c r="V32" i="43" s="1"/>
  <c r="W32" i="43" s="1"/>
  <c r="X32" i="43" s="1"/>
  <c r="R33" i="43" s="1"/>
  <c r="S33" i="43" s="1"/>
  <c r="T33" i="43" s="1"/>
  <c r="U33" i="43" s="1"/>
  <c r="V33" i="43" s="1"/>
  <c r="W33" i="43" s="1"/>
  <c r="X33" i="43" s="1"/>
  <c r="R34" i="43" s="1"/>
  <c r="S34" i="43" s="1"/>
  <c r="T34" i="43" s="1"/>
  <c r="U34" i="43" s="1"/>
  <c r="V34" i="43" s="1"/>
  <c r="W34" i="43" s="1"/>
  <c r="X34" i="43" s="1"/>
  <c r="X28" i="43"/>
  <c r="R22" i="43"/>
  <c r="S22" i="43" s="1"/>
  <c r="T22" i="43" s="1"/>
  <c r="U22" i="43" s="1"/>
  <c r="V22" i="43" s="1"/>
  <c r="W22" i="43" s="1"/>
  <c r="X22" i="43" s="1"/>
  <c r="R23" i="43" s="1"/>
  <c r="S23" i="43" s="1"/>
  <c r="T23" i="43" s="1"/>
  <c r="U23" i="43" s="1"/>
  <c r="V23" i="43" s="1"/>
  <c r="W23" i="43" s="1"/>
  <c r="X23" i="43" s="1"/>
  <c r="R24" i="43" s="1"/>
  <c r="S24" i="43" s="1"/>
  <c r="T24" i="43" s="1"/>
  <c r="U24" i="43" s="1"/>
  <c r="V24" i="43" s="1"/>
  <c r="W24" i="43" s="1"/>
  <c r="X24" i="43" s="1"/>
  <c r="R25" i="43" s="1"/>
  <c r="S25" i="43" s="1"/>
  <c r="T25" i="43" s="1"/>
  <c r="U25" i="43" s="1"/>
  <c r="V25" i="43" s="1"/>
  <c r="W25" i="43" s="1"/>
  <c r="X25" i="43" s="1"/>
  <c r="X19" i="43"/>
  <c r="A34" i="30"/>
  <c r="H34" i="30" s="1"/>
  <c r="A31" i="30"/>
  <c r="H31" i="30" s="1"/>
  <c r="A30" i="30"/>
  <c r="A35" i="30"/>
  <c r="A19" i="30"/>
  <c r="H19" i="30" s="1"/>
  <c r="A33" i="30"/>
  <c r="H33" i="30" s="1"/>
  <c r="H35" i="30" l="1"/>
  <c r="C22" i="34"/>
  <c r="D22" i="34" s="1"/>
  <c r="H30" i="30"/>
  <c r="E10" i="34"/>
  <c r="D36" i="34"/>
  <c r="C34" i="34"/>
  <c r="C33" i="34"/>
  <c r="D33" i="34"/>
  <c r="C37" i="34"/>
  <c r="D37" i="34"/>
  <c r="C38" i="34"/>
  <c r="D38" i="34"/>
  <c r="K18" i="45"/>
  <c r="K29" i="45" s="1"/>
  <c r="K35" i="45" s="1"/>
  <c r="C35" i="34"/>
  <c r="D35" i="34"/>
  <c r="A20" i="30"/>
  <c r="H20" i="30" s="1"/>
  <c r="A18" i="30"/>
  <c r="H18" i="30" s="1"/>
  <c r="A32" i="30"/>
  <c r="H32" i="30" s="1"/>
  <c r="H37" i="43"/>
  <c r="B40" i="43"/>
  <c r="C40" i="43" s="1"/>
  <c r="D40" i="43" s="1"/>
  <c r="E40" i="43" s="1"/>
  <c r="F40" i="43" s="1"/>
  <c r="G40" i="43" s="1"/>
  <c r="H40" i="43" s="1"/>
  <c r="B41" i="43" s="1"/>
  <c r="C41" i="43" s="1"/>
  <c r="D41" i="43" s="1"/>
  <c r="E41" i="43" s="1"/>
  <c r="F41" i="43" s="1"/>
  <c r="G41" i="43" s="1"/>
  <c r="H41" i="43" s="1"/>
  <c r="B42" i="43" s="1"/>
  <c r="C42" i="43" s="1"/>
  <c r="D42" i="43" s="1"/>
  <c r="E42" i="43" s="1"/>
  <c r="F42" i="43" s="1"/>
  <c r="G42" i="43" s="1"/>
  <c r="H42" i="43" s="1"/>
  <c r="B43" i="43" s="1"/>
  <c r="C43" i="43" s="1"/>
  <c r="D43" i="43" s="1"/>
  <c r="E43" i="43" s="1"/>
  <c r="F43" i="43" s="1"/>
  <c r="G43" i="43" s="1"/>
  <c r="H43" i="43" s="1"/>
  <c r="H28" i="43"/>
  <c r="B31" i="43"/>
  <c r="C31" i="43" s="1"/>
  <c r="D31" i="43" s="1"/>
  <c r="E31" i="43" s="1"/>
  <c r="F31" i="43" s="1"/>
  <c r="G31" i="43" s="1"/>
  <c r="H31" i="43" s="1"/>
  <c r="B32" i="43" s="1"/>
  <c r="C32" i="43" s="1"/>
  <c r="D32" i="43" s="1"/>
  <c r="E32" i="43" s="1"/>
  <c r="F32" i="43" s="1"/>
  <c r="G32" i="43" s="1"/>
  <c r="H32" i="43" s="1"/>
  <c r="B33" i="43" s="1"/>
  <c r="C33" i="43" s="1"/>
  <c r="D33" i="43" s="1"/>
  <c r="E33" i="43" s="1"/>
  <c r="F33" i="43" s="1"/>
  <c r="G33" i="43" s="1"/>
  <c r="H33" i="43" s="1"/>
  <c r="B34" i="43" s="1"/>
  <c r="C34" i="43" s="1"/>
  <c r="D34" i="43" s="1"/>
  <c r="E34" i="43" s="1"/>
  <c r="F34" i="43" s="1"/>
  <c r="G34" i="43" s="1"/>
  <c r="H34" i="43" s="1"/>
  <c r="B22" i="43"/>
  <c r="C22" i="43" s="1"/>
  <c r="D22" i="43" s="1"/>
  <c r="E22" i="43" s="1"/>
  <c r="F22" i="43" s="1"/>
  <c r="G22" i="43" s="1"/>
  <c r="H22" i="43" s="1"/>
  <c r="B23" i="43" s="1"/>
  <c r="C23" i="43" s="1"/>
  <c r="D23" i="43" s="1"/>
  <c r="E23" i="43" s="1"/>
  <c r="F23" i="43" s="1"/>
  <c r="G23" i="43" s="1"/>
  <c r="H23" i="43" s="1"/>
  <c r="B24" i="43" s="1"/>
  <c r="C24" i="43" s="1"/>
  <c r="D24" i="43" s="1"/>
  <c r="E24" i="43" s="1"/>
  <c r="F24" i="43" s="1"/>
  <c r="G24" i="43" s="1"/>
  <c r="H24" i="43" s="1"/>
  <c r="B25" i="43" s="1"/>
  <c r="C25" i="43" s="1"/>
  <c r="D25" i="43" s="1"/>
  <c r="E25" i="43" s="1"/>
  <c r="F25" i="43" s="1"/>
  <c r="G25" i="43" s="1"/>
  <c r="H25" i="43" s="1"/>
  <c r="H19" i="43"/>
  <c r="J40" i="43"/>
  <c r="K40" i="43" s="1"/>
  <c r="L40" i="43" s="1"/>
  <c r="M40" i="43" s="1"/>
  <c r="N40" i="43" s="1"/>
  <c r="O40" i="43" s="1"/>
  <c r="P40" i="43" s="1"/>
  <c r="J41" i="43" s="1"/>
  <c r="K41" i="43" s="1"/>
  <c r="L41" i="43" s="1"/>
  <c r="M41" i="43" s="1"/>
  <c r="N41" i="43" s="1"/>
  <c r="O41" i="43" s="1"/>
  <c r="P41" i="43" s="1"/>
  <c r="J42" i="43" s="1"/>
  <c r="K42" i="43" s="1"/>
  <c r="L42" i="43" s="1"/>
  <c r="M42" i="43" s="1"/>
  <c r="N42" i="43" s="1"/>
  <c r="O42" i="43" s="1"/>
  <c r="P42" i="43" s="1"/>
  <c r="J43" i="43" s="1"/>
  <c r="K43" i="43" s="1"/>
  <c r="L43" i="43" s="1"/>
  <c r="M43" i="43" s="1"/>
  <c r="N43" i="43" s="1"/>
  <c r="O43" i="43" s="1"/>
  <c r="P43" i="43" s="1"/>
  <c r="P37" i="43"/>
  <c r="J31" i="43"/>
  <c r="K31" i="43" s="1"/>
  <c r="L31" i="43" s="1"/>
  <c r="M31" i="43" s="1"/>
  <c r="N31" i="43" s="1"/>
  <c r="O31" i="43" s="1"/>
  <c r="P31" i="43" s="1"/>
  <c r="J32" i="43" s="1"/>
  <c r="K32" i="43" s="1"/>
  <c r="L32" i="43" s="1"/>
  <c r="M32" i="43" s="1"/>
  <c r="N32" i="43" s="1"/>
  <c r="O32" i="43" s="1"/>
  <c r="P32" i="43" s="1"/>
  <c r="J33" i="43" s="1"/>
  <c r="K33" i="43" s="1"/>
  <c r="L33" i="43" s="1"/>
  <c r="M33" i="43" s="1"/>
  <c r="N33" i="43" s="1"/>
  <c r="O33" i="43" s="1"/>
  <c r="P33" i="43" s="1"/>
  <c r="J34" i="43" s="1"/>
  <c r="K34" i="43" s="1"/>
  <c r="L34" i="43" s="1"/>
  <c r="M34" i="43" s="1"/>
  <c r="N34" i="43" s="1"/>
  <c r="O34" i="43" s="1"/>
  <c r="P34" i="43" s="1"/>
  <c r="P28" i="43"/>
  <c r="P19" i="43"/>
  <c r="J22" i="43"/>
  <c r="K22" i="43" s="1"/>
  <c r="L22" i="43" s="1"/>
  <c r="M22" i="43" s="1"/>
  <c r="N22" i="43" s="1"/>
  <c r="O22" i="43" s="1"/>
  <c r="P22" i="43" s="1"/>
  <c r="J23" i="43" s="1"/>
  <c r="K23" i="43" s="1"/>
  <c r="L23" i="43" s="1"/>
  <c r="M23" i="43" s="1"/>
  <c r="N23" i="43" s="1"/>
  <c r="O23" i="43" s="1"/>
  <c r="P23" i="43" s="1"/>
  <c r="J24" i="43" s="1"/>
  <c r="K24" i="43" s="1"/>
  <c r="L24" i="43" s="1"/>
  <c r="M24" i="43" s="1"/>
  <c r="N24" i="43" s="1"/>
  <c r="O24" i="43" s="1"/>
  <c r="P24" i="43" s="1"/>
  <c r="J25" i="43" s="1"/>
  <c r="K25" i="43" s="1"/>
  <c r="L25" i="43" s="1"/>
  <c r="M25" i="43" s="1"/>
  <c r="N25" i="43" s="1"/>
  <c r="O25" i="43" s="1"/>
  <c r="P25" i="43" s="1"/>
  <c r="R40" i="43"/>
  <c r="S40" i="43" s="1"/>
  <c r="T40" i="43" s="1"/>
  <c r="U40" i="43" s="1"/>
  <c r="V40" i="43" s="1"/>
  <c r="W40" i="43" s="1"/>
  <c r="X40" i="43" s="1"/>
  <c r="R41" i="43" s="1"/>
  <c r="S41" i="43" s="1"/>
  <c r="T41" i="43" s="1"/>
  <c r="U41" i="43" s="1"/>
  <c r="V41" i="43" s="1"/>
  <c r="W41" i="43" s="1"/>
  <c r="X41" i="43" s="1"/>
  <c r="R42" i="43" s="1"/>
  <c r="S42" i="43" s="1"/>
  <c r="T42" i="43" s="1"/>
  <c r="U42" i="43" s="1"/>
  <c r="V42" i="43" s="1"/>
  <c r="W42" i="43" s="1"/>
  <c r="X42" i="43" s="1"/>
  <c r="R43" i="43" s="1"/>
  <c r="S43" i="43" s="1"/>
  <c r="T43" i="43" s="1"/>
  <c r="U43" i="43" s="1"/>
  <c r="V43" i="43" s="1"/>
  <c r="W43" i="43" s="1"/>
  <c r="X43" i="43" s="1"/>
  <c r="X37" i="43"/>
  <c r="R10" i="43"/>
  <c r="S12" i="43"/>
  <c r="K12" i="43"/>
  <c r="J10" i="43"/>
  <c r="C12" i="43"/>
  <c r="C15" i="42"/>
  <c r="C16" i="42"/>
  <c r="C19" i="42"/>
  <c r="L14" i="47" l="1"/>
  <c r="K16" i="47" s="1"/>
  <c r="S10" i="43"/>
  <c r="T12" i="43"/>
  <c r="L12" i="43"/>
  <c r="K10" i="43"/>
  <c r="D12" i="43"/>
  <c r="C10" i="43"/>
  <c r="A17" i="30"/>
  <c r="H17" i="30" s="1"/>
  <c r="B9" i="30"/>
  <c r="K18" i="47" l="1"/>
  <c r="K29" i="47" s="1"/>
  <c r="K35" i="47" s="1"/>
  <c r="T10" i="43"/>
  <c r="U12" i="43"/>
  <c r="L10" i="43"/>
  <c r="M12" i="43"/>
  <c r="E12" i="43"/>
  <c r="D10" i="43"/>
  <c r="L14" i="48" l="1"/>
  <c r="K16" i="48" s="1"/>
  <c r="U10" i="43"/>
  <c r="V12" i="43"/>
  <c r="N12" i="43"/>
  <c r="M10" i="43"/>
  <c r="F12" i="43"/>
  <c r="E10" i="43"/>
  <c r="B41" i="30"/>
  <c r="K18" i="48" l="1"/>
  <c r="K29" i="48" s="1"/>
  <c r="K35" i="48" s="1"/>
  <c r="L14" i="49" s="1"/>
  <c r="K16" i="49" s="1"/>
  <c r="N10" i="43"/>
  <c r="O12" i="43"/>
  <c r="W12" i="43"/>
  <c r="V10" i="43"/>
  <c r="G12" i="43"/>
  <c r="F10" i="43"/>
  <c r="K18" i="49" l="1"/>
  <c r="K29" i="49" s="1"/>
  <c r="W10" i="43"/>
  <c r="X12" i="43"/>
  <c r="O10" i="43"/>
  <c r="P12" i="43"/>
  <c r="H12" i="43"/>
  <c r="G10" i="43"/>
  <c r="A29" i="30"/>
  <c r="H29" i="30" s="1"/>
  <c r="K35" i="49" l="1"/>
  <c r="L14" i="50" s="1"/>
  <c r="K16" i="50" s="1"/>
  <c r="H36" i="30"/>
  <c r="H38" i="30" s="1"/>
  <c r="R13" i="43"/>
  <c r="S13" i="43" s="1"/>
  <c r="T13" i="43" s="1"/>
  <c r="U13" i="43" s="1"/>
  <c r="V13" i="43" s="1"/>
  <c r="W13" i="43" s="1"/>
  <c r="X13" i="43" s="1"/>
  <c r="R14" i="43" s="1"/>
  <c r="S14" i="43" s="1"/>
  <c r="T14" i="43" s="1"/>
  <c r="U14" i="43" s="1"/>
  <c r="V14" i="43" s="1"/>
  <c r="W14" i="43" s="1"/>
  <c r="X14" i="43" s="1"/>
  <c r="R15" i="43" s="1"/>
  <c r="S15" i="43" s="1"/>
  <c r="T15" i="43" s="1"/>
  <c r="U15" i="43" s="1"/>
  <c r="V15" i="43" s="1"/>
  <c r="W15" i="43" s="1"/>
  <c r="X15" i="43" s="1"/>
  <c r="R16" i="43" s="1"/>
  <c r="S16" i="43" s="1"/>
  <c r="T16" i="43" s="1"/>
  <c r="U16" i="43" s="1"/>
  <c r="V16" i="43" s="1"/>
  <c r="W16" i="43" s="1"/>
  <c r="X16" i="43" s="1"/>
  <c r="X10" i="43"/>
  <c r="J13" i="43"/>
  <c r="K13" i="43" s="1"/>
  <c r="L13" i="43" s="1"/>
  <c r="M13" i="43" s="1"/>
  <c r="N13" i="43" s="1"/>
  <c r="O13" i="43" s="1"/>
  <c r="P13" i="43" s="1"/>
  <c r="J14" i="43" s="1"/>
  <c r="K14" i="43" s="1"/>
  <c r="L14" i="43" s="1"/>
  <c r="M14" i="43" s="1"/>
  <c r="N14" i="43" s="1"/>
  <c r="O14" i="43" s="1"/>
  <c r="P14" i="43" s="1"/>
  <c r="J15" i="43" s="1"/>
  <c r="K15" i="43" s="1"/>
  <c r="L15" i="43" s="1"/>
  <c r="M15" i="43" s="1"/>
  <c r="N15" i="43" s="1"/>
  <c r="O15" i="43" s="1"/>
  <c r="P15" i="43" s="1"/>
  <c r="J16" i="43" s="1"/>
  <c r="P10" i="43"/>
  <c r="H10" i="43"/>
  <c r="B13" i="43"/>
  <c r="H23" i="30"/>
  <c r="H26" i="30" s="1"/>
  <c r="K18" i="50" l="1"/>
  <c r="C13" i="43"/>
  <c r="D13" i="43" s="1"/>
  <c r="E13" i="43" s="1"/>
  <c r="F13" i="43" s="1"/>
  <c r="G13" i="43" s="1"/>
  <c r="H13" i="43" s="1"/>
  <c r="B14" i="43" s="1"/>
  <c r="C14" i="43" s="1"/>
  <c r="D14" i="43" s="1"/>
  <c r="E14" i="43" s="1"/>
  <c r="F14" i="43" s="1"/>
  <c r="G14" i="43" s="1"/>
  <c r="H14" i="43" s="1"/>
  <c r="D41" i="30"/>
  <c r="E41" i="44" s="1"/>
  <c r="G41" i="44" s="1"/>
  <c r="F41" i="46" s="1"/>
  <c r="F41" i="45" s="1"/>
  <c r="F41" i="47" s="1"/>
  <c r="F41" i="48" s="1"/>
  <c r="F41" i="49" s="1"/>
  <c r="F41" i="50" s="1"/>
  <c r="F41" i="51" s="1"/>
  <c r="F41" i="52" s="1"/>
  <c r="F41" i="53" s="1"/>
  <c r="F41" i="54" s="1"/>
  <c r="F41" i="55" s="1"/>
  <c r="F41" i="56" s="1"/>
  <c r="F41" i="57" s="1"/>
  <c r="F41" i="58" s="1"/>
  <c r="F41" i="59" s="1"/>
  <c r="F41" i="60" s="1"/>
  <c r="F41" i="61" s="1"/>
  <c r="F41" i="62" s="1"/>
  <c r="F41" i="63" s="1"/>
  <c r="F41" i="64" s="1"/>
  <c r="F41" i="65" s="1"/>
  <c r="F41" i="66" s="1"/>
  <c r="F41" i="67" s="1"/>
  <c r="F41" i="68" s="1"/>
  <c r="A41" i="30"/>
  <c r="K29" i="50" l="1"/>
  <c r="K35" i="50" s="1"/>
  <c r="B15" i="43"/>
  <c r="C15" i="43" s="1"/>
  <c r="D15" i="43" s="1"/>
  <c r="E15" i="43" s="1"/>
  <c r="F41" i="30"/>
  <c r="G41" i="30" s="1"/>
  <c r="L14" i="51" l="1"/>
  <c r="K16" i="51" s="1"/>
  <c r="K18" i="51" s="1"/>
  <c r="K29" i="51" s="1"/>
  <c r="K35" i="51" s="1"/>
  <c r="F15" i="43"/>
  <c r="G15" i="43" s="1"/>
  <c r="H15" i="43" s="1"/>
  <c r="B16" i="43" s="1"/>
  <c r="L14" i="52" l="1"/>
  <c r="K16" i="52" s="1"/>
  <c r="K18" i="52" s="1"/>
  <c r="K29" i="52" s="1"/>
  <c r="C16" i="43"/>
  <c r="D16" i="43" s="1"/>
  <c r="E16" i="43" s="1"/>
  <c r="F16" i="43" s="1"/>
  <c r="G16" i="43" s="1"/>
  <c r="H16" i="43" s="1"/>
  <c r="K16" i="43"/>
  <c r="L16" i="43" s="1"/>
  <c r="M16" i="43" s="1"/>
  <c r="N16" i="43" s="1"/>
  <c r="O16" i="43" s="1"/>
  <c r="P16" i="43" s="1"/>
  <c r="Z11" i="43"/>
  <c r="K35" i="52" l="1"/>
  <c r="L14" i="53" s="1"/>
  <c r="K16" i="53" s="1"/>
  <c r="E12" i="34"/>
  <c r="K18" i="53" l="1"/>
  <c r="K29" i="53" s="1"/>
  <c r="K35" i="53" l="1"/>
  <c r="L14" i="54" s="1"/>
  <c r="K16" i="54" s="1"/>
  <c r="K18" i="54" l="1"/>
  <c r="K29" i="54" l="1"/>
  <c r="K35" i="54" s="1"/>
  <c r="L14" i="55" s="1"/>
  <c r="K16" i="55" s="1"/>
  <c r="K18" i="55" l="1"/>
  <c r="K29" i="55" s="1"/>
  <c r="K35" i="55" l="1"/>
  <c r="L14" i="56" s="1"/>
  <c r="K16" i="56" s="1"/>
  <c r="K18" i="56" s="1"/>
  <c r="K29" i="56" s="1"/>
  <c r="K35" i="56" l="1"/>
  <c r="L14" i="57" s="1"/>
  <c r="K16" i="57" s="1"/>
  <c r="K18" i="57" l="1"/>
  <c r="K29" i="57" s="1"/>
  <c r="K35" i="57" l="1"/>
  <c r="L14" i="58" s="1"/>
  <c r="K16" i="58" s="1"/>
  <c r="K18" i="58" l="1"/>
  <c r="K29" i="58" s="1"/>
  <c r="K35" i="58" l="1"/>
  <c r="L14" i="59" s="1"/>
  <c r="K16" i="59" s="1"/>
  <c r="K18" i="59" l="1"/>
  <c r="K29" i="59" s="1"/>
  <c r="K35" i="59" s="1"/>
  <c r="L14" i="60" l="1"/>
  <c r="K16" i="60" s="1"/>
  <c r="K18" i="60" l="1"/>
  <c r="K29" i="60" s="1"/>
  <c r="K35" i="60" s="1"/>
  <c r="L14" i="61" l="1"/>
  <c r="K16" i="61" s="1"/>
  <c r="K18" i="61" l="1"/>
  <c r="K29" i="61" s="1"/>
  <c r="K35" i="61" l="1"/>
  <c r="L14" i="62" s="1"/>
  <c r="K16" i="62" s="1"/>
  <c r="K18" i="62" l="1"/>
  <c r="K29" i="62" l="1"/>
  <c r="K35" i="62" s="1"/>
  <c r="L14" i="63" l="1"/>
  <c r="K16" i="63" s="1"/>
  <c r="K18" i="63" s="1"/>
  <c r="K29" i="63" s="1"/>
  <c r="K35" i="63" l="1"/>
  <c r="L14" i="64" s="1"/>
  <c r="L14" i="65" s="1"/>
  <c r="K16" i="65" s="1"/>
  <c r="K18" i="65" l="1"/>
  <c r="K29" i="65" l="1"/>
  <c r="K35" i="65" s="1"/>
  <c r="L14" i="66" l="1"/>
  <c r="K16" i="66" s="1"/>
  <c r="K18" i="66" s="1"/>
  <c r="K29" i="66" s="1"/>
  <c r="K35" i="66" s="1"/>
  <c r="L14" i="67" l="1"/>
  <c r="K16" i="67" s="1"/>
  <c r="K18" i="67" l="1"/>
  <c r="K29" i="67" s="1"/>
  <c r="K35" i="67" s="1"/>
  <c r="L14" i="68" l="1"/>
  <c r="K16" i="68" s="1"/>
  <c r="K18" i="68" s="1"/>
  <c r="K29" i="68" s="1"/>
  <c r="K35" i="6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FDC9FC4D-446A-4FB6-958B-B8BDD0D1AA15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865B8346-AC36-4DE4-98EF-A3F611400D7E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F8FADF3D-44F8-44DE-B076-3381463F7B08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B2719A61-87D8-4D82-835E-9C115E574F1C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2DF657C6-3288-40CE-9648-857AFBBDD269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4E60141B-5F24-4580-B8AC-1E5238F2930C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41BD03E3-89CD-4847-B3AF-D23AA6158122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D1EAB132-D55F-4A79-820F-895EC0BC320F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DC8CC699-DFD2-4E1D-8758-124269D9E366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A537E8D2-7E63-4174-91F4-C31B4F05C446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E8E276B2-7AFE-4E7C-815B-4C546B9BF597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99D94DD1-8E73-4050-912C-453D5E13C0F8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00819E42-1FE6-4609-A671-9A26CCC19016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91C761EC-1272-4298-9708-7CB28F9CC0D1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727069C3-7651-4C78-9232-D111F0F41F0B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40C4EC37-4738-4585-AE9A-8DA1890833E1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E7B4A34F-79A2-4818-B96D-71472F57CF85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65C67502-2BDB-4C6B-B7B1-B969AC661742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6E453A3E-E45F-425D-9124-5A2A3B166267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345C947D-8714-4974-944A-83D56F312F5E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4AD13C09-EEEC-485D-817E-312C506FB9CD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C3AD5BEC-C2BB-4691-A211-FD49B8DCA1EE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DB65331A-2BB8-4F12-88A8-D810B45A8121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12E39D6A-7BAE-446C-9E45-8885514C5797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62519CF3-B54D-45A2-AD8D-1CE7CD230758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75F6307B-1806-478F-B3F3-D9CFF61D1F2B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CAD9B3F6-2540-4E69-A2A1-A9CFD940AF24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1BFE67FF-2A95-4715-9346-961C43BFFDF5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254906EA-009E-4F73-9E4B-B70AB056D7A4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9E7669E6-530F-4DA7-8D70-23298777F389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8F76F87E-D59D-4EC2-A0CB-F6B02DCC63A8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DD27DEDF-31B4-4ACD-A0E9-A7F8A5725A87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A211680B-F702-4103-8695-08E029173F76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BC32093E-7E28-4E90-80CB-C33EB4A00816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549E080B-D607-4E69-A2B9-ECA9409963CC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DBE91613-3287-48B0-97AD-B2503FAA78DA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A8AE804E-C448-4547-8886-0A6C76C3B9C0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7FFB2729-6B2A-4C7A-8BD0-E2ABAAC0D58F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0E9ABEAB-EC34-4A2D-9184-6480A8C30D3A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9DDECEF8-80DF-48E4-8741-F9AD5941133E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F017356C-4546-40F7-A053-02BD9DEE81BB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7A5B20CD-0DBE-4103-B938-4F519D3F82A4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A18C8445-6AB5-4B8E-A73D-CC9047D3DB4B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1FEAD007-737A-4E6B-B208-F60E2B12E6C5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EA65CB35-9D40-4781-BFC8-C8EE6A53F991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25731FEE-85DE-48CF-8D2D-C8987CFB6328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6CB7D8F1-48FB-4F74-8FA9-F955D5ECCAEF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3C35986A-11D1-4970-8D4A-4E8714DD75F4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BD78C0E2-284F-4EDB-9363-E49CD9142845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E2B5706A-8B3B-4582-82EA-5ACA7BC45FF1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Boudreau</author>
  </authors>
  <commentList>
    <comment ref="B15" authorId="0" shapeId="0" xr:uid="{3ED11C1C-93AF-4DEB-8081-EE88254BAA48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  <comment ref="B28" authorId="0" shapeId="0" xr:uid="{4B037C59-8394-4E9B-B98B-60ADCD7B8A99}">
      <text>
        <r>
          <rPr>
            <b/>
            <sz val="9"/>
            <color indexed="81"/>
            <rFont val="Tahoma"/>
            <family val="2"/>
          </rPr>
          <t>Stephanie Boudreau:</t>
        </r>
        <r>
          <rPr>
            <sz val="9"/>
            <color indexed="81"/>
            <rFont val="Tahoma"/>
            <family val="2"/>
          </rPr>
          <t xml:space="preserve">
Entrez votre nombre d'heures hebdomadaire que vous devez faire dans le carré bleu svp</t>
        </r>
      </text>
    </comment>
  </commentList>
</comments>
</file>

<file path=xl/sharedStrings.xml><?xml version="1.0" encoding="utf-8"?>
<sst xmlns="http://schemas.openxmlformats.org/spreadsheetml/2006/main" count="1390" uniqueCount="67">
  <si>
    <t>Jour</t>
  </si>
  <si>
    <t xml:space="preserve">Employé: </t>
  </si>
  <si>
    <t>Heure
Début</t>
  </si>
  <si>
    <t>Heure
Fin</t>
  </si>
  <si>
    <t>TOTAL
Journalier</t>
  </si>
  <si>
    <t>Départ
Diner</t>
  </si>
  <si>
    <t>Retour
Diner</t>
  </si>
  <si>
    <t>Type de congé</t>
  </si>
  <si>
    <t>Nombre de congés maladie disponible</t>
  </si>
  <si>
    <t>Date
retour congé</t>
  </si>
  <si>
    <t>Date
début congé</t>
  </si>
  <si>
    <t xml:space="preserve">Période débutant le </t>
  </si>
  <si>
    <t>Nombre de 
congés épuisé</t>
  </si>
  <si>
    <t>Horaire Semaine 1</t>
  </si>
  <si>
    <t>Horaire Semaine 2</t>
  </si>
  <si>
    <t>Nombre de vacances 
disponible</t>
  </si>
  <si>
    <t>Heures
 supplémentaires ou en moins</t>
  </si>
  <si>
    <t>Heure travaillées</t>
  </si>
  <si>
    <t>Heures à 
transposer dans la Banque</t>
  </si>
  <si>
    <t>Total de la Banque d'heures</t>
  </si>
  <si>
    <t>Télétravail
Départ</t>
  </si>
  <si>
    <t>Télétravail
Fin</t>
  </si>
  <si>
    <t>Heures prévues</t>
  </si>
  <si>
    <t>Heures restantes en Banque de l'an passé</t>
  </si>
  <si>
    <r>
      <rPr>
        <b/>
        <sz val="11"/>
        <color rgb="FFC00000"/>
        <rFont val="Lato"/>
        <family val="2"/>
      </rPr>
      <t xml:space="preserve">ENTREZ </t>
    </r>
    <r>
      <rPr>
        <b/>
        <sz val="11"/>
        <color theme="1"/>
        <rFont val="Lato"/>
        <family val="2"/>
      </rPr>
      <t>le nombre d'heures à payer</t>
    </r>
  </si>
  <si>
    <t>Année en cours</t>
  </si>
  <si>
    <t>Jour de l'an</t>
  </si>
  <si>
    <t>Journée nationale des patriotes</t>
  </si>
  <si>
    <t>Fête nationale du Québec</t>
  </si>
  <si>
    <t>Fête du Canada</t>
  </si>
  <si>
    <t>Fête du travail</t>
  </si>
  <si>
    <t>Action de grâce</t>
  </si>
  <si>
    <t>Noël</t>
  </si>
  <si>
    <t>Type de jours férié</t>
  </si>
  <si>
    <t>Mois</t>
  </si>
  <si>
    <t>Janvier</t>
  </si>
  <si>
    <t>Mars et avril</t>
  </si>
  <si>
    <t>Mai</t>
  </si>
  <si>
    <t>Juin</t>
  </si>
  <si>
    <t>Juillet</t>
  </si>
  <si>
    <t>Octobre</t>
  </si>
  <si>
    <t>Décembre</t>
  </si>
  <si>
    <t xml:space="preserve">       Les jours fériés pour l'années en cours</t>
  </si>
  <si>
    <t>Date fixe 1er janvier</t>
  </si>
  <si>
    <t>Date fixe 25 décembre</t>
  </si>
  <si>
    <r>
      <t>Date fixe 1</t>
    </r>
    <r>
      <rPr>
        <vertAlign val="superscript"/>
        <sz val="11"/>
        <color theme="1"/>
        <rFont val="Lato"/>
        <family val="2"/>
      </rPr>
      <t>er</t>
    </r>
    <r>
      <rPr>
        <sz val="11"/>
        <color theme="1"/>
        <rFont val="Lato"/>
        <family val="2"/>
      </rPr>
      <t xml:space="preserve"> juillet</t>
    </r>
  </si>
  <si>
    <t>Date fixe 24 juin</t>
  </si>
  <si>
    <t>Lundi de pâques</t>
  </si>
  <si>
    <t>Heures contre un férié:</t>
  </si>
  <si>
    <t>Pâques</t>
  </si>
  <si>
    <t>Septembre</t>
  </si>
  <si>
    <t>3e lundi de mai</t>
  </si>
  <si>
    <t>Heures en trop
ou en moins</t>
  </si>
  <si>
    <t>Feuille de temps</t>
  </si>
  <si>
    <t>alloué au férié</t>
  </si>
  <si>
    <t>Congés de l'employé</t>
  </si>
  <si>
    <t>Nombre de congés annuel selon le contrat + congés restants de l'an passé</t>
  </si>
  <si>
    <t>Nombre de congés maladie annuel selon le contrat + congés maladie restants de l'an passé</t>
  </si>
  <si>
    <t>Heures à compter 
lorsqu'il y a un congé férié</t>
  </si>
  <si>
    <t>Type de congé férié</t>
  </si>
  <si>
    <t>Congés fériés, lundi suivant la date</t>
  </si>
  <si>
    <t>Heures à compter 
lorsqu'il y a un congé pris par l'employé</t>
  </si>
  <si>
    <t>Heures à compter 
lorsqu'il y a un congé maladie</t>
  </si>
  <si>
    <t>CONGÉ</t>
  </si>
  <si>
    <t>MALADIE</t>
  </si>
  <si>
    <t>Index de la ligne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</si>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</sst>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)\ _$_ ;_ * \(#,##0.00\)\ _$_ ;_ * &quot;-&quot;??_)\ _$_ ;_ @_ "/>
    <numFmt numFmtId="164" formatCode="[h]:mm"/>
    <numFmt numFmtId="165" formatCode="dd/mm/yyyy"/>
    <numFmt numFmtId="168" formatCode="dddd\ dd\ mmmm\ yyyy"/>
    <numFmt numFmtId="169" formatCode="mmmm"/>
    <numFmt numFmtId="170" formatCode="d"/>
    <numFmt numFmtId="172" formatCode="[$-C0C]dddd\ d\ mmmm\,\ 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3"/>
      <name val="Tahoma"/>
      <family val="2"/>
    </font>
    <font>
      <b/>
      <sz val="18"/>
      <name val="Arial Narrow"/>
      <family val="2"/>
    </font>
    <font>
      <b/>
      <sz val="14"/>
      <name val="Arial Narrow"/>
      <family val="2"/>
    </font>
    <font>
      <b/>
      <sz val="13"/>
      <name val="Tahoma"/>
      <family val="2"/>
    </font>
    <font>
      <b/>
      <sz val="11"/>
      <color theme="1"/>
      <name val="Tahoma"/>
      <family val="2"/>
    </font>
    <font>
      <b/>
      <sz val="11"/>
      <color theme="1"/>
      <name val="Lato"/>
      <family val="2"/>
    </font>
    <font>
      <b/>
      <sz val="13"/>
      <color theme="1"/>
      <name val="Lato"/>
      <family val="2"/>
    </font>
    <font>
      <u/>
      <sz val="11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Lato Heavy"/>
      <family val="2"/>
    </font>
    <font>
      <sz val="26"/>
      <color theme="1"/>
      <name val="Lato Heavy"/>
      <family val="2"/>
    </font>
    <font>
      <sz val="11"/>
      <color theme="1"/>
      <name val="Lato"/>
      <family val="2"/>
    </font>
    <font>
      <u/>
      <sz val="11"/>
      <color theme="1"/>
      <name val="Lato"/>
      <family val="2"/>
    </font>
    <font>
      <b/>
      <sz val="18"/>
      <name val="Lato"/>
      <family val="2"/>
    </font>
    <font>
      <b/>
      <sz val="14"/>
      <name val="Lato"/>
      <family val="2"/>
    </font>
    <font>
      <b/>
      <sz val="13"/>
      <name val="Lato"/>
      <family val="2"/>
    </font>
    <font>
      <b/>
      <sz val="11"/>
      <color rgb="FFC00000"/>
      <name val="Lato"/>
      <family val="2"/>
    </font>
    <font>
      <vertAlign val="superscript"/>
      <sz val="11"/>
      <color theme="1"/>
      <name val="Lato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theme="1"/>
      <name val="Calibri"/>
      <family val="2"/>
      <scheme val="minor"/>
    </font>
    <font>
      <sz val="11"/>
      <color rgb="FFC00000"/>
      <name val="Lato"/>
      <family val="2"/>
    </font>
    <font>
      <sz val="11"/>
      <color theme="1" tint="0.249977111117893"/>
      <name val="Calibri"/>
      <family val="2"/>
      <scheme val="minor"/>
    </font>
    <font>
      <sz val="11"/>
      <color rgb="FFC00000"/>
      <name val="Tahoma"/>
      <family val="2"/>
    </font>
    <font>
      <b/>
      <u/>
      <sz val="11"/>
      <color theme="5" tint="-0.499984740745262"/>
      <name val="Tahoma"/>
      <family val="2"/>
    </font>
    <font>
      <sz val="11"/>
      <color theme="5" tint="-0.499984740745262"/>
      <name val="Tahoma"/>
      <family val="2"/>
    </font>
    <font>
      <b/>
      <sz val="11"/>
      <color theme="5" tint="-0.499984740745262"/>
      <name val="Tahoma"/>
      <family val="2"/>
    </font>
    <font>
      <i/>
      <sz val="10"/>
      <color theme="5" tint="-0.499984740745262"/>
      <name val="Tahoma"/>
      <family val="2"/>
    </font>
    <font>
      <sz val="11"/>
      <name val="Lato"/>
      <family val="2"/>
    </font>
    <font>
      <b/>
      <sz val="11"/>
      <name val="Lato"/>
      <family val="2"/>
    </font>
    <font>
      <sz val="11"/>
      <color theme="5" tint="-0.499984740745262"/>
      <name val="Lato"/>
      <family val="2"/>
    </font>
    <font>
      <b/>
      <sz val="11"/>
      <color rgb="FF1F497D"/>
      <name val="Tahoma"/>
      <family val="2"/>
    </font>
    <font>
      <sz val="12"/>
      <color rgb="FF3030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rgb="FFC00000"/>
        </stop>
        <stop position="1">
          <color theme="0"/>
        </stop>
      </gradient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172" fontId="0" fillId="0" borderId="0"/>
    <xf numFmtId="172" fontId="10" fillId="0" borderId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54">
    <xf numFmtId="172" fontId="0" fillId="0" borderId="0" xfId="0"/>
    <xf numFmtId="172" fontId="1" fillId="0" borderId="0" xfId="0" applyFont="1"/>
    <xf numFmtId="172" fontId="1" fillId="0" borderId="0" xfId="0" applyFont="1" applyAlignment="1">
      <alignment horizontal="center"/>
    </xf>
    <xf numFmtId="165" fontId="2" fillId="3" borderId="0" xfId="0" applyNumberFormat="1" applyFont="1" applyFill="1" applyBorder="1" applyAlignment="1">
      <alignment horizontal="center" vertical="center"/>
    </xf>
    <xf numFmtId="172" fontId="2" fillId="3" borderId="0" xfId="0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172" fontId="0" fillId="0" borderId="0" xfId="0" applyFont="1" applyAlignment="1">
      <alignment vertical="center"/>
    </xf>
    <xf numFmtId="172" fontId="2" fillId="3" borderId="0" xfId="0" applyFont="1" applyFill="1"/>
    <xf numFmtId="172" fontId="8" fillId="2" borderId="1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72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172" fontId="9" fillId="0" borderId="0" xfId="0" applyFont="1" applyAlignment="1">
      <alignment wrapText="1"/>
    </xf>
    <xf numFmtId="172" fontId="4" fillId="0" borderId="0" xfId="0" applyFont="1" applyBorder="1" applyAlignment="1">
      <alignment vertical="center"/>
    </xf>
    <xf numFmtId="172" fontId="1" fillId="0" borderId="0" xfId="0" applyFont="1" applyAlignment="1">
      <alignment horizontal="center"/>
    </xf>
    <xf numFmtId="172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172" fontId="8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172" fontId="4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Fill="1" applyBorder="1"/>
    <xf numFmtId="172" fontId="14" fillId="0" borderId="0" xfId="0" applyFont="1" applyAlignment="1">
      <alignment horizontal="center"/>
    </xf>
    <xf numFmtId="172" fontId="14" fillId="0" borderId="0" xfId="0" applyFont="1"/>
    <xf numFmtId="172" fontId="15" fillId="0" borderId="0" xfId="0" applyFont="1"/>
    <xf numFmtId="172" fontId="14" fillId="0" borderId="0" xfId="0" applyFont="1" applyAlignment="1">
      <alignment vertical="center"/>
    </xf>
    <xf numFmtId="172" fontId="16" fillId="0" borderId="0" xfId="0" applyFont="1" applyFill="1" applyBorder="1" applyAlignment="1">
      <alignment horizontal="right" vertical="center" wrapText="1"/>
    </xf>
    <xf numFmtId="172" fontId="17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right" vertical="center"/>
    </xf>
    <xf numFmtId="172" fontId="17" fillId="0" borderId="0" xfId="0" applyNumberFormat="1" applyFont="1" applyBorder="1" applyAlignment="1">
      <alignment vertical="center"/>
    </xf>
    <xf numFmtId="172" fontId="18" fillId="0" borderId="0" xfId="0" applyFont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 vertical="center"/>
    </xf>
    <xf numFmtId="172" fontId="18" fillId="0" borderId="0" xfId="0" applyFont="1" applyBorder="1" applyAlignment="1">
      <alignment horizontal="left" vertical="center"/>
    </xf>
    <xf numFmtId="43" fontId="14" fillId="0" borderId="1" xfId="3" applyFont="1" applyBorder="1" applyAlignment="1">
      <alignment horizontal="center" vertical="center"/>
    </xf>
    <xf numFmtId="14" fontId="14" fillId="0" borderId="1" xfId="3" applyNumberFormat="1" applyFont="1" applyBorder="1" applyAlignment="1">
      <alignment horizontal="center" vertical="center"/>
    </xf>
    <xf numFmtId="172" fontId="18" fillId="0" borderId="0" xfId="0" applyFont="1" applyBorder="1" applyAlignment="1">
      <alignment vertical="center" wrapText="1"/>
    </xf>
    <xf numFmtId="172" fontId="17" fillId="0" borderId="0" xfId="0" applyFont="1" applyBorder="1" applyAlignment="1">
      <alignment vertical="center"/>
    </xf>
    <xf numFmtId="172" fontId="13" fillId="0" borderId="0" xfId="0" applyFont="1" applyAlignment="1">
      <alignment vertical="center"/>
    </xf>
    <xf numFmtId="43" fontId="14" fillId="0" borderId="11" xfId="3" applyFont="1" applyBorder="1" applyAlignment="1">
      <alignment horizontal="left" vertical="center"/>
    </xf>
    <xf numFmtId="43" fontId="14" fillId="0" borderId="1" xfId="3" applyFont="1" applyBorder="1" applyAlignment="1">
      <alignment horizontal="left" vertical="center"/>
    </xf>
    <xf numFmtId="172" fontId="14" fillId="0" borderId="0" xfId="0" applyFont="1" applyBorder="1"/>
    <xf numFmtId="172" fontId="15" fillId="0" borderId="0" xfId="0" applyFont="1" applyAlignment="1">
      <alignment horizontal="center"/>
    </xf>
    <xf numFmtId="172" fontId="8" fillId="2" borderId="14" xfId="0" applyFont="1" applyFill="1" applyBorder="1" applyAlignment="1">
      <alignment horizontal="center" vertical="center"/>
    </xf>
    <xf numFmtId="172" fontId="8" fillId="2" borderId="10" xfId="0" applyFont="1" applyFill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72" fontId="8" fillId="2" borderId="1" xfId="0" applyFont="1" applyFill="1" applyBorder="1" applyAlignment="1">
      <alignment horizontal="center" vertical="center" wrapText="1"/>
    </xf>
    <xf numFmtId="43" fontId="24" fillId="0" borderId="11" xfId="3" applyFont="1" applyBorder="1" applyAlignment="1">
      <alignment horizontal="left" vertical="center"/>
    </xf>
    <xf numFmtId="43" fontId="24" fillId="0" borderId="1" xfId="3" applyFont="1" applyBorder="1" applyAlignment="1">
      <alignment horizontal="left" vertical="center"/>
    </xf>
    <xf numFmtId="168" fontId="19" fillId="0" borderId="1" xfId="0" applyNumberFormat="1" applyFont="1" applyBorder="1" applyAlignment="1">
      <alignment horizontal="center" vertical="center"/>
    </xf>
    <xf numFmtId="172" fontId="14" fillId="0" borderId="0" xfId="0" applyFont="1" applyFill="1"/>
    <xf numFmtId="170" fontId="0" fillId="0" borderId="18" xfId="0" applyNumberFormat="1" applyBorder="1"/>
    <xf numFmtId="172" fontId="25" fillId="0" borderId="0" xfId="0" applyFont="1" applyAlignment="1">
      <alignment horizontal="center" vertical="center"/>
    </xf>
    <xf numFmtId="172" fontId="8" fillId="2" borderId="1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horizontal="left"/>
    </xf>
    <xf numFmtId="172" fontId="27" fillId="0" borderId="2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center" vertical="center"/>
    </xf>
    <xf numFmtId="20" fontId="28" fillId="0" borderId="3" xfId="0" applyNumberFormat="1" applyFont="1" applyBorder="1" applyAlignment="1">
      <alignment horizontal="center" vertical="center"/>
    </xf>
    <xf numFmtId="164" fontId="28" fillId="0" borderId="0" xfId="0" applyNumberFormat="1" applyFont="1" applyBorder="1" applyAlignment="1">
      <alignment horizontal="center" vertical="center"/>
    </xf>
    <xf numFmtId="164" fontId="28" fillId="0" borderId="8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4" fontId="29" fillId="0" borderId="0" xfId="0" applyNumberFormat="1" applyFont="1"/>
    <xf numFmtId="164" fontId="28" fillId="3" borderId="0" xfId="0" applyNumberFormat="1" applyFont="1" applyFill="1" applyAlignment="1">
      <alignment horizontal="center" vertical="center"/>
    </xf>
    <xf numFmtId="20" fontId="28" fillId="3" borderId="0" xfId="0" applyNumberFormat="1" applyFont="1" applyFill="1" applyAlignment="1">
      <alignment horizontal="center" vertical="center"/>
    </xf>
    <xf numFmtId="164" fontId="28" fillId="3" borderId="0" xfId="0" applyNumberFormat="1" applyFont="1" applyFill="1"/>
    <xf numFmtId="165" fontId="28" fillId="3" borderId="0" xfId="0" applyNumberFormat="1" applyFont="1" applyFill="1" applyAlignment="1">
      <alignment horizontal="center"/>
    </xf>
    <xf numFmtId="20" fontId="28" fillId="3" borderId="0" xfId="0" applyNumberFormat="1" applyFont="1" applyFill="1" applyAlignment="1">
      <alignment horizontal="right"/>
    </xf>
    <xf numFmtId="20" fontId="30" fillId="3" borderId="0" xfId="0" applyNumberFormat="1" applyFont="1" applyFill="1" applyAlignment="1">
      <alignment horizontal="right"/>
    </xf>
    <xf numFmtId="20" fontId="28" fillId="3" borderId="0" xfId="0" applyNumberFormat="1" applyFont="1" applyFill="1"/>
    <xf numFmtId="164" fontId="29" fillId="3" borderId="0" xfId="0" applyNumberFormat="1" applyFont="1" applyFill="1"/>
    <xf numFmtId="168" fontId="0" fillId="0" borderId="0" xfId="0" applyNumberFormat="1"/>
    <xf numFmtId="43" fontId="31" fillId="0" borderId="1" xfId="3" applyFont="1" applyBorder="1" applyAlignment="1">
      <alignment horizontal="left" vertical="center"/>
    </xf>
    <xf numFmtId="168" fontId="32" fillId="0" borderId="1" xfId="0" applyNumberFormat="1" applyFont="1" applyBorder="1" applyAlignment="1">
      <alignment horizontal="center" vertical="center"/>
    </xf>
    <xf numFmtId="14" fontId="1" fillId="0" borderId="0" xfId="0" applyNumberFormat="1" applyFont="1"/>
    <xf numFmtId="172" fontId="6" fillId="0" borderId="0" xfId="0" applyFont="1"/>
    <xf numFmtId="172" fontId="1" fillId="0" borderId="0" xfId="0" applyNumberFormat="1" applyFont="1"/>
    <xf numFmtId="172" fontId="1" fillId="0" borderId="0" xfId="0" applyNumberFormat="1" applyFont="1"/>
    <xf numFmtId="172" fontId="7" fillId="2" borderId="22" xfId="0" applyFont="1" applyFill="1" applyBorder="1" applyAlignment="1">
      <alignment horizontal="center" vertical="center" wrapText="1"/>
    </xf>
    <xf numFmtId="172" fontId="7" fillId="2" borderId="23" xfId="0" applyFont="1" applyFill="1" applyBorder="1" applyAlignment="1">
      <alignment horizontal="center" vertical="center" wrapText="1"/>
    </xf>
    <xf numFmtId="172" fontId="5" fillId="2" borderId="32" xfId="0" applyFont="1" applyFill="1" applyBorder="1" applyAlignment="1">
      <alignment horizontal="center" vertical="center"/>
    </xf>
    <xf numFmtId="172" fontId="5" fillId="2" borderId="33" xfId="0" applyFont="1" applyFill="1" applyBorder="1" applyAlignment="1">
      <alignment horizontal="center" vertical="center" wrapText="1"/>
    </xf>
    <xf numFmtId="20" fontId="30" fillId="3" borderId="0" xfId="0" applyNumberFormat="1" applyFont="1" applyFill="1" applyAlignment="1">
      <alignment horizontal="left" wrapText="1"/>
    </xf>
    <xf numFmtId="164" fontId="28" fillId="3" borderId="1" xfId="0" applyNumberFormat="1" applyFont="1" applyFill="1" applyBorder="1" applyAlignment="1">
      <alignment horizontal="right" vertical="center"/>
    </xf>
    <xf numFmtId="164" fontId="33" fillId="2" borderId="1" xfId="0" applyNumberFormat="1" applyFont="1" applyFill="1" applyBorder="1" applyAlignment="1">
      <alignment horizontal="center" vertical="center"/>
    </xf>
    <xf numFmtId="168" fontId="28" fillId="0" borderId="5" xfId="0" applyNumberFormat="1" applyFont="1" applyBorder="1" applyAlignment="1">
      <alignment horizontal="left"/>
    </xf>
    <xf numFmtId="168" fontId="28" fillId="0" borderId="7" xfId="0" applyNumberFormat="1" applyFont="1" applyBorder="1" applyAlignment="1">
      <alignment horizontal="left"/>
    </xf>
    <xf numFmtId="172" fontId="12" fillId="0" borderId="0" xfId="0" applyFont="1" applyAlignment="1">
      <alignment vertical="center"/>
    </xf>
    <xf numFmtId="172" fontId="12" fillId="0" borderId="0" xfId="0" applyFont="1" applyAlignment="1">
      <alignment vertical="center"/>
    </xf>
    <xf numFmtId="172" fontId="3" fillId="0" borderId="0" xfId="0" applyFont="1" applyFill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center" vertical="center"/>
    </xf>
    <xf numFmtId="172" fontId="12" fillId="0" borderId="0" xfId="0" applyFont="1" applyAlignment="1">
      <alignment horizontal="center" vertical="center"/>
    </xf>
    <xf numFmtId="172" fontId="6" fillId="0" borderId="0" xfId="0" applyFont="1" applyAlignment="1">
      <alignment horizontal="center"/>
    </xf>
    <xf numFmtId="172" fontId="29" fillId="0" borderId="0" xfId="0" applyFont="1" applyAlignment="1">
      <alignment horizontal="center"/>
    </xf>
    <xf numFmtId="172" fontId="1" fillId="0" borderId="0" xfId="0" applyFont="1" applyAlignment="1"/>
    <xf numFmtId="172" fontId="2" fillId="3" borderId="0" xfId="0" applyFont="1" applyFill="1" applyAlignment="1">
      <alignment horizontal="center"/>
    </xf>
    <xf numFmtId="172" fontId="1" fillId="0" borderId="0" xfId="0" applyFont="1" applyAlignment="1">
      <alignment horizontal="center" vertical="center"/>
    </xf>
    <xf numFmtId="172" fontId="34" fillId="0" borderId="4" xfId="0" applyFont="1" applyBorder="1" applyAlignment="1">
      <alignment horizontal="center"/>
    </xf>
    <xf numFmtId="172" fontId="29" fillId="0" borderId="6" xfId="0" applyFont="1" applyBorder="1" applyAlignment="1">
      <alignment horizontal="center"/>
    </xf>
    <xf numFmtId="172" fontId="29" fillId="0" borderId="9" xfId="0" applyFont="1" applyBorder="1" applyAlignment="1">
      <alignment horizontal="center"/>
    </xf>
    <xf numFmtId="172" fontId="27" fillId="0" borderId="3" xfId="0" applyFont="1" applyBorder="1" applyAlignment="1">
      <alignment horizontal="center"/>
    </xf>
    <xf numFmtId="164" fontId="28" fillId="0" borderId="0" xfId="0" applyNumberFormat="1" applyFont="1" applyBorder="1"/>
    <xf numFmtId="164" fontId="28" fillId="0" borderId="8" xfId="0" applyNumberFormat="1" applyFont="1" applyBorder="1"/>
    <xf numFmtId="172" fontId="5" fillId="2" borderId="34" xfId="0" applyFont="1" applyFill="1" applyBorder="1" applyAlignment="1">
      <alignment horizontal="center" vertical="center"/>
    </xf>
    <xf numFmtId="172" fontId="29" fillId="0" borderId="4" xfId="0" applyFont="1" applyBorder="1" applyAlignment="1">
      <alignment horizontal="center"/>
    </xf>
    <xf numFmtId="172" fontId="0" fillId="2" borderId="20" xfId="0" applyFill="1" applyBorder="1" applyAlignment="1">
      <alignment horizontal="center"/>
    </xf>
    <xf numFmtId="169" fontId="0" fillId="4" borderId="15" xfId="0" applyNumberFormat="1" applyFill="1" applyBorder="1" applyAlignment="1">
      <alignment horizontal="center"/>
    </xf>
    <xf numFmtId="169" fontId="0" fillId="4" borderId="17" xfId="0" applyNumberFormat="1" applyFill="1" applyBorder="1" applyAlignment="1">
      <alignment horizontal="center"/>
    </xf>
    <xf numFmtId="169" fontId="0" fillId="4" borderId="16" xfId="0" applyNumberFormat="1" applyFill="1" applyBorder="1" applyAlignment="1">
      <alignment horizontal="center"/>
    </xf>
    <xf numFmtId="172" fontId="23" fillId="0" borderId="11" xfId="0" applyFont="1" applyBorder="1" applyAlignment="1">
      <alignment horizontal="center" vertical="center"/>
    </xf>
    <xf numFmtId="172" fontId="23" fillId="0" borderId="13" xfId="0" applyFont="1" applyBorder="1" applyAlignment="1">
      <alignment horizontal="center" vertical="center"/>
    </xf>
    <xf numFmtId="172" fontId="23" fillId="0" borderId="19" xfId="0" applyFont="1" applyBorder="1" applyAlignment="1">
      <alignment horizontal="center" vertical="center"/>
    </xf>
    <xf numFmtId="172" fontId="23" fillId="0" borderId="12" xfId="0" applyFont="1" applyBorder="1" applyAlignment="1">
      <alignment horizontal="center" vertical="center"/>
    </xf>
    <xf numFmtId="172" fontId="23" fillId="0" borderId="20" xfId="0" applyFont="1" applyBorder="1" applyAlignment="1">
      <alignment horizontal="center" vertical="center"/>
    </xf>
    <xf numFmtId="172" fontId="23" fillId="0" borderId="21" xfId="0" applyFont="1" applyBorder="1" applyAlignment="1">
      <alignment horizontal="center" vertical="center"/>
    </xf>
    <xf numFmtId="172" fontId="8" fillId="2" borderId="14" xfId="0" applyFont="1" applyFill="1" applyBorder="1" applyAlignment="1">
      <alignment horizontal="center" vertical="center"/>
    </xf>
    <xf numFmtId="172" fontId="8" fillId="2" borderId="10" xfId="0" applyFont="1" applyFill="1" applyBorder="1" applyAlignment="1">
      <alignment horizontal="center" vertical="center"/>
    </xf>
    <xf numFmtId="172" fontId="8" fillId="2" borderId="15" xfId="0" applyNumberFormat="1" applyFont="1" applyFill="1" applyBorder="1" applyAlignment="1">
      <alignment horizontal="center" vertical="center" wrapText="1"/>
    </xf>
    <xf numFmtId="172" fontId="8" fillId="2" borderId="16" xfId="0" applyNumberFormat="1" applyFont="1" applyFill="1" applyBorder="1" applyAlignment="1">
      <alignment horizontal="center" vertical="center" wrapText="1"/>
    </xf>
    <xf numFmtId="172" fontId="13" fillId="0" borderId="0" xfId="0" applyFont="1" applyAlignment="1">
      <alignment horizontal="center" vertical="center"/>
    </xf>
    <xf numFmtId="168" fontId="19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72" fontId="8" fillId="2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72" fontId="13" fillId="0" borderId="0" xfId="0" applyFont="1" applyAlignment="1">
      <alignment horizontal="left" vertical="center"/>
    </xf>
    <xf numFmtId="49" fontId="17" fillId="0" borderId="0" xfId="0" applyNumberFormat="1" applyFont="1" applyBorder="1" applyAlignment="1">
      <alignment horizontal="left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168" fontId="10" fillId="2" borderId="0" xfId="1" applyNumberFormat="1" applyFill="1" applyBorder="1" applyAlignment="1" applyProtection="1">
      <alignment horizontal="left" vertical="center"/>
      <protection locked="0"/>
    </xf>
    <xf numFmtId="172" fontId="7" fillId="2" borderId="23" xfId="0" applyFont="1" applyFill="1" applyBorder="1" applyAlignment="1">
      <alignment horizontal="center" vertical="center" wrapText="1"/>
    </xf>
    <xf numFmtId="172" fontId="7" fillId="2" borderId="24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72" fontId="12" fillId="0" borderId="0" xfId="0" applyFont="1" applyAlignment="1">
      <alignment vertical="center"/>
    </xf>
    <xf numFmtId="172" fontId="3" fillId="0" borderId="0" xfId="0" applyFont="1" applyFill="1" applyBorder="1" applyAlignment="1">
      <alignment horizontal="right" vertical="center" wrapText="1"/>
    </xf>
    <xf numFmtId="172" fontId="12" fillId="0" borderId="0" xfId="0" applyFont="1" applyAlignment="1">
      <alignment horizontal="left" vertical="center"/>
    </xf>
    <xf numFmtId="0" fontId="1" fillId="0" borderId="0" xfId="0" applyNumberFormat="1" applyFont="1"/>
    <xf numFmtId="0" fontId="35" fillId="0" borderId="0" xfId="0" applyNumberFormat="1" applyFont="1"/>
    <xf numFmtId="172" fontId="5" fillId="2" borderId="35" xfId="0" applyFont="1" applyFill="1" applyBorder="1" applyAlignment="1">
      <alignment horizontal="center" vertical="center" wrapText="1"/>
    </xf>
    <xf numFmtId="164" fontId="28" fillId="3" borderId="0" xfId="0" applyNumberFormat="1" applyFont="1" applyFill="1" applyBorder="1" applyAlignment="1">
      <alignment horizontal="right" vertical="center"/>
    </xf>
    <xf numFmtId="172" fontId="7" fillId="2" borderId="0" xfId="0" applyFont="1" applyFill="1" applyBorder="1" applyAlignment="1">
      <alignment horizontal="center" vertical="center" wrapText="1"/>
    </xf>
    <xf numFmtId="164" fontId="29" fillId="0" borderId="0" xfId="0" applyNumberFormat="1" applyFont="1" applyBorder="1" applyAlignment="1">
      <alignment horizontal="center"/>
    </xf>
    <xf numFmtId="164" fontId="29" fillId="0" borderId="8" xfId="0" applyNumberFormat="1" applyFont="1" applyBorder="1" applyAlignment="1">
      <alignment horizontal="center"/>
    </xf>
    <xf numFmtId="164" fontId="29" fillId="0" borderId="0" xfId="0" applyNumberFormat="1" applyFont="1" applyAlignment="1">
      <alignment horizontal="center"/>
    </xf>
    <xf numFmtId="164" fontId="29" fillId="3" borderId="0" xfId="0" applyNumberFormat="1" applyFont="1" applyFill="1" applyAlignment="1">
      <alignment horizontal="center"/>
    </xf>
    <xf numFmtId="164" fontId="29" fillId="3" borderId="0" xfId="0" applyNumberFormat="1" applyFont="1" applyFill="1" applyBorder="1" applyAlignment="1">
      <alignment horizontal="center" vertical="center"/>
    </xf>
    <xf numFmtId="20" fontId="29" fillId="3" borderId="0" xfId="0" applyNumberFormat="1" applyFont="1" applyFill="1" applyAlignment="1">
      <alignment horizontal="center"/>
    </xf>
    <xf numFmtId="0" fontId="14" fillId="0" borderId="0" xfId="0" applyNumberFormat="1" applyFont="1" applyAlignment="1">
      <alignment horizontal="center"/>
    </xf>
  </cellXfs>
  <cellStyles count="5">
    <cellStyle name="Milliers" xfId="3" builtinId="3"/>
    <cellStyle name="Milliers 2" xfId="4" xr:uid="{00000000-0005-0000-0000-000033000000}"/>
    <cellStyle name="Normal" xfId="0" builtinId="0"/>
    <cellStyle name="Normal 2" xfId="1" xr:uid="{00000000-0005-0000-0000-000002000000}"/>
    <cellStyle name="Pourcentage 2" xfId="2" xr:uid="{00000000-0005-0000-0000-000003000000}"/>
  </cellStyles>
  <dxfs count="709"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b/>
        <i val="0"/>
        <color theme="0"/>
      </font>
      <fill>
        <gradientFill degree="90">
          <stop position="0">
            <color theme="5" tint="-0.25098422193060094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theme="0"/>
      </font>
      <fill>
        <gradientFill degree="90">
          <stop position="0">
            <color theme="5" tint="-0.25098422193060094"/>
          </stop>
          <stop position="0.5">
            <color theme="5" tint="-0.49803155613879818"/>
          </stop>
          <stop position="1">
            <color theme="5" tint="-0.25098422193060094"/>
          </stop>
        </gradientFill>
      </fill>
    </dxf>
    <dxf>
      <font>
        <color rgb="FFC00000"/>
      </font>
    </dxf>
    <dxf>
      <font>
        <color rgb="FFC00000"/>
      </font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rgb="FFC00000"/>
      </font>
    </dxf>
    <dxf>
      <font>
        <color rgb="FFC00000"/>
      </font>
    </dxf>
    <dxf>
      <fill>
        <gradientFill degree="90">
          <stop position="0">
            <color rgb="FFC00000"/>
          </stop>
          <stop position="0.5">
            <color theme="5" tint="-0.49803155613879818"/>
          </stop>
          <stop position="1">
            <color rgb="FFC00000"/>
          </stop>
        </gradientFill>
      </fill>
    </dxf>
    <dxf>
      <fill>
        <gradientFill degree="90">
          <stop position="0">
            <color rgb="FFC00000"/>
          </stop>
          <stop position="0.5">
            <color theme="5" tint="-0.49803155613879818"/>
          </stop>
          <stop position="1">
            <color rgb="FFC00000"/>
          </stop>
        </gradientFill>
      </fill>
    </dxf>
    <dxf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ill>
        <gradientFill degree="90">
          <stop position="0">
            <color theme="5" tint="0.59999389629810485"/>
          </stop>
          <stop position="1">
            <color rgb="FFC00000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1" tint="0.24994659260841701"/>
      </font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ill>
        <patternFill>
          <bgColor theme="0" tint="-4.9989318521683403E-2"/>
        </patternFill>
      </fill>
    </dxf>
    <dxf>
      <font>
        <color theme="0"/>
      </font>
      <fill>
        <gradientFill degree="90">
          <stop position="0">
            <color theme="3" tint="0.40000610370189521"/>
          </stop>
          <stop position="0.5">
            <color theme="3" tint="-0.25098422193060094"/>
          </stop>
          <stop position="1">
            <color theme="3" tint="0.40000610370189521"/>
          </stop>
        </gradientFill>
      </fill>
    </dxf>
    <dxf>
      <font>
        <color theme="0"/>
      </font>
      <fill>
        <gradientFill degree="90">
          <stop position="0">
            <color rgb="FFC00000"/>
          </stop>
          <stop position="1">
            <color theme="5" tint="-0.49803155613879818"/>
          </stop>
        </gradient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25" formatCode="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Tahoma"/>
        <family val="2"/>
        <scheme val="none"/>
      </font>
      <numFmt numFmtId="165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Tahoma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ahom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A40000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B$5" max="9999" min="1900" page="10" val="201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257175</xdr:colOff>
          <xdr:row>4</xdr:row>
          <xdr:rowOff>19050</xdr:rowOff>
        </xdr:from>
        <xdr:to>
          <xdr:col>23</xdr:col>
          <xdr:colOff>295275</xdr:colOff>
          <xdr:row>6</xdr:row>
          <xdr:rowOff>0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00000000}" name="Tableau14567893640" displayName="Tableau14567893640" ref="A13:J38" totalsRowShown="0" headerRowDxfId="708" dataDxfId="706" headerRowBorderDxfId="707">
  <tableColumns count="10">
    <tableColumn id="1" xr3:uid="{00000000-0010-0000-0000-000001000000}" name="Jour" dataDxfId="705"/>
    <tableColumn id="2" xr3:uid="{00000000-0010-0000-0000-000002000000}" name="Heure_x000a_Début" dataDxfId="704"/>
    <tableColumn id="9" xr3:uid="{00000000-0010-0000-0000-000009000000}" name="Départ_x000a_Diner" dataDxfId="703"/>
    <tableColumn id="12" xr3:uid="{00000000-0010-0000-0000-00000C000000}" name="Retour_x000a_Diner" dataDxfId="702"/>
    <tableColumn id="3" xr3:uid="{00000000-0010-0000-0000-000003000000}" name="Heure_x000a_Fin" dataDxfId="701"/>
    <tableColumn id="5" xr3:uid="{30BE283A-7B33-4F4D-87B2-8A5EAC5F1ADA}" name="Télétravail_x000a_Départ"/>
    <tableColumn id="4" xr3:uid="{DCE92A0C-AE3B-406F-9B96-C0AF8E4B28C9}" name="Télétravail_x000a_Fin"/>
    <tableColumn id="11" xr3:uid="{00000000-0010-0000-0000-00000B000000}" name="TOTAL_x000a_Journalier" dataDxfId="700"/>
    <tableColumn id="7" xr3:uid="{2F5B097B-A187-4649-873C-9C19EE28A68E}" name="CONGÉ"/>
    <tableColumn id="6" xr3:uid="{289ABE62-1FEE-4CF7-BE82-AF3728E57247}" name="MALADIE" dataDxfId="69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46639259-3F25-4DAA-A2DD-F3D8F5BAB069}" name="Tableau145678936405284" displayName="Tableau145678936405284" ref="A13:I38" totalsRowShown="0" headerRowDxfId="618" dataDxfId="616" headerRowBorderDxfId="617">
  <tableColumns count="9">
    <tableColumn id="1" xr3:uid="{3A6EA7E3-9B1A-4507-B9BB-0A17AA01EA41}" name="Jour" dataDxfId="615"/>
    <tableColumn id="2" xr3:uid="{0FF81867-7238-4A2E-91B5-48960DC678AA}" name="Heure_x000a_Début" dataDxfId="614"/>
    <tableColumn id="9" xr3:uid="{C0E67058-B0A8-4B42-AABC-8BBBB8814BBD}" name="Départ_x000a_Diner" dataDxfId="613"/>
    <tableColumn id="12" xr3:uid="{2C27B92A-7B7C-4719-969D-F451EBFA2AF7}" name="Retour_x000a_Diner" dataDxfId="612"/>
    <tableColumn id="3" xr3:uid="{E39524FC-62A2-47CA-9675-315DC11E2D0A}" name="Heure_x000a_Fin" dataDxfId="611"/>
    <tableColumn id="5" xr3:uid="{12E81E80-9AB7-4B3B-BC58-DC2B59439BB2}" name="Télétravail_x000a_Départ"/>
    <tableColumn id="4" xr3:uid="{96877175-FC0E-4E9A-8E78-A9E8C1A2D8FC}" name="Télétravail_x000a_Fin"/>
    <tableColumn id="11" xr3:uid="{EB608D7D-50E5-4390-900E-31819DAA1725}" name="TOTAL_x000a_Journalier" dataDxfId="610"/>
    <tableColumn id="6" xr3:uid="{BFF3FEAC-AD56-4221-B9D9-B573EF59F365}" name="CONGÉ" dataDxfId="609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70323E91-D56B-49FD-81D4-0A5391B983E2}" name="Tableau145678936405285" displayName="Tableau145678936405285" ref="A13:I38" totalsRowShown="0" headerRowDxfId="608" dataDxfId="606" headerRowBorderDxfId="607">
  <tableColumns count="9">
    <tableColumn id="1" xr3:uid="{7844A4B8-0F34-487F-923B-7932C958AEEA}" name="Jour" dataDxfId="605"/>
    <tableColumn id="2" xr3:uid="{4AB50C8B-64DE-47AA-B605-0DF5ABEF6420}" name="Heure_x000a_Début" dataDxfId="604"/>
    <tableColumn id="9" xr3:uid="{ED815FE7-A191-41BA-B108-84CE00EFAB4E}" name="Départ_x000a_Diner" dataDxfId="603"/>
    <tableColumn id="12" xr3:uid="{5BE27E3B-C94A-4AA7-93B0-28567825BB94}" name="Retour_x000a_Diner" dataDxfId="602"/>
    <tableColumn id="3" xr3:uid="{51124301-940F-4B3C-85D5-960049332942}" name="Heure_x000a_Fin" dataDxfId="601"/>
    <tableColumn id="5" xr3:uid="{694A3FB3-16F2-4E92-B73F-565CACB4EA17}" name="Télétravail_x000a_Départ"/>
    <tableColumn id="4" xr3:uid="{B912986E-0034-43ED-9952-0BB1425FABE5}" name="Télétravail_x000a_Fin"/>
    <tableColumn id="11" xr3:uid="{7E2D5DB6-1940-4BBD-81B8-C6458EA3D3B4}" name="TOTAL_x000a_Journalier" dataDxfId="600"/>
    <tableColumn id="6" xr3:uid="{9BEACAC4-92FB-419E-9A8F-7215D7183043}" name="CONGÉ" dataDxfId="599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ED8EC4C4-98B4-4CE9-A7FC-EE0FB42AEFAC}" name="Tableau145678936405286" displayName="Tableau145678936405286" ref="A13:I38" totalsRowShown="0" headerRowDxfId="598" dataDxfId="596" headerRowBorderDxfId="597">
  <tableColumns count="9">
    <tableColumn id="1" xr3:uid="{27618FC0-4A4D-4FFC-A121-B9A7F79ADAAE}" name="Jour" dataDxfId="595"/>
    <tableColumn id="2" xr3:uid="{2E4158DD-7D34-4B8D-9511-D89B947ADA5E}" name="Heure_x000a_Début" dataDxfId="594"/>
    <tableColumn id="9" xr3:uid="{2240BE96-730B-4E1A-8126-3693125A75E8}" name="Départ_x000a_Diner" dataDxfId="593"/>
    <tableColumn id="12" xr3:uid="{79DCADBB-5B08-47D3-ABEF-ABC8C57FD785}" name="Retour_x000a_Diner" dataDxfId="592"/>
    <tableColumn id="3" xr3:uid="{7D708966-D9C3-4F41-906A-787E3FAD9345}" name="Heure_x000a_Fin" dataDxfId="591"/>
    <tableColumn id="5" xr3:uid="{4BC040ED-289B-4953-86B7-45FDDA48720D}" name="Télétravail_x000a_Départ"/>
    <tableColumn id="4" xr3:uid="{2FCD2930-24BD-4B18-B3F9-632209109ECC}" name="Télétravail_x000a_Fin"/>
    <tableColumn id="11" xr3:uid="{C1330E22-5FB5-4BDD-8E2A-230E33D9F1D0}" name="TOTAL_x000a_Journalier" dataDxfId="590"/>
    <tableColumn id="6" xr3:uid="{678CB16A-8534-40F8-8E57-05DA6339C75A}" name="CONGÉ" dataDxfId="58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ED18CC68-4F81-44B4-BA23-A9315A76392F}" name="Tableau145678936405287" displayName="Tableau145678936405287" ref="A13:I38" totalsRowShown="0" headerRowDxfId="588" dataDxfId="586" headerRowBorderDxfId="587">
  <tableColumns count="9">
    <tableColumn id="1" xr3:uid="{3A46DBA5-BF9C-4E11-9776-8B23894A33CB}" name="Jour" dataDxfId="585"/>
    <tableColumn id="2" xr3:uid="{B842BBF7-34C3-4C55-BCCE-4B4CC1C137AE}" name="Heure_x000a_Début" dataDxfId="584"/>
    <tableColumn id="9" xr3:uid="{F4BF9762-E7D7-4EEF-A667-21B03CE6F4E8}" name="Départ_x000a_Diner" dataDxfId="583"/>
    <tableColumn id="12" xr3:uid="{4D6A87BB-149E-4C81-B97F-8053DD578A3C}" name="Retour_x000a_Diner" dataDxfId="582"/>
    <tableColumn id="3" xr3:uid="{8CC4F7D1-4A06-4C58-AF3A-6C97C25FB2AF}" name="Heure_x000a_Fin" dataDxfId="581"/>
    <tableColumn id="5" xr3:uid="{728DF6AA-D143-44CF-AC8A-AE3AA8523298}" name="Télétravail_x000a_Départ"/>
    <tableColumn id="4" xr3:uid="{71014590-B5B8-473D-B958-A18F8EBCED4D}" name="Télétravail_x000a_Fin"/>
    <tableColumn id="11" xr3:uid="{5C992BF8-2BBD-4903-9993-CB9EAC7364A7}" name="TOTAL_x000a_Journalier" dataDxfId="580"/>
    <tableColumn id="6" xr3:uid="{AF7CFBD1-9F79-44D2-9184-3C59161B6A91}" name="CONGÉ" dataDxfId="579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C197C90-F642-46FB-B0C8-260ACD5821F5}" name="Tableau145678936405288" displayName="Tableau145678936405288" ref="A13:I38" totalsRowShown="0" headerRowDxfId="578" dataDxfId="576" headerRowBorderDxfId="577">
  <tableColumns count="9">
    <tableColumn id="1" xr3:uid="{3AAA9C53-F933-4265-84F3-3D9925FDC8B6}" name="Jour" dataDxfId="575"/>
    <tableColumn id="2" xr3:uid="{0A7DCC1C-E18D-48B1-AC2D-EDF4F5C6FDE6}" name="Heure_x000a_Début" dataDxfId="574"/>
    <tableColumn id="9" xr3:uid="{8669F6B6-7D82-4B56-9FC7-3311A5F463F1}" name="Départ_x000a_Diner" dataDxfId="573"/>
    <tableColumn id="12" xr3:uid="{865A525E-2E00-451D-8CE5-80BDE33ED50D}" name="Retour_x000a_Diner" dataDxfId="572"/>
    <tableColumn id="3" xr3:uid="{DE5E7E16-092C-4DD1-8108-623311D18FE0}" name="Heure_x000a_Fin" dataDxfId="571"/>
    <tableColumn id="5" xr3:uid="{07FEAD36-B43B-49AA-9A99-9961A92E9A72}" name="Télétravail_x000a_Départ"/>
    <tableColumn id="4" xr3:uid="{DCEA5F71-7689-42A1-AB40-4452815C984B}" name="Télétravail_x000a_Fin"/>
    <tableColumn id="11" xr3:uid="{A4369BC1-A26E-497F-A6A1-FABF4CF9346E}" name="TOTAL_x000a_Journalier" dataDxfId="570"/>
    <tableColumn id="6" xr3:uid="{6ED23737-439F-4B76-8C6D-59F5CB85706E}" name="CONGÉ" dataDxfId="569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936AFBA4-0CC8-4E7B-BBF2-253F92BFCC9F}" name="Tableau145678936405289" displayName="Tableau145678936405289" ref="A13:I38" totalsRowShown="0" headerRowDxfId="568" dataDxfId="566" headerRowBorderDxfId="567">
  <tableColumns count="9">
    <tableColumn id="1" xr3:uid="{ACEAAF98-6B53-4ED4-8F2F-51EA339B0FC8}" name="Jour" dataDxfId="565"/>
    <tableColumn id="2" xr3:uid="{FB8E0214-AE47-4CD6-A878-3AF977933090}" name="Heure_x000a_Début" dataDxfId="564"/>
    <tableColumn id="9" xr3:uid="{87B4D5FF-1924-43E0-AB19-D74D03C7982C}" name="Départ_x000a_Diner" dataDxfId="563"/>
    <tableColumn id="12" xr3:uid="{33F4070E-F736-426C-B0B1-B722B0D6A452}" name="Retour_x000a_Diner" dataDxfId="562"/>
    <tableColumn id="3" xr3:uid="{3C2DA14B-7B32-486A-B7A9-94C234A85F50}" name="Heure_x000a_Fin" dataDxfId="561"/>
    <tableColumn id="5" xr3:uid="{CF8D8A22-C51D-4257-ADA4-9A0AA87ADE7E}" name="Télétravail_x000a_Départ"/>
    <tableColumn id="4" xr3:uid="{658C5AC8-9045-4D1D-8AEA-8D6F7CD605CE}" name="Télétravail_x000a_Fin"/>
    <tableColumn id="11" xr3:uid="{2C031C1D-333E-436F-9AFE-B496AA623B28}" name="TOTAL_x000a_Journalier" dataDxfId="560"/>
    <tableColumn id="6" xr3:uid="{8CC986BD-3939-4AA5-8BC9-1FFF5C26B217}" name="CONGÉ" dataDxfId="559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24B44A7-5BFC-41C6-8AEC-760786994DB0}" name="Tableau145678936405290" displayName="Tableau145678936405290" ref="A13:I38" totalsRowShown="0" headerRowDxfId="558" dataDxfId="556" headerRowBorderDxfId="557">
  <tableColumns count="9">
    <tableColumn id="1" xr3:uid="{922EFF19-99B1-49BB-9CFB-B5FCAC582878}" name="Jour" dataDxfId="555"/>
    <tableColumn id="2" xr3:uid="{5A8A9F7C-55F3-4A04-A6A7-DA8BAB31E841}" name="Heure_x000a_Début" dataDxfId="554"/>
    <tableColumn id="9" xr3:uid="{044910AE-7F41-4E11-9515-EE6A9FBD9220}" name="Départ_x000a_Diner" dataDxfId="553"/>
    <tableColumn id="12" xr3:uid="{777A08FA-D072-4D99-856A-90EC4B492F9A}" name="Retour_x000a_Diner" dataDxfId="552"/>
    <tableColumn id="3" xr3:uid="{B72874FF-1447-467C-8DC5-835BFD3B9D84}" name="Heure_x000a_Fin" dataDxfId="551"/>
    <tableColumn id="5" xr3:uid="{027E136E-17CA-4ED2-8382-F53ABE245D7C}" name="Télétravail_x000a_Départ"/>
    <tableColumn id="4" xr3:uid="{34D38C6E-FFF8-4E24-A610-905E21A5175A}" name="Télétravail_x000a_Fin"/>
    <tableColumn id="11" xr3:uid="{96E22FC1-8380-4F2F-9AB9-01D6CB5D566C}" name="TOTAL_x000a_Journalier" dataDxfId="550"/>
    <tableColumn id="6" xr3:uid="{EE2ACC2B-FBC8-4AF9-8703-58A4723019FB}" name="CONGÉ" dataDxfId="549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C53A3D94-45CD-474B-AE09-DCCF64E3E61B}" name="Tableau145678936405291" displayName="Tableau145678936405291" ref="A13:I38" totalsRowShown="0" headerRowDxfId="548" dataDxfId="546" headerRowBorderDxfId="547">
  <tableColumns count="9">
    <tableColumn id="1" xr3:uid="{D2C3B2A5-393F-477D-B227-56639E962B39}" name="Jour" dataDxfId="545"/>
    <tableColumn id="2" xr3:uid="{5941DCED-A80F-4C86-8178-A269BB936C75}" name="Heure_x000a_Début" dataDxfId="544"/>
    <tableColumn id="9" xr3:uid="{9C021A46-8C2E-452C-8892-80097728DC90}" name="Départ_x000a_Diner" dataDxfId="543"/>
    <tableColumn id="12" xr3:uid="{FDD703D5-0FFA-411B-9108-C9FE0770E430}" name="Retour_x000a_Diner" dataDxfId="542"/>
    <tableColumn id="3" xr3:uid="{1FCB6F01-3240-41B7-91A8-9FF344C84AF1}" name="Heure_x000a_Fin" dataDxfId="541"/>
    <tableColumn id="5" xr3:uid="{718B0962-A9A4-461D-BD40-CDD20774CBC7}" name="Télétravail_x000a_Départ"/>
    <tableColumn id="4" xr3:uid="{8D0CE4C6-F7B1-45BE-84D3-F8D7490500DF}" name="Télétravail_x000a_Fin"/>
    <tableColumn id="11" xr3:uid="{AB75ACD5-0CE1-47BC-8038-C07B89C65A16}" name="TOTAL_x000a_Journalier" dataDxfId="540"/>
    <tableColumn id="6" xr3:uid="{E3EABE2B-D0AB-4052-A2F8-8E0F8EAFCEC6}" name="CONGÉ" dataDxfId="539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5BC54BDF-8E3A-40A7-8F15-91FD44118789}" name="Tableau145678936405292" displayName="Tableau145678936405292" ref="A13:I38" totalsRowShown="0" headerRowDxfId="538" dataDxfId="536" headerRowBorderDxfId="537">
  <tableColumns count="9">
    <tableColumn id="1" xr3:uid="{95EA2F3B-AAC0-4E83-8D44-F6DC042EE925}" name="Jour" dataDxfId="535"/>
    <tableColumn id="2" xr3:uid="{7423E478-0368-431C-A9FC-851A6947F30C}" name="Heure_x000a_Début" dataDxfId="534"/>
    <tableColumn id="9" xr3:uid="{33B1AD91-5AA1-4A30-B702-466704C37AB4}" name="Départ_x000a_Diner" dataDxfId="533"/>
    <tableColumn id="12" xr3:uid="{7A9E7340-F86B-47B2-987C-42C14A83BDDA}" name="Retour_x000a_Diner" dataDxfId="532"/>
    <tableColumn id="3" xr3:uid="{B52D6DC0-882D-4295-B2D7-BCCD2CFC585C}" name="Heure_x000a_Fin" dataDxfId="531"/>
    <tableColumn id="5" xr3:uid="{277E2B7F-7AA7-40F9-A464-883E1016EA59}" name="Télétravail_x000a_Départ"/>
    <tableColumn id="4" xr3:uid="{C73608E4-0038-436B-BC40-B926C8505655}" name="Télétravail_x000a_Fin"/>
    <tableColumn id="11" xr3:uid="{DFAF59BE-908E-4F13-9EAB-DDEFAC8A5ADB}" name="TOTAL_x000a_Journalier" dataDxfId="530"/>
    <tableColumn id="6" xr3:uid="{2245B96D-29A3-42CF-B400-D10A17654E7C}" name="CONGÉ" dataDxfId="52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C5E85847-CEA0-48C8-9E62-3F6D7F2C8457}" name="Tableau145678936405293" displayName="Tableau145678936405293" ref="A13:I38" totalsRowShown="0" headerRowDxfId="528" dataDxfId="526" headerRowBorderDxfId="527">
  <tableColumns count="9">
    <tableColumn id="1" xr3:uid="{F2556E45-11DF-425B-888A-C238ABDFC9BF}" name="Jour" dataDxfId="525"/>
    <tableColumn id="2" xr3:uid="{42ADAD73-8434-4164-9BF8-E79AF1325A1E}" name="Heure_x000a_Début" dataDxfId="524"/>
    <tableColumn id="9" xr3:uid="{7EBCA56C-BFA8-4941-BE34-071BEB2D7375}" name="Départ_x000a_Diner" dataDxfId="523"/>
    <tableColumn id="12" xr3:uid="{17803009-EB90-4454-B267-F345FC962B71}" name="Retour_x000a_Diner" dataDxfId="522"/>
    <tableColumn id="3" xr3:uid="{92A3CF3A-51AD-4E6D-8C7B-76DA0CB971DA}" name="Heure_x000a_Fin" dataDxfId="521"/>
    <tableColumn id="5" xr3:uid="{20F4C662-C42C-4C83-8781-08EB7FCD36DC}" name="Télétravail_x000a_Départ"/>
    <tableColumn id="4" xr3:uid="{19883696-E25D-443A-8F84-CB81C62D9457}" name="Télétravail_x000a_Fin"/>
    <tableColumn id="11" xr3:uid="{11B8169A-E364-4D29-9ACC-15BD4473874D}" name="TOTAL_x000a_Journalier" dataDxfId="520"/>
    <tableColumn id="6" xr3:uid="{A88773F1-8C74-4485-ADF4-4D341A759085}" name="CONGÉ" dataDxfId="51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C25A20B0-8CB0-4F9E-97AC-288FC1747637}" name="Tableau1456789364052" displayName="Tableau1456789364052" ref="A13:I38" totalsRowShown="0" headerRowDxfId="698" dataDxfId="696" headerRowBorderDxfId="697">
  <tableColumns count="9">
    <tableColumn id="1" xr3:uid="{974D32F6-D476-4031-A342-5EC36FBEBEC6}" name="Jour" dataDxfId="695"/>
    <tableColumn id="2" xr3:uid="{F69B5C68-A609-4702-BAC7-B50EC32FC2C6}" name="Heure_x000a_Début" dataDxfId="694"/>
    <tableColumn id="9" xr3:uid="{26B64FFE-3CCB-4200-B086-AD51245DD02B}" name="Départ_x000a_Diner" dataDxfId="693"/>
    <tableColumn id="12" xr3:uid="{FBCE24A8-DA73-40E9-B235-F9029C537306}" name="Retour_x000a_Diner" dataDxfId="692"/>
    <tableColumn id="3" xr3:uid="{50E1B4F2-84A9-4660-B0C7-0EA2A381C29A}" name="Heure_x000a_Fin" dataDxfId="691"/>
    <tableColumn id="5" xr3:uid="{81E89BFA-D7F8-4828-8AA6-6DD81DAB80C9}" name="Télétravail_x000a_Départ"/>
    <tableColumn id="4" xr3:uid="{7A7D97DE-ACA5-4DF5-A6EE-0C1B6806A9CF}" name="Télétravail_x000a_Fin"/>
    <tableColumn id="11" xr3:uid="{E33B0E0D-93AD-4E9C-9FE6-07EBF927CBE9}" name="TOTAL_x000a_Journalier" dataDxfId="690"/>
    <tableColumn id="6" xr3:uid="{3552A6A3-17F3-4FBC-AE24-54DE61CBF381}" name="CONGÉ" dataDxfId="689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CD34AC64-9C40-43D7-B6B7-8D93C84D5CF8}" name="Tableau145678936405294" displayName="Tableau145678936405294" ref="A13:I38" totalsRowShown="0" headerRowDxfId="518" dataDxfId="516" headerRowBorderDxfId="517">
  <tableColumns count="9">
    <tableColumn id="1" xr3:uid="{D44485D0-FB50-4D34-8A53-B90778753D7B}" name="Jour" dataDxfId="515"/>
    <tableColumn id="2" xr3:uid="{02B5D0B2-4447-4020-9FF8-258DD52A4082}" name="Heure_x000a_Début" dataDxfId="514"/>
    <tableColumn id="9" xr3:uid="{5F498D83-5E9C-442A-9812-70E9DDC57DF5}" name="Départ_x000a_Diner" dataDxfId="513"/>
    <tableColumn id="12" xr3:uid="{7B831F1F-06CF-47B4-846C-1AE4D78D04BA}" name="Retour_x000a_Diner" dataDxfId="512"/>
    <tableColumn id="3" xr3:uid="{AC52CB68-E327-485B-B57F-6A5B713F0693}" name="Heure_x000a_Fin" dataDxfId="511"/>
    <tableColumn id="5" xr3:uid="{41FA9B70-671D-4C9F-9BA9-27093737339C}" name="Télétravail_x000a_Départ"/>
    <tableColumn id="4" xr3:uid="{C6E35701-92BB-43B2-8B09-76C3C307F8F4}" name="Télétravail_x000a_Fin"/>
    <tableColumn id="11" xr3:uid="{2D7E7F2F-F301-497E-971D-B058767B7407}" name="TOTAL_x000a_Journalier" dataDxfId="510"/>
    <tableColumn id="6" xr3:uid="{55C71C7B-C6D3-444F-9067-A5AFABF4A072}" name="CONGÉ" dataDxfId="509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980144D-82E6-4198-9177-B2C537A3C912}" name="Tableau145678936405295" displayName="Tableau145678936405295" ref="A13:I38" totalsRowShown="0" headerRowDxfId="508" dataDxfId="506" headerRowBorderDxfId="507">
  <tableColumns count="9">
    <tableColumn id="1" xr3:uid="{51123D5F-70DA-40B1-A9C2-F83275591CD4}" name="Jour" dataDxfId="505"/>
    <tableColumn id="2" xr3:uid="{736A476A-95AD-48B1-B8F7-5C80F8FBB095}" name="Heure_x000a_Début" dataDxfId="504"/>
    <tableColumn id="9" xr3:uid="{277EA4B4-9DAF-43FD-95E1-D39C10FFE6B5}" name="Départ_x000a_Diner" dataDxfId="503"/>
    <tableColumn id="12" xr3:uid="{82657CEE-5086-42B5-9CE9-143F58074EA8}" name="Retour_x000a_Diner" dataDxfId="502"/>
    <tableColumn id="3" xr3:uid="{2BF4EB0F-3747-4CCC-994F-E588C5BB865D}" name="Heure_x000a_Fin" dataDxfId="501"/>
    <tableColumn id="5" xr3:uid="{95CE0E76-8282-4043-9C07-D260B2BD84D1}" name="Télétravail_x000a_Départ"/>
    <tableColumn id="4" xr3:uid="{6D91AC27-FADC-4474-9A34-F3A7976F96AE}" name="Télétravail_x000a_Fin"/>
    <tableColumn id="11" xr3:uid="{666AC3C4-0EFC-4070-B6EF-8F6CA27A9619}" name="TOTAL_x000a_Journalier" dataDxfId="500"/>
    <tableColumn id="6" xr3:uid="{266C16DF-BF99-4A41-9EBC-49C4C06125F6}" name="CONGÉ" dataDxfId="499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34A248B3-4E0A-4230-8630-3837BB9DF18A}" name="Tableau145678936405296" displayName="Tableau145678936405296" ref="A13:I38" totalsRowShown="0" headerRowDxfId="498" dataDxfId="496" headerRowBorderDxfId="497">
  <tableColumns count="9">
    <tableColumn id="1" xr3:uid="{8FAAEE4C-2C1C-41D6-BA71-591B3DB0DA41}" name="Jour" dataDxfId="495"/>
    <tableColumn id="2" xr3:uid="{3CAB6800-4372-40C8-9829-0F7E859B031A}" name="Heure_x000a_Début" dataDxfId="494"/>
    <tableColumn id="9" xr3:uid="{8D020750-2367-48AE-9AFE-08347DFFC50E}" name="Départ_x000a_Diner" dataDxfId="493"/>
    <tableColumn id="12" xr3:uid="{46DD7624-A6E9-48E0-8D84-E7AA08A03A7B}" name="Retour_x000a_Diner" dataDxfId="492"/>
    <tableColumn id="3" xr3:uid="{1B223426-25CF-4B17-99B9-61FCD3714E66}" name="Heure_x000a_Fin" dataDxfId="491"/>
    <tableColumn id="5" xr3:uid="{2E070B69-894A-45AF-8F9C-C139C663B797}" name="Télétravail_x000a_Départ"/>
    <tableColumn id="4" xr3:uid="{65FABE93-80FF-49D5-9CB9-C53B106D2300}" name="Télétravail_x000a_Fin"/>
    <tableColumn id="11" xr3:uid="{01BAC9CE-00F9-4834-8F8C-BCCDC8183897}" name="TOTAL_x000a_Journalier" dataDxfId="490"/>
    <tableColumn id="6" xr3:uid="{7C93C501-53E9-461D-AB72-448D92440F30}" name="CONGÉ" dataDxfId="489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270505EB-EBD3-4F2D-9C0C-0D24BD7DE682}" name="Tableau145678936405297" displayName="Tableau145678936405297" ref="A13:I38" totalsRowShown="0" headerRowDxfId="488" dataDxfId="486" headerRowBorderDxfId="487">
  <tableColumns count="9">
    <tableColumn id="1" xr3:uid="{D4A05FA9-4656-4A73-85A5-B8FC0C772428}" name="Jour" dataDxfId="485"/>
    <tableColumn id="2" xr3:uid="{BEA70FC5-75DF-4382-869F-73A368A18768}" name="Heure_x000a_Début" dataDxfId="484"/>
    <tableColumn id="9" xr3:uid="{BDFEE9F3-F3F0-47F4-8B82-4DFA3DCB7155}" name="Départ_x000a_Diner" dataDxfId="483"/>
    <tableColumn id="12" xr3:uid="{57FA0802-72D3-48D9-A7FD-0F213FDE3477}" name="Retour_x000a_Diner" dataDxfId="482"/>
    <tableColumn id="3" xr3:uid="{693672B9-8B6F-4685-912B-B0784B1C080D}" name="Heure_x000a_Fin" dataDxfId="481"/>
    <tableColumn id="5" xr3:uid="{BFA66D5C-3D3C-4260-A1FE-5093FA86F8ED}" name="Télétravail_x000a_Départ"/>
    <tableColumn id="4" xr3:uid="{B7DBC0FB-C1AA-41FB-9CE9-98AEB7C0C041}" name="Télétravail_x000a_Fin"/>
    <tableColumn id="11" xr3:uid="{B31E13DC-D8E3-4B4F-BCBF-BC2F113699BC}" name="TOTAL_x000a_Journalier" dataDxfId="480"/>
    <tableColumn id="6" xr3:uid="{2A0E8F83-D4BE-4A16-B5EE-D0B1963E6D35}" name="CONGÉ" dataDxfId="479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A17DBD46-241B-46C7-BB20-91688B14CDB9}" name="Tableau145678936405298" displayName="Tableau145678936405298" ref="A13:I38" totalsRowShown="0" headerRowDxfId="478" dataDxfId="476" headerRowBorderDxfId="477">
  <tableColumns count="9">
    <tableColumn id="1" xr3:uid="{E6FA0618-C124-4A60-9784-7EE3801C7731}" name="Jour" dataDxfId="475"/>
    <tableColumn id="2" xr3:uid="{F30FF1DC-A4AE-486F-8883-7FBC7FDFDA7F}" name="Heure_x000a_Début" dataDxfId="474"/>
    <tableColumn id="9" xr3:uid="{8FE0CDE5-F545-457B-933D-F916928BB894}" name="Départ_x000a_Diner" dataDxfId="473"/>
    <tableColumn id="12" xr3:uid="{A3DE24D7-09BA-47F5-8C3C-6E77DC2701E7}" name="Retour_x000a_Diner" dataDxfId="472"/>
    <tableColumn id="3" xr3:uid="{E6D08EAE-5D46-4856-9DA4-BCC119C22DF7}" name="Heure_x000a_Fin" dataDxfId="471"/>
    <tableColumn id="5" xr3:uid="{1F33B97B-021B-4FEB-9EC8-5E6196DFECCF}" name="Télétravail_x000a_Départ"/>
    <tableColumn id="4" xr3:uid="{5BE6B673-8CBE-484A-B60D-A07BD7C27A93}" name="Télétravail_x000a_Fin"/>
    <tableColumn id="11" xr3:uid="{8B622471-9EC3-470A-87EB-1666F9D0B080}" name="TOTAL_x000a_Journalier" dataDxfId="470"/>
    <tableColumn id="6" xr3:uid="{BECFF3AB-77C2-49FF-885B-2CECC22160DB}" name="CONGÉ" dataDxfId="469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626635-CA97-417E-B230-586FD8A142AE}" name="Tableau145678936405299" displayName="Tableau145678936405299" ref="A13:I38" totalsRowShown="0" headerRowDxfId="468" dataDxfId="466" headerRowBorderDxfId="467">
  <tableColumns count="9">
    <tableColumn id="1" xr3:uid="{8C39FBBF-A5B0-49A6-9AFD-247BD35F17D3}" name="Jour" dataDxfId="465"/>
    <tableColumn id="2" xr3:uid="{79EFD301-66F3-4AC1-B688-C83D67965A5A}" name="Heure_x000a_Début" dataDxfId="464"/>
    <tableColumn id="9" xr3:uid="{671B166D-9655-4602-8ACF-EF5189E3A5FE}" name="Départ_x000a_Diner" dataDxfId="463"/>
    <tableColumn id="12" xr3:uid="{356CD322-2722-4C71-A7E8-D5DF47C21021}" name="Retour_x000a_Diner" dataDxfId="462"/>
    <tableColumn id="3" xr3:uid="{7E0EA6F5-B201-4F87-AA3C-77DEE30B16DD}" name="Heure_x000a_Fin" dataDxfId="461"/>
    <tableColumn id="5" xr3:uid="{A95EF4A8-3B1D-4109-B88D-B51234C63765}" name="Télétravail_x000a_Départ"/>
    <tableColumn id="4" xr3:uid="{FBEB5222-2673-416B-A8D8-E70D73E54B7B}" name="Télétravail_x000a_Fin"/>
    <tableColumn id="11" xr3:uid="{DC77A929-31AF-40B5-B007-EAE8C22FC634}" name="TOTAL_x000a_Journalier" dataDxfId="460"/>
    <tableColumn id="6" xr3:uid="{BC386391-E931-4A54-82D6-2B8372AA84F1}" name="CONGÉ" dataDxfId="459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74CD00C8-94AF-473F-A63F-A1335170F273}" name="Tableau1456789364052100" displayName="Tableau1456789364052100" ref="A13:I38" totalsRowShown="0" headerRowDxfId="458" dataDxfId="456" headerRowBorderDxfId="457">
  <tableColumns count="9">
    <tableColumn id="1" xr3:uid="{1AAC6218-3E18-4DBC-B109-59E7B74B3D41}" name="Jour" dataDxfId="455"/>
    <tableColumn id="2" xr3:uid="{FFE93344-64C6-4A1C-BAEF-825DC5AC9C49}" name="Heure_x000a_Début" dataDxfId="454"/>
    <tableColumn id="9" xr3:uid="{BED1F7D6-91D7-4CE2-AE7A-DB07971CDA02}" name="Départ_x000a_Diner" dataDxfId="453"/>
    <tableColumn id="12" xr3:uid="{E90713D1-3E00-4DBC-97CD-7BAA53F01C2D}" name="Retour_x000a_Diner" dataDxfId="452"/>
    <tableColumn id="3" xr3:uid="{3A4E9F1A-8DEF-4AD8-987A-5FB54392810B}" name="Heure_x000a_Fin" dataDxfId="451"/>
    <tableColumn id="5" xr3:uid="{07EA2C8F-0DC7-4924-ADD0-417C925761D6}" name="Télétravail_x000a_Départ"/>
    <tableColumn id="4" xr3:uid="{4C763CF4-435E-4EA5-AFB6-C0A5AECA0AA4}" name="Télétravail_x000a_Fin"/>
    <tableColumn id="11" xr3:uid="{9B5D21B9-BD25-4FD7-9F4F-B9503DCED3C5}" name="TOTAL_x000a_Journalier" dataDxfId="450"/>
    <tableColumn id="6" xr3:uid="{F73ED5B1-6469-4C5B-82F8-DC5A1BF8EBC6}" name="CONGÉ" dataDxfId="44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44095FB9-7674-4E8C-8259-3714988EC4F4}" name="Tableau145678936405277" displayName="Tableau145678936405277" ref="A13:I38" totalsRowShown="0" headerRowDxfId="688" dataDxfId="686" headerRowBorderDxfId="687">
  <tableColumns count="9">
    <tableColumn id="1" xr3:uid="{4F86310F-6FE4-4E76-B609-AC915C5DCC10}" name="Jour" dataDxfId="685"/>
    <tableColumn id="2" xr3:uid="{FBEE405B-A5B7-4659-89D4-1239F7A3B84A}" name="Heure_x000a_Début" dataDxfId="684"/>
    <tableColumn id="9" xr3:uid="{8B2D8F46-3E13-4243-A950-6786BF3152E1}" name="Départ_x000a_Diner" dataDxfId="683"/>
    <tableColumn id="12" xr3:uid="{3C6C3C44-6891-4D23-BA1A-2A23F65EECCA}" name="Retour_x000a_Diner" dataDxfId="682"/>
    <tableColumn id="3" xr3:uid="{A666F220-B0DE-495D-899A-360B8C18676E}" name="Heure_x000a_Fin" dataDxfId="681"/>
    <tableColumn id="5" xr3:uid="{38A2CE92-0065-407D-9C38-08A9B69A89DC}" name="Télétravail_x000a_Départ"/>
    <tableColumn id="4" xr3:uid="{B16B5278-97F9-4AD4-B778-3EDA115C9F04}" name="Télétravail_x000a_Fin"/>
    <tableColumn id="11" xr3:uid="{AC2CC7A1-43E7-4BED-9FD2-E74ED44C5CB1}" name="TOTAL_x000a_Journalier" dataDxfId="680"/>
    <tableColumn id="6" xr3:uid="{5D712400-1FAC-4684-8F0B-9FCF75F27C33}" name="CONGÉ" dataDxfId="67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4582B7C-8D1D-44FB-B8F8-28D9FA268C17}" name="Tableau145678936405278" displayName="Tableau145678936405278" ref="A13:I38" totalsRowShown="0" headerRowDxfId="678" dataDxfId="676" headerRowBorderDxfId="677">
  <tableColumns count="9">
    <tableColumn id="1" xr3:uid="{E67B96CC-169A-46A8-924E-85EF9450582B}" name="Jour" dataDxfId="675"/>
    <tableColumn id="2" xr3:uid="{208102D4-9EE6-4AF1-AE2D-6A0E74AE74F6}" name="Heure_x000a_Début" dataDxfId="674"/>
    <tableColumn id="9" xr3:uid="{44DA9C66-C2A0-4513-8C22-415ABA77FBD7}" name="Départ_x000a_Diner" dataDxfId="673"/>
    <tableColumn id="12" xr3:uid="{9CA51195-78E2-48E6-87F2-4E62F4C48508}" name="Retour_x000a_Diner" dataDxfId="672"/>
    <tableColumn id="3" xr3:uid="{BE0EFA29-170C-4608-BCB8-44E806962D47}" name="Heure_x000a_Fin" dataDxfId="671"/>
    <tableColumn id="5" xr3:uid="{51556704-8B9E-49A1-B0F4-98134E7D234C}" name="Télétravail_x000a_Départ"/>
    <tableColumn id="4" xr3:uid="{1223F1EA-507C-4462-BC34-26C04E6100AE}" name="Télétravail_x000a_Fin"/>
    <tableColumn id="11" xr3:uid="{BCB8232B-9A9C-4F76-9B8F-840CD872CDA5}" name="TOTAL_x000a_Journalier" dataDxfId="670"/>
    <tableColumn id="6" xr3:uid="{106E7215-5AEB-4DAD-9E79-CF35CD350F4E}" name="CONGÉ" dataDxfId="66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7D4E9A8D-E82F-4E2D-8AB5-F7C6421713C8}" name="Tableau145678936405279" displayName="Tableau145678936405279" ref="A13:I38" totalsRowShown="0" headerRowDxfId="668" dataDxfId="666" headerRowBorderDxfId="667">
  <tableColumns count="9">
    <tableColumn id="1" xr3:uid="{263888ED-35FC-42D8-80E3-5CA239A5A491}" name="Jour" dataDxfId="665"/>
    <tableColumn id="2" xr3:uid="{2A2FE56F-3BA2-48C9-B4A4-3911947E9D74}" name="Heure_x000a_Début" dataDxfId="664"/>
    <tableColumn id="9" xr3:uid="{D8D611AD-CEFD-4B33-9799-EA7AF244634D}" name="Départ_x000a_Diner" dataDxfId="663"/>
    <tableColumn id="12" xr3:uid="{8D067505-76D2-48E3-9124-F8D89EF94758}" name="Retour_x000a_Diner" dataDxfId="662"/>
    <tableColumn id="3" xr3:uid="{0B3FC983-C8D0-4028-BB27-EE8FBF6D0894}" name="Heure_x000a_Fin" dataDxfId="661"/>
    <tableColumn id="5" xr3:uid="{68A18931-1330-4EEA-AB91-8789828EC28E}" name="Télétravail_x000a_Départ"/>
    <tableColumn id="4" xr3:uid="{621EF1BC-E6F4-403B-9008-E72CB3D13204}" name="Télétravail_x000a_Fin"/>
    <tableColumn id="11" xr3:uid="{4C2EF14E-7BA8-4313-BE7C-4B8E89A76E0C}" name="TOTAL_x000a_Journalier" dataDxfId="660"/>
    <tableColumn id="6" xr3:uid="{1C8A3232-A503-43A7-998C-C83F442CE30F}" name="CONGÉ" dataDxfId="65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B9F5BE2-9F7E-4847-BCBC-DA56A411439E}" name="Tableau145678936405280" displayName="Tableau145678936405280" ref="A13:I38" totalsRowShown="0" headerRowDxfId="658" dataDxfId="656" headerRowBorderDxfId="657">
  <tableColumns count="9">
    <tableColumn id="1" xr3:uid="{6DC432C2-A073-402E-BA88-9318B9FE3D49}" name="Jour" dataDxfId="655"/>
    <tableColumn id="2" xr3:uid="{06FB5B61-B452-445D-A76D-A20739EE95CC}" name="Heure_x000a_Début" dataDxfId="654"/>
    <tableColumn id="9" xr3:uid="{324A1B09-714F-43BD-B3F0-AD94EB5917DC}" name="Départ_x000a_Diner" dataDxfId="653"/>
    <tableColumn id="12" xr3:uid="{1D4A4A82-02FD-47FA-86C5-48BA84ECFF90}" name="Retour_x000a_Diner" dataDxfId="652"/>
    <tableColumn id="3" xr3:uid="{07ACC48A-6BD8-487E-9688-6CA1919291CF}" name="Heure_x000a_Fin" dataDxfId="651"/>
    <tableColumn id="5" xr3:uid="{84E899E1-CC05-4578-9141-F19CE46FF1DC}" name="Télétravail_x000a_Départ"/>
    <tableColumn id="4" xr3:uid="{F475EFDF-1107-4C8A-BACC-C696C06057F5}" name="Télétravail_x000a_Fin"/>
    <tableColumn id="11" xr3:uid="{E5858BB5-E7BD-46EF-A346-4D7C2AAF4078}" name="TOTAL_x000a_Journalier" dataDxfId="650"/>
    <tableColumn id="6" xr3:uid="{74E6AE3A-C4E3-4E2E-9B57-F0C416B12052}" name="CONGÉ" dataDxfId="64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7E02366C-9733-4B16-9F0F-05EEE955F515}" name="Tableau145678936405281" displayName="Tableau145678936405281" ref="A13:I38" totalsRowShown="0" headerRowDxfId="648" dataDxfId="646" headerRowBorderDxfId="647">
  <tableColumns count="9">
    <tableColumn id="1" xr3:uid="{235AC105-6360-4358-A554-8DD02F86F8E8}" name="Jour" dataDxfId="645"/>
    <tableColumn id="2" xr3:uid="{12388514-6481-49A7-A3A9-37D2093F1538}" name="Heure_x000a_Début" dataDxfId="644"/>
    <tableColumn id="9" xr3:uid="{F670BB16-F0C4-4C4F-A986-31BACA53F188}" name="Départ_x000a_Diner" dataDxfId="643"/>
    <tableColumn id="12" xr3:uid="{0F5A5130-B63F-47AF-A10E-1B86D78521E0}" name="Retour_x000a_Diner" dataDxfId="642"/>
    <tableColumn id="3" xr3:uid="{359DD5CE-6266-4A7E-8B55-29F8BB04F7FF}" name="Heure_x000a_Fin" dataDxfId="641"/>
    <tableColumn id="5" xr3:uid="{5F0B821D-ECAF-4C2C-BECB-42F4D563CAF3}" name="Télétravail_x000a_Départ"/>
    <tableColumn id="4" xr3:uid="{0595AF0E-F15A-4D4A-B435-E8D580790F50}" name="Télétravail_x000a_Fin"/>
    <tableColumn id="11" xr3:uid="{6E49F307-3A4F-4A63-988B-0F807385413D}" name="TOTAL_x000a_Journalier" dataDxfId="640"/>
    <tableColumn id="6" xr3:uid="{E3EF5F3A-93BA-4C7C-AEA7-2975CE5CA370}" name="CONGÉ" dataDxfId="63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D70FC3A-1861-4ED8-A2E1-9F3F7442E0CA}" name="Tableau145678936405282" displayName="Tableau145678936405282" ref="A13:I38" totalsRowShown="0" headerRowDxfId="638" dataDxfId="636" headerRowBorderDxfId="637">
  <tableColumns count="9">
    <tableColumn id="1" xr3:uid="{EC2E34CD-1366-46A0-8738-301ABD57A971}" name="Jour" dataDxfId="635"/>
    <tableColumn id="2" xr3:uid="{50F22F7B-8E45-4A9C-8162-FF1F3523E2A4}" name="Heure_x000a_Début" dataDxfId="634"/>
    <tableColumn id="9" xr3:uid="{DC29D445-66BD-48A2-8F3F-604C3B01EC03}" name="Départ_x000a_Diner" dataDxfId="633"/>
    <tableColumn id="12" xr3:uid="{5EF82416-85E4-412F-B7AD-85F704624E68}" name="Retour_x000a_Diner" dataDxfId="632"/>
    <tableColumn id="3" xr3:uid="{07AC65D8-CC19-4F6A-B9C3-C3AA13CEAD8E}" name="Heure_x000a_Fin" dataDxfId="631"/>
    <tableColumn id="5" xr3:uid="{13541634-DDE2-4348-AF1C-654B8E96F2DD}" name="Télétravail_x000a_Départ"/>
    <tableColumn id="4" xr3:uid="{00BABD35-E1AE-4776-B217-1C3C47616CEC}" name="Télétravail_x000a_Fin"/>
    <tableColumn id="11" xr3:uid="{E82D6389-A888-4C84-AEA4-DA381C0684D2}" name="TOTAL_x000a_Journalier" dataDxfId="630"/>
    <tableColumn id="6" xr3:uid="{4F18BF2C-C87D-4791-9AF4-D893C1BA1C02}" name="CONGÉ" dataDxfId="62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5F8EF4B5-9587-4F6B-99EA-35224342BADC}" name="Tableau145678936405283" displayName="Tableau145678936405283" ref="A13:I38" totalsRowShown="0" headerRowDxfId="628" dataDxfId="626" headerRowBorderDxfId="627">
  <tableColumns count="9">
    <tableColumn id="1" xr3:uid="{456DB742-D1B9-455E-90F3-FD550E8CFB1A}" name="Jour" dataDxfId="625"/>
    <tableColumn id="2" xr3:uid="{F5F9C912-B299-4816-B38E-5371D3F4F672}" name="Heure_x000a_Début" dataDxfId="624"/>
    <tableColumn id="9" xr3:uid="{FEA9552B-7B82-4788-872C-4BB0D2C04DA9}" name="Départ_x000a_Diner" dataDxfId="623"/>
    <tableColumn id="12" xr3:uid="{8F9255DE-5820-4FD2-BA20-6C0B434E6CBD}" name="Retour_x000a_Diner" dataDxfId="622"/>
    <tableColumn id="3" xr3:uid="{F18EB894-917D-45E3-8675-2834F8D2A9B1}" name="Heure_x000a_Fin" dataDxfId="621"/>
    <tableColumn id="5" xr3:uid="{82105C56-4FBD-4E58-A786-C4DD2D612079}" name="Télétravail_x000a_Départ"/>
    <tableColumn id="4" xr3:uid="{A3B79710-1B87-41A8-BCE4-C81C5A4B9F0D}" name="Télétravail_x000a_Fin"/>
    <tableColumn id="11" xr3:uid="{699034AC-E2C4-4093-993A-49FE4AAAB311}" name="TOTAL_x000a_Journalier" dataDxfId="620"/>
    <tableColumn id="6" xr3:uid="{954BBE86-66AA-458F-B862-9BED9BBD87CB}" name="CONGÉ" dataDxfId="61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2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C5B2-2BDF-4346-A823-93E465EABAAE}">
  <dimension ref="B2:AH43"/>
  <sheetViews>
    <sheetView showGridLines="0" topLeftCell="B1" workbookViewId="0">
      <selection activeCell="AE24" sqref="AE24"/>
    </sheetView>
  </sheetViews>
  <sheetFormatPr baseColWidth="10" defaultColWidth="3.7109375" defaultRowHeight="15" x14ac:dyDescent="0.25"/>
  <cols>
    <col min="2" max="2" width="5" bestFit="1" customWidth="1"/>
    <col min="3" max="3" width="5.140625" bestFit="1" customWidth="1"/>
    <col min="4" max="4" width="4.85546875" bestFit="1" customWidth="1"/>
    <col min="5" max="5" width="4" bestFit="1" customWidth="1"/>
    <col min="6" max="6" width="4.7109375" bestFit="1" customWidth="1"/>
    <col min="7" max="7" width="5" bestFit="1" customWidth="1"/>
    <col min="8" max="8" width="4.5703125" bestFit="1" customWidth="1"/>
    <col min="10" max="10" width="4.5703125" bestFit="1" customWidth="1"/>
    <col min="11" max="11" width="5.7109375" bestFit="1" customWidth="1"/>
    <col min="12" max="12" width="4.85546875" bestFit="1" customWidth="1"/>
    <col min="13" max="13" width="4" bestFit="1" customWidth="1"/>
    <col min="14" max="14" width="4.7109375" bestFit="1" customWidth="1"/>
    <col min="15" max="15" width="5" bestFit="1" customWidth="1"/>
    <col min="16" max="16" width="4.5703125" bestFit="1" customWidth="1"/>
    <col min="18" max="18" width="4.5703125" bestFit="1" customWidth="1"/>
    <col min="19" max="19" width="5.140625" bestFit="1" customWidth="1"/>
    <col min="20" max="20" width="4.85546875" bestFit="1" customWidth="1"/>
    <col min="21" max="21" width="4" bestFit="1" customWidth="1"/>
    <col min="22" max="22" width="4.7109375" bestFit="1" customWidth="1"/>
    <col min="23" max="23" width="5" bestFit="1" customWidth="1"/>
    <col min="24" max="24" width="4.5703125" bestFit="1" customWidth="1"/>
    <col min="26" max="26" width="9.5703125" bestFit="1" customWidth="1"/>
    <col min="30" max="30" width="14.140625" bestFit="1" customWidth="1"/>
    <col min="31" max="31" width="32.28515625" bestFit="1" customWidth="1"/>
    <col min="32" max="32" width="29.5703125" bestFit="1" customWidth="1"/>
    <col min="33" max="33" width="22.85546875" hidden="1" customWidth="1"/>
    <col min="34" max="34" width="25.42578125" customWidth="1"/>
  </cols>
  <sheetData>
    <row r="2" spans="2:34" ht="54.75" customHeight="1" x14ac:dyDescent="0.25"/>
    <row r="5" spans="2:34" x14ac:dyDescent="0.25">
      <c r="B5" s="108">
        <v>2019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10"/>
    </row>
    <row r="6" spans="2:34" x14ac:dyDescent="0.25">
      <c r="B6" s="111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3"/>
    </row>
    <row r="8" spans="2:34" x14ac:dyDescent="0.25">
      <c r="AD8" s="104" t="s">
        <v>60</v>
      </c>
      <c r="AE8" s="104"/>
      <c r="AF8" s="104"/>
    </row>
    <row r="9" spans="2:34" ht="16.5" x14ac:dyDescent="0.25">
      <c r="B9" s="105">
        <f>EDATE(DATE(An_ref,1,1),0)</f>
        <v>43466</v>
      </c>
      <c r="C9" s="106"/>
      <c r="D9" s="106"/>
      <c r="E9" s="106"/>
      <c r="F9" s="106"/>
      <c r="G9" s="106"/>
      <c r="H9" s="107"/>
      <c r="J9" s="105">
        <f>EDATE(DATE(An_ref,1,1),1)</f>
        <v>43497</v>
      </c>
      <c r="K9" s="106"/>
      <c r="L9" s="106"/>
      <c r="M9" s="106"/>
      <c r="N9" s="106"/>
      <c r="O9" s="106"/>
      <c r="P9" s="107"/>
      <c r="R9" s="105">
        <f>EDATE(DATE(An_ref,1,1),2)</f>
        <v>43525</v>
      </c>
      <c r="S9" s="106"/>
      <c r="T9" s="106"/>
      <c r="U9" s="106"/>
      <c r="V9" s="106"/>
      <c r="W9" s="106"/>
      <c r="X9" s="107"/>
      <c r="AD9" s="43" t="s">
        <v>34</v>
      </c>
      <c r="AE9" s="43" t="s">
        <v>59</v>
      </c>
      <c r="AF9" s="46" t="s">
        <v>25</v>
      </c>
      <c r="AG9" s="24"/>
    </row>
    <row r="10" spans="2:34" ht="16.5" x14ac:dyDescent="0.25">
      <c r="B10" s="52" t="str">
        <f>UPPER(TEXT(B12,"jjj"))</f>
        <v>LUN</v>
      </c>
      <c r="C10" s="52" t="str">
        <f t="shared" ref="C10:H10" si="0">UPPER(TEXT(C12,"jjj"))</f>
        <v>MAR</v>
      </c>
      <c r="D10" s="52" t="str">
        <f t="shared" si="0"/>
        <v>MER</v>
      </c>
      <c r="E10" s="52" t="str">
        <f t="shared" si="0"/>
        <v>JEU</v>
      </c>
      <c r="F10" s="52" t="str">
        <f t="shared" si="0"/>
        <v>VEN</v>
      </c>
      <c r="G10" s="52" t="str">
        <f t="shared" si="0"/>
        <v>SAM</v>
      </c>
      <c r="H10" s="52" t="str">
        <f t="shared" si="0"/>
        <v>DIM</v>
      </c>
      <c r="J10" s="52" t="str">
        <f>UPPER(TEXT(J12,"jjj"))</f>
        <v>LUN</v>
      </c>
      <c r="K10" s="52" t="str">
        <f t="shared" ref="K10:P10" si="1">UPPER(TEXT(K12,"jjj"))</f>
        <v>MAR</v>
      </c>
      <c r="L10" s="52" t="str">
        <f t="shared" si="1"/>
        <v>MER</v>
      </c>
      <c r="M10" s="52" t="str">
        <f t="shared" si="1"/>
        <v>JEU</v>
      </c>
      <c r="N10" s="52" t="str">
        <f t="shared" si="1"/>
        <v>VEN</v>
      </c>
      <c r="O10" s="52" t="str">
        <f t="shared" si="1"/>
        <v>SAM</v>
      </c>
      <c r="P10" s="52" t="str">
        <f t="shared" si="1"/>
        <v>DIM</v>
      </c>
      <c r="R10" s="52" t="str">
        <f>UPPER(TEXT(R12,"jjj"))</f>
        <v>LUN</v>
      </c>
      <c r="S10" s="52" t="str">
        <f t="shared" ref="S10:X10" si="2">UPPER(TEXT(S12,"jjj"))</f>
        <v>MAR</v>
      </c>
      <c r="T10" s="52" t="str">
        <f t="shared" si="2"/>
        <v>MER</v>
      </c>
      <c r="U10" s="52" t="str">
        <f t="shared" si="2"/>
        <v>JEU</v>
      </c>
      <c r="V10" s="52" t="str">
        <f t="shared" si="2"/>
        <v>VEN</v>
      </c>
      <c r="W10" s="52" t="str">
        <f t="shared" si="2"/>
        <v>SAM</v>
      </c>
      <c r="X10" s="52" t="str">
        <f t="shared" si="2"/>
        <v>DIM</v>
      </c>
      <c r="AD10" s="44"/>
      <c r="AE10" s="44"/>
      <c r="AF10" s="53">
        <f>An_ref</f>
        <v>2019</v>
      </c>
      <c r="AG10" s="24"/>
      <c r="AH10" s="53" t="s">
        <v>54</v>
      </c>
    </row>
    <row r="11" spans="2:34" x14ac:dyDescent="0.25">
      <c r="B11" s="51" t="str">
        <f>IF(WEEKDAY(B9)=2,B9,"")</f>
        <v/>
      </c>
      <c r="C11" s="51">
        <f>IF(B11&lt;&gt;"",B11+1,IF(WEEKDAY(B9)=3,B9,""))</f>
        <v>43466</v>
      </c>
      <c r="D11" s="51">
        <f>IF(C11&lt;&gt;"",C11+1,IF(WEEKDAY(B9)=4,B9,""))</f>
        <v>43467</v>
      </c>
      <c r="E11" s="51">
        <f>IF(D11&lt;&gt;"",D11+1,IF(WEEKDAY(B9)=5,B9,""))</f>
        <v>43468</v>
      </c>
      <c r="F11" s="51">
        <f>IF(E11&lt;&gt;"",E11+1,IF(WEEKDAY(B9)=6,B9,""))</f>
        <v>43469</v>
      </c>
      <c r="G11" s="51">
        <f>IF(F11&lt;&gt;"",F11+1,IF(WEEKDAY(B9)=7,B9,""))</f>
        <v>43470</v>
      </c>
      <c r="H11" s="51">
        <f>IF(G11&lt;&gt;"",G11+1,IF(WEEKDAY(B9)=1,B9,""))</f>
        <v>43471</v>
      </c>
      <c r="J11" s="51" t="str">
        <f>IF(WEEKDAY(J9)=2,J9,"")</f>
        <v/>
      </c>
      <c r="K11" s="51" t="str">
        <f>IF(J11&lt;&gt;"",J11+1,IF(WEEKDAY(J9)=3,J9,""))</f>
        <v/>
      </c>
      <c r="L11" s="51" t="str">
        <f>IF(K11&lt;&gt;"",K11+1,IF(WEEKDAY(J9)=4,J9,""))</f>
        <v/>
      </c>
      <c r="M11" s="51" t="str">
        <f>IF(L11&lt;&gt;"",L11+1,IF(WEEKDAY(J9)=5,J9,""))</f>
        <v/>
      </c>
      <c r="N11" s="51">
        <f>IF(M11&lt;&gt;"",M11+1,IF(WEEKDAY(J9)=6,J9,""))</f>
        <v>43497</v>
      </c>
      <c r="O11" s="51">
        <f>IF(N11&lt;&gt;"",N11+1,IF(WEEKDAY(J9)=7,J9,""))</f>
        <v>43498</v>
      </c>
      <c r="P11" s="51">
        <f>IF(O11&lt;&gt;"",O11+1,IF(WEEKDAY(J9)=1,J9,""))</f>
        <v>43499</v>
      </c>
      <c r="R11" s="51" t="str">
        <f>IF(WEEKDAY(R9)=2,R9,"")</f>
        <v/>
      </c>
      <c r="S11" s="51" t="str">
        <f>IF(R11&lt;&gt;"",R11+1,IF(WEEKDAY(R9)=3,R9,""))</f>
        <v/>
      </c>
      <c r="T11" s="51" t="str">
        <f>IF(S11&lt;&gt;"",S11+1,IF(WEEKDAY(R9)=4,R9,""))</f>
        <v/>
      </c>
      <c r="U11" s="51" t="str">
        <f>IF(T11&lt;&gt;"",T11+1,IF(WEEKDAY(R9)=5,R9,""))</f>
        <v/>
      </c>
      <c r="V11" s="51">
        <f>IF(U11&lt;&gt;"",U11+1,IF(WEEKDAY(R9)=6,R9,""))</f>
        <v>43525</v>
      </c>
      <c r="W11" s="51">
        <f>IF(V11&lt;&gt;"",V11+1,IF(WEEKDAY(R9)=7,R9,""))</f>
        <v>43526</v>
      </c>
      <c r="X11" s="51">
        <f>IF(W11&lt;&gt;"",W11+1,IF(WEEKDAY(R9)=1,R9,""))</f>
        <v>43527</v>
      </c>
      <c r="Z11" t="b">
        <f>OR(B11=$AF$11,B11=$AF$13,B11=$AF$14,B11=$AF$16,B11=$AF$18,B11=$AF$19,B11=$AF$20,B11=$AF$21)</f>
        <v>0</v>
      </c>
      <c r="AD11" s="48" t="s">
        <v>35</v>
      </c>
      <c r="AE11" s="48" t="s">
        <v>26</v>
      </c>
      <c r="AF11" s="49">
        <f>DATE(AF10,1,1)</f>
        <v>43466</v>
      </c>
      <c r="AG11" s="50" t="s">
        <v>43</v>
      </c>
      <c r="AH11" s="83">
        <f>'Congés de l''employé'!E14</f>
        <v>0.33333333333333331</v>
      </c>
    </row>
    <row r="12" spans="2:34" x14ac:dyDescent="0.25">
      <c r="B12" s="51">
        <f>$H$11+1</f>
        <v>43472</v>
      </c>
      <c r="C12" s="51">
        <f>B12+1</f>
        <v>43473</v>
      </c>
      <c r="D12" s="51">
        <f t="shared" ref="D12:H12" si="3">C12+1</f>
        <v>43474</v>
      </c>
      <c r="E12" s="51">
        <f t="shared" si="3"/>
        <v>43475</v>
      </c>
      <c r="F12" s="51">
        <f t="shared" si="3"/>
        <v>43476</v>
      </c>
      <c r="G12" s="51">
        <f t="shared" si="3"/>
        <v>43477</v>
      </c>
      <c r="H12" s="51">
        <f t="shared" si="3"/>
        <v>43478</v>
      </c>
      <c r="J12" s="51">
        <f>$P$11+1</f>
        <v>43500</v>
      </c>
      <c r="K12" s="51">
        <f>J12+1</f>
        <v>43501</v>
      </c>
      <c r="L12" s="51">
        <f t="shared" ref="L12:P12" si="4">K12+1</f>
        <v>43502</v>
      </c>
      <c r="M12" s="51">
        <f t="shared" si="4"/>
        <v>43503</v>
      </c>
      <c r="N12" s="51">
        <f t="shared" si="4"/>
        <v>43504</v>
      </c>
      <c r="O12" s="51">
        <f t="shared" si="4"/>
        <v>43505</v>
      </c>
      <c r="P12" s="51">
        <f t="shared" si="4"/>
        <v>43506</v>
      </c>
      <c r="R12" s="51">
        <f>$X$11+1</f>
        <v>43528</v>
      </c>
      <c r="S12" s="51">
        <f>R12+1</f>
        <v>43529</v>
      </c>
      <c r="T12" s="51">
        <f t="shared" ref="T12:X12" si="5">S12+1</f>
        <v>43530</v>
      </c>
      <c r="U12" s="51">
        <f t="shared" si="5"/>
        <v>43531</v>
      </c>
      <c r="V12" s="51">
        <f t="shared" si="5"/>
        <v>43532</v>
      </c>
      <c r="W12" s="51">
        <f t="shared" si="5"/>
        <v>43533</v>
      </c>
      <c r="X12" s="51">
        <f t="shared" si="5"/>
        <v>43534</v>
      </c>
      <c r="AD12" s="40"/>
      <c r="AE12" s="40" t="s">
        <v>49</v>
      </c>
      <c r="AF12" s="45">
        <f>DATE(Année,3,29.56+0.979*MOD(204-11*MOD(Année,19),30)-
WEEKDAY(DATE(Année,3,28.56+0.979*MOD(204-11*MOD(Année,19),30))))</f>
        <v>43576</v>
      </c>
      <c r="AG12" s="50"/>
    </row>
    <row r="13" spans="2:34" x14ac:dyDescent="0.25">
      <c r="B13" s="51">
        <f>H12+1</f>
        <v>43479</v>
      </c>
      <c r="C13" s="51">
        <f>B13+1</f>
        <v>43480</v>
      </c>
      <c r="D13" s="51">
        <f>C13+1</f>
        <v>43481</v>
      </c>
      <c r="E13" s="51">
        <f>D13+1</f>
        <v>43482</v>
      </c>
      <c r="F13" s="51">
        <f>E13+1</f>
        <v>43483</v>
      </c>
      <c r="G13" s="51">
        <f>F13+1</f>
        <v>43484</v>
      </c>
      <c r="H13" s="51">
        <f>G13+1</f>
        <v>43485</v>
      </c>
      <c r="J13" s="51">
        <f>P12+1</f>
        <v>43507</v>
      </c>
      <c r="K13" s="51">
        <f>J13+1</f>
        <v>43508</v>
      </c>
      <c r="L13" s="51">
        <f>K13+1</f>
        <v>43509</v>
      </c>
      <c r="M13" s="51">
        <f>L13+1</f>
        <v>43510</v>
      </c>
      <c r="N13" s="51">
        <f>M13+1</f>
        <v>43511</v>
      </c>
      <c r="O13" s="51">
        <f>N13+1</f>
        <v>43512</v>
      </c>
      <c r="P13" s="51">
        <f>O13+1</f>
        <v>43513</v>
      </c>
      <c r="R13" s="51">
        <f>X12+1</f>
        <v>43535</v>
      </c>
      <c r="S13" s="51">
        <f>R13+1</f>
        <v>43536</v>
      </c>
      <c r="T13" s="51">
        <f>S13+1</f>
        <v>43537</v>
      </c>
      <c r="U13" s="51">
        <f>T13+1</f>
        <v>43538</v>
      </c>
      <c r="V13" s="51">
        <f>U13+1</f>
        <v>43539</v>
      </c>
      <c r="W13" s="51">
        <f>V13+1</f>
        <v>43540</v>
      </c>
      <c r="X13" s="51">
        <f>W13+1</f>
        <v>43541</v>
      </c>
      <c r="AD13" s="48" t="s">
        <v>36</v>
      </c>
      <c r="AE13" s="48" t="s">
        <v>47</v>
      </c>
      <c r="AF13" s="49">
        <f>AF12+1</f>
        <v>43577</v>
      </c>
      <c r="AG13" s="50"/>
      <c r="AH13" s="83">
        <f>'Congés de l''employé'!$E$14</f>
        <v>0.33333333333333331</v>
      </c>
    </row>
    <row r="14" spans="2:34" x14ac:dyDescent="0.25">
      <c r="B14" s="51">
        <f>H13+1</f>
        <v>43486</v>
      </c>
      <c r="C14" s="51">
        <f>B14+1</f>
        <v>43487</v>
      </c>
      <c r="D14" s="51">
        <f t="shared" ref="D14:H14" si="6">C14+1</f>
        <v>43488</v>
      </c>
      <c r="E14" s="51">
        <f t="shared" si="6"/>
        <v>43489</v>
      </c>
      <c r="F14" s="51">
        <f t="shared" si="6"/>
        <v>43490</v>
      </c>
      <c r="G14" s="51">
        <f t="shared" si="6"/>
        <v>43491</v>
      </c>
      <c r="H14" s="51">
        <f t="shared" si="6"/>
        <v>43492</v>
      </c>
      <c r="J14" s="51">
        <f>P13+1</f>
        <v>43514</v>
      </c>
      <c r="K14" s="51">
        <f>J14+1</f>
        <v>43515</v>
      </c>
      <c r="L14" s="51">
        <f t="shared" ref="L14:P14" si="7">K14+1</f>
        <v>43516</v>
      </c>
      <c r="M14" s="51">
        <f t="shared" si="7"/>
        <v>43517</v>
      </c>
      <c r="N14" s="51">
        <f t="shared" si="7"/>
        <v>43518</v>
      </c>
      <c r="O14" s="51">
        <f t="shared" si="7"/>
        <v>43519</v>
      </c>
      <c r="P14" s="51">
        <f t="shared" si="7"/>
        <v>43520</v>
      </c>
      <c r="R14" s="51">
        <f>X13+1</f>
        <v>43542</v>
      </c>
      <c r="S14" s="51">
        <f>R14+1</f>
        <v>43543</v>
      </c>
      <c r="T14" s="51">
        <f t="shared" ref="T14:X14" si="8">S14+1</f>
        <v>43544</v>
      </c>
      <c r="U14" s="51">
        <f t="shared" si="8"/>
        <v>43545</v>
      </c>
      <c r="V14" s="51">
        <f t="shared" si="8"/>
        <v>43546</v>
      </c>
      <c r="W14" s="51">
        <f t="shared" si="8"/>
        <v>43547</v>
      </c>
      <c r="X14" s="51">
        <f t="shared" si="8"/>
        <v>43548</v>
      </c>
      <c r="AD14" s="48" t="s">
        <v>37</v>
      </c>
      <c r="AE14" s="48" t="s">
        <v>27</v>
      </c>
      <c r="AF14" s="49">
        <f>DATE(Année,5,23)-WEEKDAY(DATE(Année,5,1),2)</f>
        <v>43605</v>
      </c>
      <c r="AG14" s="50" t="s">
        <v>51</v>
      </c>
      <c r="AH14" s="83">
        <f>'Congés de l''employé'!$E$14</f>
        <v>0.33333333333333331</v>
      </c>
    </row>
    <row r="15" spans="2:34" x14ac:dyDescent="0.25">
      <c r="B15" s="51">
        <f>IF(H14&lt;EOMONTH($B$9,0),H14+1,"")</f>
        <v>43493</v>
      </c>
      <c r="C15" s="51">
        <f>IF(B15&lt;EOMONTH($B$9,0),B15+1,"")</f>
        <v>43494</v>
      </c>
      <c r="D15" s="51">
        <f t="shared" ref="D15:E15" si="9">IF(C15&lt;EOMONTH($B$9,0),C15+1,"")</f>
        <v>43495</v>
      </c>
      <c r="E15" s="51">
        <f t="shared" si="9"/>
        <v>43496</v>
      </c>
      <c r="F15" s="51" t="str">
        <f t="shared" ref="F15:H15" si="10">IF(E15&lt;EOMONTH($B$9,0),E15+1,"")</f>
        <v/>
      </c>
      <c r="G15" s="51" t="str">
        <f t="shared" si="10"/>
        <v/>
      </c>
      <c r="H15" s="51" t="str">
        <f t="shared" si="10"/>
        <v/>
      </c>
      <c r="J15" s="51">
        <f>IF(P14&lt;EOMONTH($J$9,0),P14+1,"")</f>
        <v>43521</v>
      </c>
      <c r="K15" s="51">
        <f>IF(J15&lt;EOMONTH($J$9,0),J15+1,"")</f>
        <v>43522</v>
      </c>
      <c r="L15" s="51">
        <f t="shared" ref="L15:P15" si="11">IF(K15&lt;EOMONTH($J$9,0),K15+1,"")</f>
        <v>43523</v>
      </c>
      <c r="M15" s="51">
        <f t="shared" si="11"/>
        <v>43524</v>
      </c>
      <c r="N15" s="51" t="str">
        <f t="shared" si="11"/>
        <v/>
      </c>
      <c r="O15" s="51" t="str">
        <f t="shared" si="11"/>
        <v/>
      </c>
      <c r="P15" s="51" t="str">
        <f t="shared" si="11"/>
        <v/>
      </c>
      <c r="R15" s="51">
        <f>IF(X14&lt;EOMONTH($R$9,0),X14+1,"")</f>
        <v>43549</v>
      </c>
      <c r="S15" s="51">
        <f>IF(R15&lt;EOMONTH($R$9,0),R15+1,"")</f>
        <v>43550</v>
      </c>
      <c r="T15" s="51">
        <f t="shared" ref="T15:X15" si="12">IF(S15&lt;EOMONTH($R$9,0),S15+1,"")</f>
        <v>43551</v>
      </c>
      <c r="U15" s="51">
        <f t="shared" si="12"/>
        <v>43552</v>
      </c>
      <c r="V15" s="51">
        <f t="shared" si="12"/>
        <v>43553</v>
      </c>
      <c r="W15" s="51">
        <f t="shared" si="12"/>
        <v>43554</v>
      </c>
      <c r="X15" s="51">
        <f t="shared" si="12"/>
        <v>43555</v>
      </c>
      <c r="AD15" s="48"/>
      <c r="AE15" s="71" t="s">
        <v>28</v>
      </c>
      <c r="AF15" s="72">
        <f>DATE(Année,6,24)</f>
        <v>43640</v>
      </c>
      <c r="AG15" s="50" t="s">
        <v>46</v>
      </c>
    </row>
    <row r="16" spans="2:34" ht="16.5" x14ac:dyDescent="0.25">
      <c r="B16" s="51" t="str">
        <f>IF(H15&lt;EOMONTH($B$9,0),H15+1,"")</f>
        <v/>
      </c>
      <c r="C16" s="51" t="str">
        <f>IF(B16&lt;EOMONTH($B$9,0),B16+1,"")</f>
        <v/>
      </c>
      <c r="D16" s="51" t="str">
        <f>IF(C16&lt;EOMONTH(B9,0),C16+1,"")</f>
        <v/>
      </c>
      <c r="E16" s="51" t="str">
        <f>IF(D16&lt;EOMONTH(B9,0),D16+1,"")</f>
        <v/>
      </c>
      <c r="F16" s="51" t="str">
        <f>IF(E16&lt;EOMONTH(B9,0),E16+1,"")</f>
        <v/>
      </c>
      <c r="G16" s="51" t="str">
        <f>IF(F16&lt;EOMONTH(B9,0),F16+1,"")</f>
        <v/>
      </c>
      <c r="H16" s="51" t="str">
        <f>IF(G16&lt;EOMONTH(B9,0),G16+1,"")</f>
        <v/>
      </c>
      <c r="J16" s="51" t="str">
        <f>IF(P15&lt;EOMONTH($J$9,0),P15+1,"")</f>
        <v/>
      </c>
      <c r="K16" s="51" t="str">
        <f>IF(J16&lt;EOMONTH($J$9,0),J16+1,"")</f>
        <v/>
      </c>
      <c r="L16" s="51" t="str">
        <f>IF(K16&lt;EOMONTH($J$9,0),K16+1,"")</f>
        <v/>
      </c>
      <c r="M16" s="51" t="str">
        <f t="shared" ref="M16:P16" si="13">IF(L16&lt;EOMONTH($B$9,0),L16+1,"")</f>
        <v/>
      </c>
      <c r="N16" s="51" t="str">
        <f t="shared" si="13"/>
        <v/>
      </c>
      <c r="O16" s="51" t="str">
        <f t="shared" si="13"/>
        <v/>
      </c>
      <c r="P16" s="51" t="str">
        <f t="shared" si="13"/>
        <v/>
      </c>
      <c r="R16" s="51" t="str">
        <f>IF(X15&lt;EOMONTH($R$9,0),X15+1,"")</f>
        <v/>
      </c>
      <c r="S16" s="51" t="str">
        <f>IF(R16&lt;EOMONTH($R$9,0),R16+1,"")</f>
        <v/>
      </c>
      <c r="T16" s="51" t="str">
        <f t="shared" ref="T16:X16" si="14">IF(S16&lt;EOMONTH($R$9,0),S16+1,"")</f>
        <v/>
      </c>
      <c r="U16" s="51" t="str">
        <f t="shared" si="14"/>
        <v/>
      </c>
      <c r="V16" s="51" t="str">
        <f t="shared" si="14"/>
        <v/>
      </c>
      <c r="W16" s="51" t="str">
        <f t="shared" si="14"/>
        <v/>
      </c>
      <c r="X16" s="51" t="str">
        <f t="shared" si="14"/>
        <v/>
      </c>
      <c r="AD16" s="48" t="s">
        <v>38</v>
      </c>
      <c r="AE16" s="48" t="s">
        <v>28</v>
      </c>
      <c r="AF16" s="49">
        <f>AF15+2-WEEKDAY(AF15)+(WEEKDAY(AF15)&gt;2)*7</f>
        <v>43640</v>
      </c>
      <c r="AG16" s="50" t="s">
        <v>45</v>
      </c>
      <c r="AH16" s="83">
        <f>'Congés de l''employé'!$E$14</f>
        <v>0.33333333333333331</v>
      </c>
    </row>
    <row r="17" spans="2:34" x14ac:dyDescent="0.25">
      <c r="AD17" s="48"/>
      <c r="AE17" s="71" t="s">
        <v>29</v>
      </c>
      <c r="AF17" s="72">
        <f>DATE(Année,7,1)</f>
        <v>43647</v>
      </c>
      <c r="AG17" s="50"/>
    </row>
    <row r="18" spans="2:34" x14ac:dyDescent="0.25">
      <c r="B18" s="105">
        <f>EDATE(DATE(An_ref,1,1),3)</f>
        <v>43556</v>
      </c>
      <c r="C18" s="106"/>
      <c r="D18" s="106"/>
      <c r="E18" s="106"/>
      <c r="F18" s="106"/>
      <c r="G18" s="106"/>
      <c r="H18" s="107"/>
      <c r="J18" s="105">
        <f>EDATE(DATE(An_ref,1,1),4)</f>
        <v>43586</v>
      </c>
      <c r="K18" s="106"/>
      <c r="L18" s="106"/>
      <c r="M18" s="106"/>
      <c r="N18" s="106"/>
      <c r="O18" s="106"/>
      <c r="P18" s="107"/>
      <c r="R18" s="105">
        <f>EDATE(DATE(An_ref,1,1),5)</f>
        <v>43617</v>
      </c>
      <c r="S18" s="106"/>
      <c r="T18" s="106"/>
      <c r="U18" s="106"/>
      <c r="V18" s="106"/>
      <c r="W18" s="106"/>
      <c r="X18" s="107"/>
      <c r="AD18" s="48" t="s">
        <v>39</v>
      </c>
      <c r="AE18" s="48" t="s">
        <v>29</v>
      </c>
      <c r="AF18" s="49">
        <f>AF17+2-WEEKDAY(AF17)+(WEEKDAY(AF17)&gt;2)*7</f>
        <v>43647</v>
      </c>
      <c r="AG18" s="50"/>
      <c r="AH18" s="83">
        <f>'Congés de l''employé'!$E$14</f>
        <v>0.33333333333333331</v>
      </c>
    </row>
    <row r="19" spans="2:34" x14ac:dyDescent="0.25">
      <c r="B19" s="52" t="str">
        <f>UPPER(TEXT(B21,"jjj"))</f>
        <v>LUN</v>
      </c>
      <c r="C19" s="52" t="str">
        <f t="shared" ref="C19:H19" si="15">UPPER(TEXT(C21,"jjj"))</f>
        <v>MAR</v>
      </c>
      <c r="D19" s="52" t="str">
        <f t="shared" si="15"/>
        <v>MER</v>
      </c>
      <c r="E19" s="52" t="str">
        <f t="shared" si="15"/>
        <v>JEU</v>
      </c>
      <c r="F19" s="52" t="str">
        <f t="shared" si="15"/>
        <v>VEN</v>
      </c>
      <c r="G19" s="52" t="str">
        <f t="shared" si="15"/>
        <v>SAM</v>
      </c>
      <c r="H19" s="52" t="str">
        <f t="shared" si="15"/>
        <v>DIM</v>
      </c>
      <c r="J19" s="52" t="str">
        <f>UPPER(TEXT(J21,"jjj"))</f>
        <v>LUN</v>
      </c>
      <c r="K19" s="52" t="str">
        <f t="shared" ref="K19:P19" si="16">UPPER(TEXT(K21,"jjj"))</f>
        <v>MAR</v>
      </c>
      <c r="L19" s="52" t="str">
        <f t="shared" si="16"/>
        <v>MER</v>
      </c>
      <c r="M19" s="52" t="str">
        <f t="shared" si="16"/>
        <v>JEU</v>
      </c>
      <c r="N19" s="52" t="str">
        <f t="shared" si="16"/>
        <v>VEN</v>
      </c>
      <c r="O19" s="52" t="str">
        <f t="shared" si="16"/>
        <v>SAM</v>
      </c>
      <c r="P19" s="52" t="str">
        <f t="shared" si="16"/>
        <v>DIM</v>
      </c>
      <c r="R19" s="52" t="str">
        <f>UPPER(TEXT(R21,"jjj"))</f>
        <v>LUN</v>
      </c>
      <c r="S19" s="52" t="str">
        <f t="shared" ref="S19:X19" si="17">UPPER(TEXT(S21,"jjj"))</f>
        <v>MAR</v>
      </c>
      <c r="T19" s="52" t="str">
        <f t="shared" si="17"/>
        <v>MER</v>
      </c>
      <c r="U19" s="52" t="str">
        <f t="shared" si="17"/>
        <v>JEU</v>
      </c>
      <c r="V19" s="52" t="str">
        <f t="shared" si="17"/>
        <v>VEN</v>
      </c>
      <c r="W19" s="52" t="str">
        <f t="shared" si="17"/>
        <v>SAM</v>
      </c>
      <c r="X19" s="52" t="str">
        <f t="shared" si="17"/>
        <v>DIM</v>
      </c>
      <c r="AD19" s="48" t="s">
        <v>50</v>
      </c>
      <c r="AE19" s="48" t="s">
        <v>30</v>
      </c>
      <c r="AF19" s="49">
        <f>IF(MOD(DATE(Année,9,1),7)&lt;=2,2-MOD(DATE(Année,9,1),7),9-MOD(DATE(Année,9,1),7))+DATE(Année,9,1)</f>
        <v>43710</v>
      </c>
      <c r="AG19" s="50" t="s">
        <v>44</v>
      </c>
      <c r="AH19" s="83">
        <f>'Congés de l''employé'!$E$14</f>
        <v>0.33333333333333331</v>
      </c>
    </row>
    <row r="20" spans="2:34" x14ac:dyDescent="0.25">
      <c r="B20" s="51">
        <f>IF(WEEKDAY(B18)=2,B18,"")</f>
        <v>43556</v>
      </c>
      <c r="C20" s="51">
        <f>IF(B20&lt;&gt;"",B20+1,IF(WEEKDAY(B18)=3,B18,""))</f>
        <v>43557</v>
      </c>
      <c r="D20" s="51">
        <f>IF(C20&lt;&gt;"",C20+1,IF(WEEKDAY(B18)=4,B18,""))</f>
        <v>43558</v>
      </c>
      <c r="E20" s="51">
        <f>IF(D20&lt;&gt;"",D20+1,IF(WEEKDAY(B18)=5,B18,""))</f>
        <v>43559</v>
      </c>
      <c r="F20" s="51">
        <f>IF(E20&lt;&gt;"",E20+1,IF(WEEKDAY(B18)=6,B18,""))</f>
        <v>43560</v>
      </c>
      <c r="G20" s="51">
        <f>IF(F20&lt;&gt;"",F20+1,IF(WEEKDAY(B18)=7,B18,""))</f>
        <v>43561</v>
      </c>
      <c r="H20" s="51">
        <f>IF(G20&lt;&gt;"",G20+1,IF(WEEKDAY(B18)=1,B18,""))</f>
        <v>43562</v>
      </c>
      <c r="J20" s="51" t="str">
        <f>IF(WEEKDAY(J18)=2,J18,"")</f>
        <v/>
      </c>
      <c r="K20" s="51" t="str">
        <f>IF(J20&lt;&gt;"",J20+1,IF(WEEKDAY(J18)=3,J18,""))</f>
        <v/>
      </c>
      <c r="L20" s="51">
        <f>IF(K20&lt;&gt;"",K20+1,IF(WEEKDAY(J18)=4,J18,""))</f>
        <v>43586</v>
      </c>
      <c r="M20" s="51">
        <f>IF(L20&lt;&gt;"",L20+1,IF(WEEKDAY(J18)=5,J18,""))</f>
        <v>43587</v>
      </c>
      <c r="N20" s="51">
        <f>IF(M20&lt;&gt;"",M20+1,IF(WEEKDAY(J18)=6,J18,""))</f>
        <v>43588</v>
      </c>
      <c r="O20" s="51">
        <f>IF(N20&lt;&gt;"",N20+1,IF(WEEKDAY(J18)=7,J18,""))</f>
        <v>43589</v>
      </c>
      <c r="P20" s="51">
        <f>IF(O20&lt;&gt;"",O20+1,IF(WEEKDAY(J18)=1,J18,""))</f>
        <v>43590</v>
      </c>
      <c r="R20" s="51" t="str">
        <f>IF(WEEKDAY(R18)=2,R18,"")</f>
        <v/>
      </c>
      <c r="S20" s="51" t="str">
        <f>IF(R20&lt;&gt;"",R20+1,IF(WEEKDAY(R18)=3,R18,""))</f>
        <v/>
      </c>
      <c r="T20" s="51" t="str">
        <f>IF(S20&lt;&gt;"",S20+1,IF(WEEKDAY(R18)=4,R18,""))</f>
        <v/>
      </c>
      <c r="U20" s="51" t="str">
        <f>IF(T20&lt;&gt;"",T20+1,IF(WEEKDAY(R18)=5,R18,""))</f>
        <v/>
      </c>
      <c r="V20" s="51" t="str">
        <f>IF(U20&lt;&gt;"",U20+1,IF(WEEKDAY(R18)=6,R18,""))</f>
        <v/>
      </c>
      <c r="W20" s="51">
        <f>IF(V20&lt;&gt;"",V20+1,IF(WEEKDAY(R18)=7,R18,""))</f>
        <v>43617</v>
      </c>
      <c r="X20" s="51">
        <f>IF(W20&lt;&gt;"",W20+1,IF(WEEKDAY(R18)=1,R18,""))</f>
        <v>43618</v>
      </c>
      <c r="AD20" s="48" t="s">
        <v>40</v>
      </c>
      <c r="AE20" s="48" t="s">
        <v>31</v>
      </c>
      <c r="AF20" s="49">
        <f>IF(MOD(DATE(Année,10,1),7)&lt;=2,2-MOD(DATE(Année,10,1),7),9-MOD(DATE(Année,10,1),7))+DATE(Année,10,1)+7</f>
        <v>43752</v>
      </c>
      <c r="AH20" s="83">
        <f>'Congés de l''employé'!$E$14</f>
        <v>0.33333333333333331</v>
      </c>
    </row>
    <row r="21" spans="2:34" x14ac:dyDescent="0.25">
      <c r="B21" s="51">
        <f>$H$20+1</f>
        <v>43563</v>
      </c>
      <c r="C21" s="51">
        <f>B21+1</f>
        <v>43564</v>
      </c>
      <c r="D21" s="51">
        <f t="shared" ref="D21" si="18">C21+1</f>
        <v>43565</v>
      </c>
      <c r="E21" s="51">
        <f t="shared" ref="E21" si="19">D21+1</f>
        <v>43566</v>
      </c>
      <c r="F21" s="51">
        <f t="shared" ref="F21" si="20">E21+1</f>
        <v>43567</v>
      </c>
      <c r="G21" s="51">
        <f t="shared" ref="G21" si="21">F21+1</f>
        <v>43568</v>
      </c>
      <c r="H21" s="51">
        <f t="shared" ref="H21" si="22">G21+1</f>
        <v>43569</v>
      </c>
      <c r="J21" s="51">
        <f>$P$20+1</f>
        <v>43591</v>
      </c>
      <c r="K21" s="51">
        <f>J21+1</f>
        <v>43592</v>
      </c>
      <c r="L21" s="51">
        <f t="shared" ref="L21" si="23">K21+1</f>
        <v>43593</v>
      </c>
      <c r="M21" s="51">
        <f t="shared" ref="M21" si="24">L21+1</f>
        <v>43594</v>
      </c>
      <c r="N21" s="51">
        <f t="shared" ref="N21" si="25">M21+1</f>
        <v>43595</v>
      </c>
      <c r="O21" s="51">
        <f t="shared" ref="O21" si="26">N21+1</f>
        <v>43596</v>
      </c>
      <c r="P21" s="51">
        <f t="shared" ref="P21" si="27">O21+1</f>
        <v>43597</v>
      </c>
      <c r="R21" s="51">
        <f>$X$20+1</f>
        <v>43619</v>
      </c>
      <c r="S21" s="51">
        <f>R21+1</f>
        <v>43620</v>
      </c>
      <c r="T21" s="51">
        <f t="shared" ref="T21" si="28">S21+1</f>
        <v>43621</v>
      </c>
      <c r="U21" s="51">
        <f t="shared" ref="U21" si="29">T21+1</f>
        <v>43622</v>
      </c>
      <c r="V21" s="51">
        <f t="shared" ref="V21" si="30">U21+1</f>
        <v>43623</v>
      </c>
      <c r="W21" s="51">
        <f t="shared" ref="W21" si="31">V21+1</f>
        <v>43624</v>
      </c>
      <c r="X21" s="51">
        <f t="shared" ref="X21" si="32">W21+1</f>
        <v>43625</v>
      </c>
      <c r="AD21" s="48" t="s">
        <v>41</v>
      </c>
      <c r="AE21" s="48" t="s">
        <v>32</v>
      </c>
      <c r="AF21" s="49">
        <f>DATE(AF10,12,25)</f>
        <v>43824</v>
      </c>
      <c r="AH21" s="83">
        <f>'Congés de l''employé'!$E$14</f>
        <v>0.33333333333333331</v>
      </c>
    </row>
    <row r="22" spans="2:34" x14ac:dyDescent="0.25">
      <c r="B22" s="51">
        <f>H21+1</f>
        <v>43570</v>
      </c>
      <c r="C22" s="51">
        <f>B22+1</f>
        <v>43571</v>
      </c>
      <c r="D22" s="51">
        <f>C22+1</f>
        <v>43572</v>
      </c>
      <c r="E22" s="51">
        <f>D22+1</f>
        <v>43573</v>
      </c>
      <c r="F22" s="51">
        <f>E22+1</f>
        <v>43574</v>
      </c>
      <c r="G22" s="51">
        <f>F22+1</f>
        <v>43575</v>
      </c>
      <c r="H22" s="51">
        <f>G22+1</f>
        <v>43576</v>
      </c>
      <c r="J22" s="51">
        <f>P21+1</f>
        <v>43598</v>
      </c>
      <c r="K22" s="51">
        <f>J22+1</f>
        <v>43599</v>
      </c>
      <c r="L22" s="51">
        <f>K22+1</f>
        <v>43600</v>
      </c>
      <c r="M22" s="51">
        <f>L22+1</f>
        <v>43601</v>
      </c>
      <c r="N22" s="51">
        <f>M22+1</f>
        <v>43602</v>
      </c>
      <c r="O22" s="51">
        <f>N22+1</f>
        <v>43603</v>
      </c>
      <c r="P22" s="51">
        <f>O22+1</f>
        <v>43604</v>
      </c>
      <c r="R22" s="51">
        <f>X21+1</f>
        <v>43626</v>
      </c>
      <c r="S22" s="51">
        <f>R22+1</f>
        <v>43627</v>
      </c>
      <c r="T22" s="51">
        <f>S22+1</f>
        <v>43628</v>
      </c>
      <c r="U22" s="51">
        <f>T22+1</f>
        <v>43629</v>
      </c>
      <c r="V22" s="51">
        <f>U22+1</f>
        <v>43630</v>
      </c>
      <c r="W22" s="51">
        <f>V22+1</f>
        <v>43631</v>
      </c>
      <c r="X22" s="51">
        <f>W22+1</f>
        <v>43632</v>
      </c>
    </row>
    <row r="23" spans="2:34" x14ac:dyDescent="0.25">
      <c r="B23" s="51">
        <f>H22+1</f>
        <v>43577</v>
      </c>
      <c r="C23" s="51">
        <f>B23+1</f>
        <v>43578</v>
      </c>
      <c r="D23" s="51">
        <f t="shared" ref="D23" si="33">C23+1</f>
        <v>43579</v>
      </c>
      <c r="E23" s="51">
        <f t="shared" ref="E23" si="34">D23+1</f>
        <v>43580</v>
      </c>
      <c r="F23" s="51">
        <f t="shared" ref="F23" si="35">E23+1</f>
        <v>43581</v>
      </c>
      <c r="G23" s="51">
        <f t="shared" ref="G23" si="36">F23+1</f>
        <v>43582</v>
      </c>
      <c r="H23" s="51">
        <f t="shared" ref="H23" si="37">G23+1</f>
        <v>43583</v>
      </c>
      <c r="J23" s="51">
        <f>P22+1</f>
        <v>43605</v>
      </c>
      <c r="K23" s="51">
        <f>J23+1</f>
        <v>43606</v>
      </c>
      <c r="L23" s="51">
        <f t="shared" ref="L23" si="38">K23+1</f>
        <v>43607</v>
      </c>
      <c r="M23" s="51">
        <f t="shared" ref="M23" si="39">L23+1</f>
        <v>43608</v>
      </c>
      <c r="N23" s="51">
        <f t="shared" ref="N23" si="40">M23+1</f>
        <v>43609</v>
      </c>
      <c r="O23" s="51">
        <f t="shared" ref="O23" si="41">N23+1</f>
        <v>43610</v>
      </c>
      <c r="P23" s="51">
        <f t="shared" ref="P23" si="42">O23+1</f>
        <v>43611</v>
      </c>
      <c r="R23" s="51">
        <f>X22+1</f>
        <v>43633</v>
      </c>
      <c r="S23" s="51">
        <f>R23+1</f>
        <v>43634</v>
      </c>
      <c r="T23" s="51">
        <f t="shared" ref="T23" si="43">S23+1</f>
        <v>43635</v>
      </c>
      <c r="U23" s="51">
        <f t="shared" ref="U23" si="44">T23+1</f>
        <v>43636</v>
      </c>
      <c r="V23" s="51">
        <f t="shared" ref="V23" si="45">U23+1</f>
        <v>43637</v>
      </c>
      <c r="W23" s="51">
        <f t="shared" ref="W23" si="46">V23+1</f>
        <v>43638</v>
      </c>
      <c r="X23" s="51">
        <f t="shared" ref="X23" si="47">W23+1</f>
        <v>43639</v>
      </c>
    </row>
    <row r="24" spans="2:34" x14ac:dyDescent="0.25">
      <c r="B24" s="51">
        <f>IF(H23&lt;EOMONTH($B$18,0),H23+1,"")</f>
        <v>43584</v>
      </c>
      <c r="C24" s="51">
        <f>IF(B24&lt;EOMONTH($B$18,0),B24+1,"")</f>
        <v>43585</v>
      </c>
      <c r="D24" s="51" t="str">
        <f t="shared" ref="D24:H24" si="48">IF(C24&lt;EOMONTH($B$18,0),C24+1,"")</f>
        <v/>
      </c>
      <c r="E24" s="51" t="str">
        <f t="shared" si="48"/>
        <v/>
      </c>
      <c r="F24" s="51" t="str">
        <f t="shared" si="48"/>
        <v/>
      </c>
      <c r="G24" s="51" t="str">
        <f t="shared" si="48"/>
        <v/>
      </c>
      <c r="H24" s="51" t="str">
        <f t="shared" si="48"/>
        <v/>
      </c>
      <c r="J24" s="51">
        <f>IF(P23&lt;EOMONTH($J$18,0),P23+1,"")</f>
        <v>43612</v>
      </c>
      <c r="K24" s="51">
        <f>IF(J24&lt;EOMONTH($J$18,0),J24+1,"")</f>
        <v>43613</v>
      </c>
      <c r="L24" s="51">
        <f t="shared" ref="L24:P24" si="49">IF(K24&lt;EOMONTH($J$18,0),K24+1,"")</f>
        <v>43614</v>
      </c>
      <c r="M24" s="51">
        <f t="shared" si="49"/>
        <v>43615</v>
      </c>
      <c r="N24" s="51">
        <f t="shared" si="49"/>
        <v>43616</v>
      </c>
      <c r="O24" s="51" t="str">
        <f t="shared" si="49"/>
        <v/>
      </c>
      <c r="P24" s="51" t="str">
        <f t="shared" si="49"/>
        <v/>
      </c>
      <c r="R24" s="51">
        <f>IF(X23&lt;EOMONTH($R$18,0),X23+1,"")</f>
        <v>43640</v>
      </c>
      <c r="S24" s="51">
        <f>IF(R24&lt;EOMONTH($R$18,0),R24+1,"")</f>
        <v>43641</v>
      </c>
      <c r="T24" s="51">
        <f t="shared" ref="T24:X24" si="50">IF(S24&lt;EOMONTH($R$18,0),S24+1,"")</f>
        <v>43642</v>
      </c>
      <c r="U24" s="51">
        <f t="shared" si="50"/>
        <v>43643</v>
      </c>
      <c r="V24" s="51">
        <f t="shared" si="50"/>
        <v>43644</v>
      </c>
      <c r="W24" s="51">
        <f t="shared" si="50"/>
        <v>43645</v>
      </c>
      <c r="X24" s="51">
        <f t="shared" si="50"/>
        <v>43646</v>
      </c>
    </row>
    <row r="25" spans="2:34" x14ac:dyDescent="0.25">
      <c r="B25" s="51" t="str">
        <f>IF(H24&lt;EOMONTH($B$18,0),H24+1,"")</f>
        <v/>
      </c>
      <c r="C25" s="51" t="str">
        <f>IF(B25&lt;EOMONTH($B$18,0),B25+1,"")</f>
        <v/>
      </c>
      <c r="D25" s="51" t="str">
        <f t="shared" ref="D25:H25" si="51">IF(C25&lt;EOMONTH($B$18,0),C25+1,"")</f>
        <v/>
      </c>
      <c r="E25" s="51" t="str">
        <f t="shared" si="51"/>
        <v/>
      </c>
      <c r="F25" s="51" t="str">
        <f t="shared" si="51"/>
        <v/>
      </c>
      <c r="G25" s="51" t="str">
        <f t="shared" si="51"/>
        <v/>
      </c>
      <c r="H25" s="51" t="str">
        <f t="shared" si="51"/>
        <v/>
      </c>
      <c r="J25" s="51" t="str">
        <f>IF(P24&lt;EOMONTH($J$18,0),P24+1,"")</f>
        <v/>
      </c>
      <c r="K25" s="51" t="str">
        <f>IF(J25&lt;EOMONTH($J$18,0),J25+1,"")</f>
        <v/>
      </c>
      <c r="L25" s="51" t="str">
        <f t="shared" ref="L25:P25" si="52">IF(K25&lt;EOMONTH($J$18,0),K25+1,"")</f>
        <v/>
      </c>
      <c r="M25" s="51" t="str">
        <f t="shared" si="52"/>
        <v/>
      </c>
      <c r="N25" s="51" t="str">
        <f t="shared" si="52"/>
        <v/>
      </c>
      <c r="O25" s="51" t="str">
        <f t="shared" si="52"/>
        <v/>
      </c>
      <c r="P25" s="51" t="str">
        <f t="shared" si="52"/>
        <v/>
      </c>
      <c r="R25" s="51" t="str">
        <f>IF(X24&lt;EOMONTH($R$18,0),X24+1,"")</f>
        <v/>
      </c>
      <c r="S25" s="51" t="str">
        <f>IF(R25&lt;EOMONTH($R$18,0),R25+1,"")</f>
        <v/>
      </c>
      <c r="T25" s="51" t="str">
        <f t="shared" ref="T25:X25" si="53">IF(S25&lt;EOMONTH($R$18,0),S25+1,"")</f>
        <v/>
      </c>
      <c r="U25" s="51" t="str">
        <f t="shared" si="53"/>
        <v/>
      </c>
      <c r="V25" s="51" t="str">
        <f t="shared" si="53"/>
        <v/>
      </c>
      <c r="W25" s="51" t="str">
        <f t="shared" si="53"/>
        <v/>
      </c>
      <c r="X25" s="51" t="str">
        <f t="shared" si="53"/>
        <v/>
      </c>
    </row>
    <row r="26" spans="2:34" x14ac:dyDescent="0.25">
      <c r="AF26" s="70"/>
    </row>
    <row r="27" spans="2:34" x14ac:dyDescent="0.25">
      <c r="B27" s="105">
        <f>EDATE(DATE(An_ref,1,1),6)</f>
        <v>43647</v>
      </c>
      <c r="C27" s="106"/>
      <c r="D27" s="106"/>
      <c r="E27" s="106"/>
      <c r="F27" s="106"/>
      <c r="G27" s="106"/>
      <c r="H27" s="107"/>
      <c r="J27" s="105">
        <f>EDATE(DATE(An_ref,1,1),7)</f>
        <v>43678</v>
      </c>
      <c r="K27" s="106"/>
      <c r="L27" s="106"/>
      <c r="M27" s="106"/>
      <c r="N27" s="106"/>
      <c r="O27" s="106"/>
      <c r="P27" s="107"/>
      <c r="R27" s="105">
        <f>EDATE(DATE(An_ref,1,1),8)</f>
        <v>43709</v>
      </c>
      <c r="S27" s="106"/>
      <c r="T27" s="106"/>
      <c r="U27" s="106"/>
      <c r="V27" s="106"/>
      <c r="W27" s="106"/>
      <c r="X27" s="107"/>
    </row>
    <row r="28" spans="2:34" x14ac:dyDescent="0.25">
      <c r="B28" s="52" t="str">
        <f>UPPER(TEXT(B30,"jjj"))</f>
        <v>LUN</v>
      </c>
      <c r="C28" s="52" t="str">
        <f t="shared" ref="C28:H28" si="54">UPPER(TEXT(C30,"jjj"))</f>
        <v>MAR</v>
      </c>
      <c r="D28" s="52" t="str">
        <f t="shared" si="54"/>
        <v>MER</v>
      </c>
      <c r="E28" s="52" t="str">
        <f t="shared" si="54"/>
        <v>JEU</v>
      </c>
      <c r="F28" s="52" t="str">
        <f t="shared" si="54"/>
        <v>VEN</v>
      </c>
      <c r="G28" s="52" t="str">
        <f t="shared" si="54"/>
        <v>SAM</v>
      </c>
      <c r="H28" s="52" t="str">
        <f t="shared" si="54"/>
        <v>DIM</v>
      </c>
      <c r="J28" s="52" t="str">
        <f>UPPER(TEXT(J30,"jjj"))</f>
        <v>LUN</v>
      </c>
      <c r="K28" s="52" t="str">
        <f t="shared" ref="K28:P28" si="55">UPPER(TEXT(K30,"jjj"))</f>
        <v>MAR</v>
      </c>
      <c r="L28" s="52" t="str">
        <f t="shared" si="55"/>
        <v>MER</v>
      </c>
      <c r="M28" s="52" t="str">
        <f t="shared" si="55"/>
        <v>JEU</v>
      </c>
      <c r="N28" s="52" t="str">
        <f t="shared" si="55"/>
        <v>VEN</v>
      </c>
      <c r="O28" s="52" t="str">
        <f t="shared" si="55"/>
        <v>SAM</v>
      </c>
      <c r="P28" s="52" t="str">
        <f t="shared" si="55"/>
        <v>DIM</v>
      </c>
      <c r="R28" s="52" t="str">
        <f>UPPER(TEXT(R30,"jjj"))</f>
        <v>LUN</v>
      </c>
      <c r="S28" s="52" t="str">
        <f t="shared" ref="S28:X28" si="56">UPPER(TEXT(S30,"jjj"))</f>
        <v>MAR</v>
      </c>
      <c r="T28" s="52" t="str">
        <f t="shared" si="56"/>
        <v>MER</v>
      </c>
      <c r="U28" s="52" t="str">
        <f t="shared" si="56"/>
        <v>JEU</v>
      </c>
      <c r="V28" s="52" t="str">
        <f t="shared" si="56"/>
        <v>VEN</v>
      </c>
      <c r="W28" s="52" t="str">
        <f t="shared" si="56"/>
        <v>SAM</v>
      </c>
      <c r="X28" s="52" t="str">
        <f t="shared" si="56"/>
        <v>DIM</v>
      </c>
    </row>
    <row r="29" spans="2:34" x14ac:dyDescent="0.25">
      <c r="B29" s="51">
        <f>IF(WEEKDAY(B27)=2,B27,"")</f>
        <v>43647</v>
      </c>
      <c r="C29" s="51">
        <f>IF(B29&lt;&gt;"",B29+1,IF(WEEKDAY(B27)=3,B27,""))</f>
        <v>43648</v>
      </c>
      <c r="D29" s="51">
        <f>IF(C29&lt;&gt;"",C29+1,IF(WEEKDAY(B27)=4,B27,""))</f>
        <v>43649</v>
      </c>
      <c r="E29" s="51">
        <f>IF(D29&lt;&gt;"",D29+1,IF(WEEKDAY(B27)=5,B27,""))</f>
        <v>43650</v>
      </c>
      <c r="F29" s="51">
        <f>IF(E29&lt;&gt;"",E29+1,IF(WEEKDAY(B27)=6,B27,""))</f>
        <v>43651</v>
      </c>
      <c r="G29" s="51">
        <f>IF(F29&lt;&gt;"",F29+1,IF(WEEKDAY(B27)=7,B27,""))</f>
        <v>43652</v>
      </c>
      <c r="H29" s="51">
        <f>IF(G29&lt;&gt;"",G29+1,IF(WEEKDAY(B27)=1,B27,""))</f>
        <v>43653</v>
      </c>
      <c r="J29" s="51" t="str">
        <f>IF(WEEKDAY(J27)=2,J27,"")</f>
        <v/>
      </c>
      <c r="K29" s="51" t="str">
        <f>IF(J29&lt;&gt;"",J29+1,IF(WEEKDAY(J27)=3,J27,""))</f>
        <v/>
      </c>
      <c r="L29" s="51" t="str">
        <f>IF(K29&lt;&gt;"",K29+1,IF(WEEKDAY(J27)=4,J27,""))</f>
        <v/>
      </c>
      <c r="M29" s="51">
        <f>IF(L29&lt;&gt;"",L29+1,IF(WEEKDAY(J27)=5,J27,""))</f>
        <v>43678</v>
      </c>
      <c r="N29" s="51">
        <f>IF(M29&lt;&gt;"",M29+1,IF(WEEKDAY(J27)=6,J27,""))</f>
        <v>43679</v>
      </c>
      <c r="O29" s="51">
        <f>IF(N29&lt;&gt;"",N29+1,IF(WEEKDAY(J27)=7,J27,""))</f>
        <v>43680</v>
      </c>
      <c r="P29" s="51">
        <f>IF(O29&lt;&gt;"",O29+1,IF(WEEKDAY(J27)=1,J27,""))</f>
        <v>43681</v>
      </c>
      <c r="R29" s="51" t="str">
        <f>IF(WEEKDAY(R27)=2,R27,"")</f>
        <v/>
      </c>
      <c r="S29" s="51" t="str">
        <f>IF(R29&lt;&gt;"",R29+1,IF(WEEKDAY(R27)=3,R27,""))</f>
        <v/>
      </c>
      <c r="T29" s="51" t="str">
        <f>IF(S29&lt;&gt;"",S29+1,IF(WEEKDAY(R27)=4,R27,""))</f>
        <v/>
      </c>
      <c r="U29" s="51" t="str">
        <f>IF(T29&lt;&gt;"",T29+1,IF(WEEKDAY(R27)=5,R27,""))</f>
        <v/>
      </c>
      <c r="V29" s="51" t="str">
        <f>IF(U29&lt;&gt;"",U29+1,IF(WEEKDAY(R27)=6,R27,""))</f>
        <v/>
      </c>
      <c r="W29" s="51" t="str">
        <f>IF(V29&lt;&gt;"",V29+1,IF(WEEKDAY(R27)=7,R27,""))</f>
        <v/>
      </c>
      <c r="X29" s="51">
        <f>IF(W29&lt;&gt;"",W29+1,IF(WEEKDAY(R27)=1,R27,""))</f>
        <v>43709</v>
      </c>
    </row>
    <row r="30" spans="2:34" x14ac:dyDescent="0.25">
      <c r="B30" s="51">
        <f>$H$29+1</f>
        <v>43654</v>
      </c>
      <c r="C30" s="51">
        <f>B30+1</f>
        <v>43655</v>
      </c>
      <c r="D30" s="51">
        <f t="shared" ref="D30" si="57">C30+1</f>
        <v>43656</v>
      </c>
      <c r="E30" s="51">
        <f t="shared" ref="E30" si="58">D30+1</f>
        <v>43657</v>
      </c>
      <c r="F30" s="51">
        <f t="shared" ref="F30" si="59">E30+1</f>
        <v>43658</v>
      </c>
      <c r="G30" s="51">
        <f t="shared" ref="G30" si="60">F30+1</f>
        <v>43659</v>
      </c>
      <c r="H30" s="51">
        <f t="shared" ref="H30" si="61">G30+1</f>
        <v>43660</v>
      </c>
      <c r="J30" s="51">
        <f>$P$29+1</f>
        <v>43682</v>
      </c>
      <c r="K30" s="51">
        <f>J30+1</f>
        <v>43683</v>
      </c>
      <c r="L30" s="51">
        <f t="shared" ref="L30" si="62">K30+1</f>
        <v>43684</v>
      </c>
      <c r="M30" s="51">
        <f t="shared" ref="M30" si="63">L30+1</f>
        <v>43685</v>
      </c>
      <c r="N30" s="51">
        <f t="shared" ref="N30" si="64">M30+1</f>
        <v>43686</v>
      </c>
      <c r="O30" s="51">
        <f t="shared" ref="O30" si="65">N30+1</f>
        <v>43687</v>
      </c>
      <c r="P30" s="51">
        <f t="shared" ref="P30" si="66">O30+1</f>
        <v>43688</v>
      </c>
      <c r="R30" s="51">
        <f>$X$29+1</f>
        <v>43710</v>
      </c>
      <c r="S30" s="51">
        <f>R30+1</f>
        <v>43711</v>
      </c>
      <c r="T30" s="51">
        <f t="shared" ref="T30" si="67">S30+1</f>
        <v>43712</v>
      </c>
      <c r="U30" s="51">
        <f t="shared" ref="U30" si="68">T30+1</f>
        <v>43713</v>
      </c>
      <c r="V30" s="51">
        <f t="shared" ref="V30" si="69">U30+1</f>
        <v>43714</v>
      </c>
      <c r="W30" s="51">
        <f t="shared" ref="W30" si="70">V30+1</f>
        <v>43715</v>
      </c>
      <c r="X30" s="51">
        <f t="shared" ref="X30" si="71">W30+1</f>
        <v>43716</v>
      </c>
    </row>
    <row r="31" spans="2:34" x14ac:dyDescent="0.25">
      <c r="B31" s="51">
        <f>H30+1</f>
        <v>43661</v>
      </c>
      <c r="C31" s="51">
        <f>B31+1</f>
        <v>43662</v>
      </c>
      <c r="D31" s="51">
        <f>C31+1</f>
        <v>43663</v>
      </c>
      <c r="E31" s="51">
        <f>D31+1</f>
        <v>43664</v>
      </c>
      <c r="F31" s="51">
        <f>E31+1</f>
        <v>43665</v>
      </c>
      <c r="G31" s="51">
        <f>F31+1</f>
        <v>43666</v>
      </c>
      <c r="H31" s="51">
        <f>G31+1</f>
        <v>43667</v>
      </c>
      <c r="J31" s="51">
        <f>P30+1</f>
        <v>43689</v>
      </c>
      <c r="K31" s="51">
        <f>J31+1</f>
        <v>43690</v>
      </c>
      <c r="L31" s="51">
        <f>K31+1</f>
        <v>43691</v>
      </c>
      <c r="M31" s="51">
        <f>L31+1</f>
        <v>43692</v>
      </c>
      <c r="N31" s="51">
        <f>M31+1</f>
        <v>43693</v>
      </c>
      <c r="O31" s="51">
        <f>N31+1</f>
        <v>43694</v>
      </c>
      <c r="P31" s="51">
        <f>O31+1</f>
        <v>43695</v>
      </c>
      <c r="R31" s="51">
        <f>X30+1</f>
        <v>43717</v>
      </c>
      <c r="S31" s="51">
        <f>R31+1</f>
        <v>43718</v>
      </c>
      <c r="T31" s="51">
        <f>S31+1</f>
        <v>43719</v>
      </c>
      <c r="U31" s="51">
        <f>T31+1</f>
        <v>43720</v>
      </c>
      <c r="V31" s="51">
        <f>U31+1</f>
        <v>43721</v>
      </c>
      <c r="W31" s="51">
        <f>V31+1</f>
        <v>43722</v>
      </c>
      <c r="X31" s="51">
        <f>W31+1</f>
        <v>43723</v>
      </c>
    </row>
    <row r="32" spans="2:34" x14ac:dyDescent="0.25">
      <c r="B32" s="51">
        <f>H31+1</f>
        <v>43668</v>
      </c>
      <c r="C32" s="51">
        <f>B32+1</f>
        <v>43669</v>
      </c>
      <c r="D32" s="51">
        <f t="shared" ref="D32" si="72">C32+1</f>
        <v>43670</v>
      </c>
      <c r="E32" s="51">
        <f t="shared" ref="E32" si="73">D32+1</f>
        <v>43671</v>
      </c>
      <c r="F32" s="51">
        <f t="shared" ref="F32" si="74">E32+1</f>
        <v>43672</v>
      </c>
      <c r="G32" s="51">
        <f t="shared" ref="G32" si="75">F32+1</f>
        <v>43673</v>
      </c>
      <c r="H32" s="51">
        <f t="shared" ref="H32" si="76">G32+1</f>
        <v>43674</v>
      </c>
      <c r="J32" s="51">
        <f>P31+1</f>
        <v>43696</v>
      </c>
      <c r="K32" s="51">
        <f>J32+1</f>
        <v>43697</v>
      </c>
      <c r="L32" s="51">
        <f t="shared" ref="L32" si="77">K32+1</f>
        <v>43698</v>
      </c>
      <c r="M32" s="51">
        <f t="shared" ref="M32" si="78">L32+1</f>
        <v>43699</v>
      </c>
      <c r="N32" s="51">
        <f t="shared" ref="N32" si="79">M32+1</f>
        <v>43700</v>
      </c>
      <c r="O32" s="51">
        <f t="shared" ref="O32" si="80">N32+1</f>
        <v>43701</v>
      </c>
      <c r="P32" s="51">
        <f t="shared" ref="P32" si="81">O32+1</f>
        <v>43702</v>
      </c>
      <c r="R32" s="51">
        <f>X31+1</f>
        <v>43724</v>
      </c>
      <c r="S32" s="51">
        <f>R32+1</f>
        <v>43725</v>
      </c>
      <c r="T32" s="51">
        <f t="shared" ref="T32" si="82">S32+1</f>
        <v>43726</v>
      </c>
      <c r="U32" s="51">
        <f t="shared" ref="U32" si="83">T32+1</f>
        <v>43727</v>
      </c>
      <c r="V32" s="51">
        <f t="shared" ref="V32" si="84">U32+1</f>
        <v>43728</v>
      </c>
      <c r="W32" s="51">
        <f t="shared" ref="W32" si="85">V32+1</f>
        <v>43729</v>
      </c>
      <c r="X32" s="51">
        <f t="shared" ref="X32" si="86">W32+1</f>
        <v>43730</v>
      </c>
    </row>
    <row r="33" spans="2:24" x14ac:dyDescent="0.25">
      <c r="B33" s="51">
        <f>IF(H32&lt;EOMONTH($B$27,0),H32+1,"")</f>
        <v>43675</v>
      </c>
      <c r="C33" s="51">
        <f>IF(B33&lt;EOMONTH($B$27,0),B33+1,"")</f>
        <v>43676</v>
      </c>
      <c r="D33" s="51">
        <f t="shared" ref="D33:H33" si="87">IF(C33&lt;EOMONTH($B$27,0),C33+1,"")</f>
        <v>43677</v>
      </c>
      <c r="E33" s="51" t="str">
        <f t="shared" si="87"/>
        <v/>
      </c>
      <c r="F33" s="51" t="str">
        <f t="shared" si="87"/>
        <v/>
      </c>
      <c r="G33" s="51" t="str">
        <f t="shared" si="87"/>
        <v/>
      </c>
      <c r="H33" s="51" t="str">
        <f t="shared" si="87"/>
        <v/>
      </c>
      <c r="J33" s="51">
        <f>IF(P32&lt;EOMONTH($J$27,0),P32+1,"")</f>
        <v>43703</v>
      </c>
      <c r="K33" s="51">
        <f>IF(J33&lt;EOMONTH($J$27,0),J33+1,"")</f>
        <v>43704</v>
      </c>
      <c r="L33" s="51">
        <f t="shared" ref="L33:P33" si="88">IF(K33&lt;EOMONTH($J$27,0),K33+1,"")</f>
        <v>43705</v>
      </c>
      <c r="M33" s="51">
        <f t="shared" si="88"/>
        <v>43706</v>
      </c>
      <c r="N33" s="51">
        <f t="shared" si="88"/>
        <v>43707</v>
      </c>
      <c r="O33" s="51">
        <f t="shared" si="88"/>
        <v>43708</v>
      </c>
      <c r="P33" s="51" t="str">
        <f t="shared" si="88"/>
        <v/>
      </c>
      <c r="R33" s="51">
        <f>IF(X32&lt;EOMONTH($R$27,0),X32+1,"")</f>
        <v>43731</v>
      </c>
      <c r="S33" s="51">
        <f>IF(R33&lt;EOMONTH($R$27,0),R33+1,"")</f>
        <v>43732</v>
      </c>
      <c r="T33" s="51">
        <f t="shared" ref="T33:X33" si="89">IF(S33&lt;EOMONTH($R$27,0),S33+1,"")</f>
        <v>43733</v>
      </c>
      <c r="U33" s="51">
        <f t="shared" si="89"/>
        <v>43734</v>
      </c>
      <c r="V33" s="51">
        <f t="shared" si="89"/>
        <v>43735</v>
      </c>
      <c r="W33" s="51">
        <f t="shared" si="89"/>
        <v>43736</v>
      </c>
      <c r="X33" s="51">
        <f t="shared" si="89"/>
        <v>43737</v>
      </c>
    </row>
    <row r="34" spans="2:24" x14ac:dyDescent="0.25">
      <c r="B34" s="51" t="str">
        <f>IF(H33&lt;EOMONTH($B$27,0),H33+1,"")</f>
        <v/>
      </c>
      <c r="C34" s="51" t="str">
        <f>IF(B34&lt;EOMONTH($B$27,0),B34+1,"")</f>
        <v/>
      </c>
      <c r="D34" s="51" t="str">
        <f t="shared" ref="D34:H34" si="90">IF(C34&lt;EOMONTH($B$27,0),C34+1,"")</f>
        <v/>
      </c>
      <c r="E34" s="51" t="str">
        <f t="shared" si="90"/>
        <v/>
      </c>
      <c r="F34" s="51" t="str">
        <f t="shared" si="90"/>
        <v/>
      </c>
      <c r="G34" s="51" t="str">
        <f t="shared" si="90"/>
        <v/>
      </c>
      <c r="H34" s="51" t="str">
        <f t="shared" si="90"/>
        <v/>
      </c>
      <c r="J34" s="51" t="str">
        <f>IF(P33&lt;EOMONTH($J$27,0),P33+1,"")</f>
        <v/>
      </c>
      <c r="K34" s="51" t="str">
        <f>IF(J34&lt;EOMONTH($J$27,0),J34+1,"")</f>
        <v/>
      </c>
      <c r="L34" s="51" t="str">
        <f t="shared" ref="L34:P34" si="91">IF(K34&lt;EOMONTH($J$27,0),K34+1,"")</f>
        <v/>
      </c>
      <c r="M34" s="51" t="str">
        <f t="shared" si="91"/>
        <v/>
      </c>
      <c r="N34" s="51" t="str">
        <f t="shared" si="91"/>
        <v/>
      </c>
      <c r="O34" s="51" t="str">
        <f t="shared" si="91"/>
        <v/>
      </c>
      <c r="P34" s="51" t="str">
        <f t="shared" si="91"/>
        <v/>
      </c>
      <c r="R34" s="51">
        <f>IF(X33&lt;EOMONTH($R$27,0),X33+1,"")</f>
        <v>43738</v>
      </c>
      <c r="S34" s="51" t="str">
        <f>IF(R34&lt;EOMONTH($R$27,0),R34+1,"")</f>
        <v/>
      </c>
      <c r="T34" s="51" t="str">
        <f t="shared" ref="T34:X34" si="92">IF(S34&lt;EOMONTH($R$27,0),S34+1,"")</f>
        <v/>
      </c>
      <c r="U34" s="51" t="str">
        <f t="shared" si="92"/>
        <v/>
      </c>
      <c r="V34" s="51" t="str">
        <f t="shared" si="92"/>
        <v/>
      </c>
      <c r="W34" s="51" t="str">
        <f t="shared" si="92"/>
        <v/>
      </c>
      <c r="X34" s="51" t="str">
        <f t="shared" si="92"/>
        <v/>
      </c>
    </row>
    <row r="36" spans="2:24" x14ac:dyDescent="0.25">
      <c r="B36" s="105">
        <f>EDATE(DATE(An_ref,1,1),9)</f>
        <v>43739</v>
      </c>
      <c r="C36" s="106"/>
      <c r="D36" s="106"/>
      <c r="E36" s="106"/>
      <c r="F36" s="106"/>
      <c r="G36" s="106"/>
      <c r="H36" s="107"/>
      <c r="J36" s="105">
        <f>EDATE(DATE(An_ref,1,1),10)</f>
        <v>43770</v>
      </c>
      <c r="K36" s="106"/>
      <c r="L36" s="106"/>
      <c r="M36" s="106"/>
      <c r="N36" s="106"/>
      <c r="O36" s="106"/>
      <c r="P36" s="107"/>
      <c r="R36" s="105">
        <f>EDATE(DATE(An_ref,1,1),11)</f>
        <v>43800</v>
      </c>
      <c r="S36" s="106"/>
      <c r="T36" s="106"/>
      <c r="U36" s="106"/>
      <c r="V36" s="106"/>
      <c r="W36" s="106"/>
      <c r="X36" s="107"/>
    </row>
    <row r="37" spans="2:24" x14ac:dyDescent="0.25">
      <c r="B37" s="52" t="str">
        <f>UPPER(TEXT(B39,"jjj"))</f>
        <v>LUN</v>
      </c>
      <c r="C37" s="52" t="str">
        <f t="shared" ref="C37:H37" si="93">UPPER(TEXT(C39,"jjj"))</f>
        <v>MAR</v>
      </c>
      <c r="D37" s="52" t="str">
        <f t="shared" si="93"/>
        <v>MER</v>
      </c>
      <c r="E37" s="52" t="str">
        <f t="shared" si="93"/>
        <v>JEU</v>
      </c>
      <c r="F37" s="52" t="str">
        <f t="shared" si="93"/>
        <v>VEN</v>
      </c>
      <c r="G37" s="52" t="str">
        <f t="shared" si="93"/>
        <v>SAM</v>
      </c>
      <c r="H37" s="52" t="str">
        <f t="shared" si="93"/>
        <v>DIM</v>
      </c>
      <c r="J37" s="52" t="str">
        <f>UPPER(TEXT(J39,"jjj"))</f>
        <v>LUN</v>
      </c>
      <c r="K37" s="52" t="str">
        <f t="shared" ref="K37:P37" si="94">UPPER(TEXT(K39,"jjj"))</f>
        <v>MAR</v>
      </c>
      <c r="L37" s="52" t="str">
        <f t="shared" si="94"/>
        <v>MER</v>
      </c>
      <c r="M37" s="52" t="str">
        <f t="shared" si="94"/>
        <v>JEU</v>
      </c>
      <c r="N37" s="52" t="str">
        <f t="shared" si="94"/>
        <v>VEN</v>
      </c>
      <c r="O37" s="52" t="str">
        <f t="shared" si="94"/>
        <v>SAM</v>
      </c>
      <c r="P37" s="52" t="str">
        <f t="shared" si="94"/>
        <v>DIM</v>
      </c>
      <c r="R37" s="52" t="str">
        <f>UPPER(TEXT(R39,"jjj"))</f>
        <v>LUN</v>
      </c>
      <c r="S37" s="52" t="str">
        <f t="shared" ref="S37:X37" si="95">UPPER(TEXT(S39,"jjj"))</f>
        <v>MAR</v>
      </c>
      <c r="T37" s="52" t="str">
        <f t="shared" si="95"/>
        <v>MER</v>
      </c>
      <c r="U37" s="52" t="str">
        <f t="shared" si="95"/>
        <v>JEU</v>
      </c>
      <c r="V37" s="52" t="str">
        <f t="shared" si="95"/>
        <v>VEN</v>
      </c>
      <c r="W37" s="52" t="str">
        <f t="shared" si="95"/>
        <v>SAM</v>
      </c>
      <c r="X37" s="52" t="str">
        <f t="shared" si="95"/>
        <v>DIM</v>
      </c>
    </row>
    <row r="38" spans="2:24" x14ac:dyDescent="0.25">
      <c r="B38" s="51" t="str">
        <f>IF(WEEKDAY(B36)=2,B36,"")</f>
        <v/>
      </c>
      <c r="C38" s="51">
        <f>IF(B38&lt;&gt;"",B38+1,IF(WEEKDAY(B36)=3,B36,""))</f>
        <v>43739</v>
      </c>
      <c r="D38" s="51">
        <f>IF(C38&lt;&gt;"",C38+1,IF(WEEKDAY(B36)=4,B36,""))</f>
        <v>43740</v>
      </c>
      <c r="E38" s="51">
        <f>IF(D38&lt;&gt;"",D38+1,IF(WEEKDAY(B36)=5,B36,""))</f>
        <v>43741</v>
      </c>
      <c r="F38" s="51">
        <f>IF(E38&lt;&gt;"",E38+1,IF(WEEKDAY(B36)=6,B36,""))</f>
        <v>43742</v>
      </c>
      <c r="G38" s="51">
        <f>IF(F38&lt;&gt;"",F38+1,IF(WEEKDAY(B36)=7,B36,""))</f>
        <v>43743</v>
      </c>
      <c r="H38" s="51">
        <f>IF(G38&lt;&gt;"",G38+1,IF(WEEKDAY(B36)=1,B36,""))</f>
        <v>43744</v>
      </c>
      <c r="J38" s="51" t="str">
        <f>IF(WEEKDAY(J36)=2,J36,"")</f>
        <v/>
      </c>
      <c r="K38" s="51" t="str">
        <f>IF(J38&lt;&gt;"",J38+1,IF(WEEKDAY(J36)=3,J36,""))</f>
        <v/>
      </c>
      <c r="L38" s="51" t="str">
        <f>IF(K38&lt;&gt;"",K38+1,IF(WEEKDAY(J36)=4,J36,""))</f>
        <v/>
      </c>
      <c r="M38" s="51" t="str">
        <f>IF(L38&lt;&gt;"",L38+1,IF(WEEKDAY(J36)=5,J36,""))</f>
        <v/>
      </c>
      <c r="N38" s="51">
        <f>IF(M38&lt;&gt;"",M38+1,IF(WEEKDAY(J36)=6,J36,""))</f>
        <v>43770</v>
      </c>
      <c r="O38" s="51">
        <f>IF(N38&lt;&gt;"",N38+1,IF(WEEKDAY(J36)=7,J36,""))</f>
        <v>43771</v>
      </c>
      <c r="P38" s="51">
        <f>IF(O38&lt;&gt;"",O38+1,IF(WEEKDAY(J36)=1,J36,""))</f>
        <v>43772</v>
      </c>
      <c r="R38" s="51" t="str">
        <f>IF(WEEKDAY(R36)=2,R36,"")</f>
        <v/>
      </c>
      <c r="S38" s="51" t="str">
        <f>IF(R38&lt;&gt;"",R38+1,IF(WEEKDAY(R36)=3,R36,""))</f>
        <v/>
      </c>
      <c r="T38" s="51" t="str">
        <f>IF(S38&lt;&gt;"",S38+1,IF(WEEKDAY(R36)=4,R36,""))</f>
        <v/>
      </c>
      <c r="U38" s="51" t="str">
        <f>IF(T38&lt;&gt;"",T38+1,IF(WEEKDAY(R36)=5,R36,""))</f>
        <v/>
      </c>
      <c r="V38" s="51" t="str">
        <f>IF(U38&lt;&gt;"",U38+1,IF(WEEKDAY(R36)=6,R36,""))</f>
        <v/>
      </c>
      <c r="W38" s="51" t="str">
        <f>IF(V38&lt;&gt;"",V38+1,IF(WEEKDAY(R36)=7,R36,""))</f>
        <v/>
      </c>
      <c r="X38" s="51">
        <f>IF(W38&lt;&gt;"",W38+1,IF(WEEKDAY(R36)=1,R36,""))</f>
        <v>43800</v>
      </c>
    </row>
    <row r="39" spans="2:24" x14ac:dyDescent="0.25">
      <c r="B39" s="51">
        <f>$H$38+1</f>
        <v>43745</v>
      </c>
      <c r="C39" s="51">
        <f>B39+1</f>
        <v>43746</v>
      </c>
      <c r="D39" s="51">
        <f t="shared" ref="D39" si="96">C39+1</f>
        <v>43747</v>
      </c>
      <c r="E39" s="51">
        <f t="shared" ref="E39" si="97">D39+1</f>
        <v>43748</v>
      </c>
      <c r="F39" s="51">
        <f t="shared" ref="F39" si="98">E39+1</f>
        <v>43749</v>
      </c>
      <c r="G39" s="51">
        <f t="shared" ref="G39" si="99">F39+1</f>
        <v>43750</v>
      </c>
      <c r="H39" s="51">
        <f t="shared" ref="H39" si="100">G39+1</f>
        <v>43751</v>
      </c>
      <c r="J39" s="51">
        <f>$P$38+1</f>
        <v>43773</v>
      </c>
      <c r="K39" s="51">
        <f>J39+1</f>
        <v>43774</v>
      </c>
      <c r="L39" s="51">
        <f t="shared" ref="L39" si="101">K39+1</f>
        <v>43775</v>
      </c>
      <c r="M39" s="51">
        <f t="shared" ref="M39" si="102">L39+1</f>
        <v>43776</v>
      </c>
      <c r="N39" s="51">
        <f t="shared" ref="N39" si="103">M39+1</f>
        <v>43777</v>
      </c>
      <c r="O39" s="51">
        <f t="shared" ref="O39" si="104">N39+1</f>
        <v>43778</v>
      </c>
      <c r="P39" s="51">
        <f t="shared" ref="P39" si="105">O39+1</f>
        <v>43779</v>
      </c>
      <c r="R39" s="51">
        <f>$X$38+1</f>
        <v>43801</v>
      </c>
      <c r="S39" s="51">
        <f>R39+1</f>
        <v>43802</v>
      </c>
      <c r="T39" s="51">
        <f t="shared" ref="T39" si="106">S39+1</f>
        <v>43803</v>
      </c>
      <c r="U39" s="51">
        <f t="shared" ref="U39" si="107">T39+1</f>
        <v>43804</v>
      </c>
      <c r="V39" s="51">
        <f t="shared" ref="V39" si="108">U39+1</f>
        <v>43805</v>
      </c>
      <c r="W39" s="51">
        <f t="shared" ref="W39" si="109">V39+1</f>
        <v>43806</v>
      </c>
      <c r="X39" s="51">
        <f t="shared" ref="X39" si="110">W39+1</f>
        <v>43807</v>
      </c>
    </row>
    <row r="40" spans="2:24" x14ac:dyDescent="0.25">
      <c r="B40" s="51">
        <f>H39+1</f>
        <v>43752</v>
      </c>
      <c r="C40" s="51">
        <f>B40+1</f>
        <v>43753</v>
      </c>
      <c r="D40" s="51">
        <f>C40+1</f>
        <v>43754</v>
      </c>
      <c r="E40" s="51">
        <f>D40+1</f>
        <v>43755</v>
      </c>
      <c r="F40" s="51">
        <f>E40+1</f>
        <v>43756</v>
      </c>
      <c r="G40" s="51">
        <f>F40+1</f>
        <v>43757</v>
      </c>
      <c r="H40" s="51">
        <f>G40+1</f>
        <v>43758</v>
      </c>
      <c r="J40" s="51">
        <f>P39+1</f>
        <v>43780</v>
      </c>
      <c r="K40" s="51">
        <f>J40+1</f>
        <v>43781</v>
      </c>
      <c r="L40" s="51">
        <f>K40+1</f>
        <v>43782</v>
      </c>
      <c r="M40" s="51">
        <f>L40+1</f>
        <v>43783</v>
      </c>
      <c r="N40" s="51">
        <f>M40+1</f>
        <v>43784</v>
      </c>
      <c r="O40" s="51">
        <f>N40+1</f>
        <v>43785</v>
      </c>
      <c r="P40" s="51">
        <f>O40+1</f>
        <v>43786</v>
      </c>
      <c r="R40" s="51">
        <f>X39+1</f>
        <v>43808</v>
      </c>
      <c r="S40" s="51">
        <f>R40+1</f>
        <v>43809</v>
      </c>
      <c r="T40" s="51">
        <f>S40+1</f>
        <v>43810</v>
      </c>
      <c r="U40" s="51">
        <f>T40+1</f>
        <v>43811</v>
      </c>
      <c r="V40" s="51">
        <f>U40+1</f>
        <v>43812</v>
      </c>
      <c r="W40" s="51">
        <f>V40+1</f>
        <v>43813</v>
      </c>
      <c r="X40" s="51">
        <f>W40+1</f>
        <v>43814</v>
      </c>
    </row>
    <row r="41" spans="2:24" x14ac:dyDescent="0.25">
      <c r="B41" s="51">
        <f>H40+1</f>
        <v>43759</v>
      </c>
      <c r="C41" s="51">
        <f>B41+1</f>
        <v>43760</v>
      </c>
      <c r="D41" s="51">
        <f t="shared" ref="D41" si="111">C41+1</f>
        <v>43761</v>
      </c>
      <c r="E41" s="51">
        <f t="shared" ref="E41" si="112">D41+1</f>
        <v>43762</v>
      </c>
      <c r="F41" s="51">
        <f t="shared" ref="F41" si="113">E41+1</f>
        <v>43763</v>
      </c>
      <c r="G41" s="51">
        <f t="shared" ref="G41" si="114">F41+1</f>
        <v>43764</v>
      </c>
      <c r="H41" s="51">
        <f t="shared" ref="H41" si="115">G41+1</f>
        <v>43765</v>
      </c>
      <c r="J41" s="51">
        <f>P40+1</f>
        <v>43787</v>
      </c>
      <c r="K41" s="51">
        <f>J41+1</f>
        <v>43788</v>
      </c>
      <c r="L41" s="51">
        <f t="shared" ref="L41" si="116">K41+1</f>
        <v>43789</v>
      </c>
      <c r="M41" s="51">
        <f t="shared" ref="M41" si="117">L41+1</f>
        <v>43790</v>
      </c>
      <c r="N41" s="51">
        <f t="shared" ref="N41" si="118">M41+1</f>
        <v>43791</v>
      </c>
      <c r="O41" s="51">
        <f t="shared" ref="O41" si="119">N41+1</f>
        <v>43792</v>
      </c>
      <c r="P41" s="51">
        <f t="shared" ref="P41" si="120">O41+1</f>
        <v>43793</v>
      </c>
      <c r="R41" s="51">
        <f>X40+1</f>
        <v>43815</v>
      </c>
      <c r="S41" s="51">
        <f>R41+1</f>
        <v>43816</v>
      </c>
      <c r="T41" s="51">
        <f t="shared" ref="T41" si="121">S41+1</f>
        <v>43817</v>
      </c>
      <c r="U41" s="51">
        <f t="shared" ref="U41" si="122">T41+1</f>
        <v>43818</v>
      </c>
      <c r="V41" s="51">
        <f t="shared" ref="V41" si="123">U41+1</f>
        <v>43819</v>
      </c>
      <c r="W41" s="51">
        <f t="shared" ref="W41" si="124">V41+1</f>
        <v>43820</v>
      </c>
      <c r="X41" s="51">
        <f t="shared" ref="X41" si="125">W41+1</f>
        <v>43821</v>
      </c>
    </row>
    <row r="42" spans="2:24" x14ac:dyDescent="0.25">
      <c r="B42" s="51">
        <f>IF(H41&lt;EOMONTH($B$36,0),H41+1,"")</f>
        <v>43766</v>
      </c>
      <c r="C42" s="51">
        <f>IF(B42&lt;EOMONTH($B$36,0),B42+1,"")</f>
        <v>43767</v>
      </c>
      <c r="D42" s="51">
        <f t="shared" ref="D42:H42" si="126">IF(C42&lt;EOMONTH($B$36,0),C42+1,"")</f>
        <v>43768</v>
      </c>
      <c r="E42" s="51">
        <f t="shared" si="126"/>
        <v>43769</v>
      </c>
      <c r="F42" s="51" t="str">
        <f t="shared" si="126"/>
        <v/>
      </c>
      <c r="G42" s="51" t="str">
        <f t="shared" si="126"/>
        <v/>
      </c>
      <c r="H42" s="51" t="str">
        <f t="shared" si="126"/>
        <v/>
      </c>
      <c r="J42" s="51">
        <f>IF(P41&lt;EOMONTH($J$36,0),P41+1,"")</f>
        <v>43794</v>
      </c>
      <c r="K42" s="51">
        <f>IF(J42&lt;EOMONTH($J$36,0),J42+1,"")</f>
        <v>43795</v>
      </c>
      <c r="L42" s="51">
        <f t="shared" ref="L42:P42" si="127">IF(K42&lt;EOMONTH($J$36,0),K42+1,"")</f>
        <v>43796</v>
      </c>
      <c r="M42" s="51">
        <f t="shared" si="127"/>
        <v>43797</v>
      </c>
      <c r="N42" s="51">
        <f t="shared" si="127"/>
        <v>43798</v>
      </c>
      <c r="O42" s="51">
        <f t="shared" si="127"/>
        <v>43799</v>
      </c>
      <c r="P42" s="51" t="str">
        <f t="shared" si="127"/>
        <v/>
      </c>
      <c r="R42" s="51">
        <f>IF(X41&lt;EOMONTH($R$36,0),X41+1,"")</f>
        <v>43822</v>
      </c>
      <c r="S42" s="51">
        <f>IF(R42&lt;EOMONTH($R$36,0),R42+1,"")</f>
        <v>43823</v>
      </c>
      <c r="T42" s="51">
        <f t="shared" ref="T42:X42" si="128">IF(S42&lt;EOMONTH($R$36,0),S42+1,"")</f>
        <v>43824</v>
      </c>
      <c r="U42" s="51">
        <f t="shared" si="128"/>
        <v>43825</v>
      </c>
      <c r="V42" s="51">
        <f t="shared" si="128"/>
        <v>43826</v>
      </c>
      <c r="W42" s="51">
        <f t="shared" si="128"/>
        <v>43827</v>
      </c>
      <c r="X42" s="51">
        <f t="shared" si="128"/>
        <v>43828</v>
      </c>
    </row>
    <row r="43" spans="2:24" x14ac:dyDescent="0.25">
      <c r="B43" s="51" t="str">
        <f>IF(H42&lt;EOMONTH($B$36,0),H42+1,"")</f>
        <v/>
      </c>
      <c r="C43" s="51" t="str">
        <f>IF(B43&lt;EOMONTH($B$36,0),B43+1,"")</f>
        <v/>
      </c>
      <c r="D43" s="51" t="str">
        <f t="shared" ref="D43:H43" si="129">IF(C43&lt;EOMONTH($B$36,0),C43+1,"")</f>
        <v/>
      </c>
      <c r="E43" s="51" t="str">
        <f t="shared" si="129"/>
        <v/>
      </c>
      <c r="F43" s="51" t="str">
        <f t="shared" si="129"/>
        <v/>
      </c>
      <c r="G43" s="51" t="str">
        <f t="shared" si="129"/>
        <v/>
      </c>
      <c r="H43" s="51" t="str">
        <f t="shared" si="129"/>
        <v/>
      </c>
      <c r="J43" s="51" t="str">
        <f>IF(P42&lt;EOMONTH($J$36,0),P42+1,"")</f>
        <v/>
      </c>
      <c r="K43" s="51" t="str">
        <f>IF(J43&lt;EOMONTH($J$36,0),J43+1,"")</f>
        <v/>
      </c>
      <c r="L43" s="51" t="str">
        <f t="shared" ref="L43:P43" si="130">IF(K43&lt;EOMONTH($J$36,0),K43+1,"")</f>
        <v/>
      </c>
      <c r="M43" s="51" t="str">
        <f t="shared" si="130"/>
        <v/>
      </c>
      <c r="N43" s="51" t="str">
        <f t="shared" si="130"/>
        <v/>
      </c>
      <c r="O43" s="51" t="str">
        <f t="shared" si="130"/>
        <v/>
      </c>
      <c r="P43" s="51" t="str">
        <f t="shared" si="130"/>
        <v/>
      </c>
      <c r="R43" s="51">
        <f>IF(X42&lt;EOMONTH($R$36,0),X42+1,"")</f>
        <v>43829</v>
      </c>
      <c r="S43" s="51">
        <f>IF(R43&lt;EOMONTH($R$36,0),R43+1,"")</f>
        <v>43830</v>
      </c>
      <c r="T43" s="51" t="str">
        <f t="shared" ref="T43:X43" si="131">IF(S43&lt;EOMONTH($R$36,0),S43+1,"")</f>
        <v/>
      </c>
      <c r="U43" s="51" t="str">
        <f t="shared" si="131"/>
        <v/>
      </c>
      <c r="V43" s="51" t="str">
        <f t="shared" si="131"/>
        <v/>
      </c>
      <c r="W43" s="51" t="str">
        <f t="shared" si="131"/>
        <v/>
      </c>
      <c r="X43" s="51" t="str">
        <f t="shared" si="131"/>
        <v/>
      </c>
    </row>
  </sheetData>
  <mergeCells count="14">
    <mergeCell ref="B5:X6"/>
    <mergeCell ref="R18:X18"/>
    <mergeCell ref="R27:X27"/>
    <mergeCell ref="B9:H9"/>
    <mergeCell ref="J9:P9"/>
    <mergeCell ref="R9:X9"/>
    <mergeCell ref="B18:H18"/>
    <mergeCell ref="J18:P18"/>
    <mergeCell ref="AD8:AF8"/>
    <mergeCell ref="B36:H36"/>
    <mergeCell ref="J36:P36"/>
    <mergeCell ref="R36:X36"/>
    <mergeCell ref="B27:H27"/>
    <mergeCell ref="J27:P27"/>
  </mergeCells>
  <conditionalFormatting sqref="B9:H9">
    <cfRule type="notContainsBlanks" dxfId="448" priority="406">
      <formula>LEN(TRIM(B9))&gt;0</formula>
    </cfRule>
  </conditionalFormatting>
  <conditionalFormatting sqref="B11:B16">
    <cfRule type="timePeriod" dxfId="447" priority="388" timePeriod="today">
      <formula>FLOOR(B11,1)=TODAY()</formula>
    </cfRule>
    <cfRule type="containsBlanks" dxfId="446" priority="389">
      <formula>LEN(TRIM(B11))=0</formula>
    </cfRule>
    <cfRule type="notContainsBlanks" dxfId="445" priority="390">
      <formula>LEN(TRIM(B11))&gt;0</formula>
    </cfRule>
  </conditionalFormatting>
  <conditionalFormatting sqref="D11:H16">
    <cfRule type="timePeriod" dxfId="444" priority="397" timePeriod="today">
      <formula>FLOOR(D11,1)=TODAY()</formula>
    </cfRule>
    <cfRule type="containsBlanks" dxfId="443" priority="398">
      <formula>LEN(TRIM(D11))=0</formula>
    </cfRule>
    <cfRule type="notContainsBlanks" dxfId="442" priority="399">
      <formula>LEN(TRIM(D11))&gt;0</formula>
    </cfRule>
  </conditionalFormatting>
  <conditionalFormatting sqref="C11:C16 D15:E15">
    <cfRule type="timePeriod" dxfId="441" priority="401" timePeriod="today">
      <formula>FLOOR(C11,1)=TODAY()</formula>
    </cfRule>
    <cfRule type="containsBlanks" dxfId="440" priority="402">
      <formula>LEN(TRIM(C11))=0</formula>
    </cfRule>
    <cfRule type="notContainsBlanks" dxfId="439" priority="403">
      <formula>LEN(TRIM(C11))&gt;0</formula>
    </cfRule>
  </conditionalFormatting>
  <conditionalFormatting sqref="B11:H16">
    <cfRule type="expression" dxfId="438" priority="342">
      <formula>OR(B11=$AF$11,B11=$AF$13,B11=$AF$14,B11=$AF$16,B11=$AF$18,B11=$AF$19,B11=$AF$20,B11=$AF$21)</formula>
    </cfRule>
  </conditionalFormatting>
  <conditionalFormatting sqref="J9:P9">
    <cfRule type="notContainsBlanks" dxfId="437" priority="121">
      <formula>LEN(TRIM(J9))&gt;0</formula>
    </cfRule>
  </conditionalFormatting>
  <conditionalFormatting sqref="R9:X9">
    <cfRule type="notContainsBlanks" dxfId="436" priority="120">
      <formula>LEN(TRIM(R9))&gt;0</formula>
    </cfRule>
  </conditionalFormatting>
  <conditionalFormatting sqref="R18:X18">
    <cfRule type="notContainsBlanks" dxfId="435" priority="119">
      <formula>LEN(TRIM(R18))&gt;0</formula>
    </cfRule>
  </conditionalFormatting>
  <conditionalFormatting sqref="J18:P18">
    <cfRule type="notContainsBlanks" dxfId="434" priority="118">
      <formula>LEN(TRIM(J18))&gt;0</formula>
    </cfRule>
  </conditionalFormatting>
  <conditionalFormatting sqref="B18:H18">
    <cfRule type="notContainsBlanks" dxfId="433" priority="117">
      <formula>LEN(TRIM(B18))&gt;0</formula>
    </cfRule>
  </conditionalFormatting>
  <conditionalFormatting sqref="B27:H27">
    <cfRule type="notContainsBlanks" dxfId="432" priority="116">
      <formula>LEN(TRIM(B27))&gt;0</formula>
    </cfRule>
  </conditionalFormatting>
  <conditionalFormatting sqref="J27:P27">
    <cfRule type="notContainsBlanks" dxfId="431" priority="115">
      <formula>LEN(TRIM(J27))&gt;0</formula>
    </cfRule>
  </conditionalFormatting>
  <conditionalFormatting sqref="R27:X27">
    <cfRule type="notContainsBlanks" dxfId="430" priority="114">
      <formula>LEN(TRIM(R27))&gt;0</formula>
    </cfRule>
  </conditionalFormatting>
  <conditionalFormatting sqref="R36:X36">
    <cfRule type="notContainsBlanks" dxfId="429" priority="113">
      <formula>LEN(TRIM(R36))&gt;0</formula>
    </cfRule>
  </conditionalFormatting>
  <conditionalFormatting sqref="J36:P36">
    <cfRule type="notContainsBlanks" dxfId="428" priority="112">
      <formula>LEN(TRIM(J36))&gt;0</formula>
    </cfRule>
  </conditionalFormatting>
  <conditionalFormatting sqref="B36:H36">
    <cfRule type="notContainsBlanks" dxfId="427" priority="111">
      <formula>LEN(TRIM(B36))&gt;0</formula>
    </cfRule>
  </conditionalFormatting>
  <conditionalFormatting sqref="J11:J16">
    <cfRule type="timePeriod" dxfId="426" priority="102" timePeriod="today">
      <formula>FLOOR(J11,1)=TODAY()</formula>
    </cfRule>
    <cfRule type="containsBlanks" dxfId="425" priority="103">
      <formula>LEN(TRIM(J11))=0</formula>
    </cfRule>
    <cfRule type="notContainsBlanks" dxfId="424" priority="104">
      <formula>LEN(TRIM(J11))&gt;0</formula>
    </cfRule>
  </conditionalFormatting>
  <conditionalFormatting sqref="L11:P16">
    <cfRule type="timePeriod" dxfId="423" priority="105" timePeriod="today">
      <formula>FLOOR(L11,1)=TODAY()</formula>
    </cfRule>
    <cfRule type="containsBlanks" dxfId="422" priority="106">
      <formula>LEN(TRIM(L11))=0</formula>
    </cfRule>
    <cfRule type="notContainsBlanks" dxfId="421" priority="107">
      <formula>LEN(TRIM(L11))&gt;0</formula>
    </cfRule>
  </conditionalFormatting>
  <conditionalFormatting sqref="K11:K16 L15:M15">
    <cfRule type="timePeriod" dxfId="420" priority="108" timePeriod="today">
      <formula>FLOOR(K11,1)=TODAY()</formula>
    </cfRule>
    <cfRule type="containsBlanks" dxfId="419" priority="109">
      <formula>LEN(TRIM(K11))=0</formula>
    </cfRule>
    <cfRule type="notContainsBlanks" dxfId="418" priority="110">
      <formula>LEN(TRIM(K11))&gt;0</formula>
    </cfRule>
  </conditionalFormatting>
  <conditionalFormatting sqref="J11:P16">
    <cfRule type="expression" dxfId="417" priority="101">
      <formula>OR(J11=$AF$11,J11=$AF$13,J11=$AF$14,J11=$AF$16,J11=$AF$18,J11=$AF$19,J11=$AF$20,J11=$AF$21)</formula>
    </cfRule>
  </conditionalFormatting>
  <conditionalFormatting sqref="R11:R16">
    <cfRule type="timePeriod" dxfId="416" priority="92" timePeriod="today">
      <formula>FLOOR(R11,1)=TODAY()</formula>
    </cfRule>
    <cfRule type="containsBlanks" dxfId="415" priority="93">
      <formula>LEN(TRIM(R11))=0</formula>
    </cfRule>
    <cfRule type="notContainsBlanks" dxfId="414" priority="94">
      <formula>LEN(TRIM(R11))&gt;0</formula>
    </cfRule>
  </conditionalFormatting>
  <conditionalFormatting sqref="T11:X16">
    <cfRule type="timePeriod" dxfId="413" priority="95" timePeriod="today">
      <formula>FLOOR(T11,1)=TODAY()</formula>
    </cfRule>
    <cfRule type="containsBlanks" dxfId="412" priority="96">
      <formula>LEN(TRIM(T11))=0</formula>
    </cfRule>
    <cfRule type="notContainsBlanks" dxfId="411" priority="97">
      <formula>LEN(TRIM(T11))&gt;0</formula>
    </cfRule>
  </conditionalFormatting>
  <conditionalFormatting sqref="S11:S16 T15:U15">
    <cfRule type="timePeriod" dxfId="410" priority="98" timePeriod="today">
      <formula>FLOOR(S11,1)=TODAY()</formula>
    </cfRule>
    <cfRule type="containsBlanks" dxfId="409" priority="99">
      <formula>LEN(TRIM(S11))=0</formula>
    </cfRule>
    <cfRule type="notContainsBlanks" dxfId="408" priority="100">
      <formula>LEN(TRIM(S11))&gt;0</formula>
    </cfRule>
  </conditionalFormatting>
  <conditionalFormatting sqref="R11:X16">
    <cfRule type="expression" dxfId="407" priority="91">
      <formula>OR(R11=$AF$11,R11=$AF$13,R11=$AF$14,R11=$AF$16,R11=$AF$18,R11=$AF$19,R11=$AF$20,R11=$AF$21)</formula>
    </cfRule>
  </conditionalFormatting>
  <conditionalFormatting sqref="R20:R25">
    <cfRule type="timePeriod" dxfId="406" priority="82" timePeriod="today">
      <formula>FLOOR(R20,1)=TODAY()</formula>
    </cfRule>
    <cfRule type="containsBlanks" dxfId="405" priority="83">
      <formula>LEN(TRIM(R20))=0</formula>
    </cfRule>
    <cfRule type="notContainsBlanks" dxfId="404" priority="84">
      <formula>LEN(TRIM(R20))&gt;0</formula>
    </cfRule>
  </conditionalFormatting>
  <conditionalFormatting sqref="T20:X25">
    <cfRule type="timePeriod" dxfId="403" priority="85" timePeriod="today">
      <formula>FLOOR(T20,1)=TODAY()</formula>
    </cfRule>
    <cfRule type="containsBlanks" dxfId="402" priority="86">
      <formula>LEN(TRIM(T20))=0</formula>
    </cfRule>
    <cfRule type="notContainsBlanks" dxfId="401" priority="87">
      <formula>LEN(TRIM(T20))&gt;0</formula>
    </cfRule>
  </conditionalFormatting>
  <conditionalFormatting sqref="S20:S25 T24:U24">
    <cfRule type="timePeriod" dxfId="400" priority="88" timePeriod="today">
      <formula>FLOOR(S20,1)=TODAY()</formula>
    </cfRule>
    <cfRule type="containsBlanks" dxfId="399" priority="89">
      <formula>LEN(TRIM(S20))=0</formula>
    </cfRule>
    <cfRule type="notContainsBlanks" dxfId="398" priority="90">
      <formula>LEN(TRIM(S20))&gt;0</formula>
    </cfRule>
  </conditionalFormatting>
  <conditionalFormatting sqref="R20:X25">
    <cfRule type="expression" dxfId="397" priority="81">
      <formula>OR(R20=$AF$11,R20=$AF$13,R20=$AF$14,R20=$AF$16,R20=$AF$18,R20=$AF$19,R20=$AF$20,R20=$AF$21)</formula>
    </cfRule>
  </conditionalFormatting>
  <conditionalFormatting sqref="J20:J25">
    <cfRule type="timePeriod" dxfId="396" priority="72" timePeriod="today">
      <formula>FLOOR(J20,1)=TODAY()</formula>
    </cfRule>
    <cfRule type="containsBlanks" dxfId="395" priority="73">
      <formula>LEN(TRIM(J20))=0</formula>
    </cfRule>
    <cfRule type="notContainsBlanks" dxfId="394" priority="74">
      <formula>LEN(TRIM(J20))&gt;0</formula>
    </cfRule>
  </conditionalFormatting>
  <conditionalFormatting sqref="L20:P25">
    <cfRule type="timePeriod" dxfId="393" priority="75" timePeriod="today">
      <formula>FLOOR(L20,1)=TODAY()</formula>
    </cfRule>
    <cfRule type="containsBlanks" dxfId="392" priority="76">
      <formula>LEN(TRIM(L20))=0</formula>
    </cfRule>
    <cfRule type="notContainsBlanks" dxfId="391" priority="77">
      <formula>LEN(TRIM(L20))&gt;0</formula>
    </cfRule>
  </conditionalFormatting>
  <conditionalFormatting sqref="K20:K25 L24:M24">
    <cfRule type="timePeriod" dxfId="390" priority="78" timePeriod="today">
      <formula>FLOOR(K20,1)=TODAY()</formula>
    </cfRule>
    <cfRule type="containsBlanks" dxfId="389" priority="79">
      <formula>LEN(TRIM(K20))=0</formula>
    </cfRule>
    <cfRule type="notContainsBlanks" dxfId="388" priority="80">
      <formula>LEN(TRIM(K20))&gt;0</formula>
    </cfRule>
  </conditionalFormatting>
  <conditionalFormatting sqref="J20:P25">
    <cfRule type="expression" dxfId="387" priority="71">
      <formula>OR(J20=$AF$11,J20=$AF$13,J20=$AF$14,J20=$AF$16,J20=$AF$18,J20=$AF$19,J20=$AF$20,J20=$AF$21)</formula>
    </cfRule>
  </conditionalFormatting>
  <conditionalFormatting sqref="B20:B25">
    <cfRule type="timePeriod" dxfId="386" priority="62" timePeriod="today">
      <formula>FLOOR(B20,1)=TODAY()</formula>
    </cfRule>
    <cfRule type="containsBlanks" dxfId="385" priority="63">
      <formula>LEN(TRIM(B20))=0</formula>
    </cfRule>
    <cfRule type="notContainsBlanks" dxfId="384" priority="64">
      <formula>LEN(TRIM(B20))&gt;0</formula>
    </cfRule>
  </conditionalFormatting>
  <conditionalFormatting sqref="D20:H25">
    <cfRule type="timePeriod" dxfId="383" priority="65" timePeriod="today">
      <formula>FLOOR(D20,1)=TODAY()</formula>
    </cfRule>
    <cfRule type="containsBlanks" dxfId="382" priority="66">
      <formula>LEN(TRIM(D20))=0</formula>
    </cfRule>
    <cfRule type="notContainsBlanks" dxfId="381" priority="67">
      <formula>LEN(TRIM(D20))&gt;0</formula>
    </cfRule>
  </conditionalFormatting>
  <conditionalFormatting sqref="C20:C25 D24:E24">
    <cfRule type="timePeriod" dxfId="380" priority="68" timePeriod="today">
      <formula>FLOOR(C20,1)=TODAY()</formula>
    </cfRule>
    <cfRule type="containsBlanks" dxfId="379" priority="69">
      <formula>LEN(TRIM(C20))=0</formula>
    </cfRule>
    <cfRule type="notContainsBlanks" dxfId="378" priority="70">
      <formula>LEN(TRIM(C20))&gt;0</formula>
    </cfRule>
  </conditionalFormatting>
  <conditionalFormatting sqref="B20:H25">
    <cfRule type="expression" dxfId="377" priority="61">
      <formula>OR(B20=$AF$11,B20=$AF$13,B20=$AF$14,B20=$AF$16,B20=$AF$18,B20=$AF$19,B20=$AF$20,B20=$AF$21)</formula>
    </cfRule>
  </conditionalFormatting>
  <conditionalFormatting sqref="B29:B34">
    <cfRule type="timePeriod" dxfId="376" priority="52" timePeriod="today">
      <formula>FLOOR(B29,1)=TODAY()</formula>
    </cfRule>
    <cfRule type="containsBlanks" dxfId="375" priority="53">
      <formula>LEN(TRIM(B29))=0</formula>
    </cfRule>
    <cfRule type="notContainsBlanks" dxfId="374" priority="54">
      <formula>LEN(TRIM(B29))&gt;0</formula>
    </cfRule>
  </conditionalFormatting>
  <conditionalFormatting sqref="D29:H34">
    <cfRule type="timePeriod" dxfId="373" priority="55" timePeriod="today">
      <formula>FLOOR(D29,1)=TODAY()</formula>
    </cfRule>
    <cfRule type="containsBlanks" dxfId="372" priority="56">
      <formula>LEN(TRIM(D29))=0</formula>
    </cfRule>
    <cfRule type="notContainsBlanks" dxfId="371" priority="57">
      <formula>LEN(TRIM(D29))&gt;0</formula>
    </cfRule>
  </conditionalFormatting>
  <conditionalFormatting sqref="C29:C34 D33:E33">
    <cfRule type="timePeriod" dxfId="370" priority="58" timePeriod="today">
      <formula>FLOOR(C29,1)=TODAY()</formula>
    </cfRule>
    <cfRule type="containsBlanks" dxfId="369" priority="59">
      <formula>LEN(TRIM(C29))=0</formula>
    </cfRule>
    <cfRule type="notContainsBlanks" dxfId="368" priority="60">
      <formula>LEN(TRIM(C29))&gt;0</formula>
    </cfRule>
  </conditionalFormatting>
  <conditionalFormatting sqref="B29:H34">
    <cfRule type="expression" dxfId="367" priority="51">
      <formula>OR(B29=$AF$11,B29=$AF$13,B29=$AF$14,B29=$AF$16,B29=$AF$18,B29=$AF$19,B29=$AF$20,B29=$AF$21)</formula>
    </cfRule>
  </conditionalFormatting>
  <conditionalFormatting sqref="J29:J34">
    <cfRule type="timePeriod" dxfId="366" priority="42" timePeriod="today">
      <formula>FLOOR(J29,1)=TODAY()</formula>
    </cfRule>
    <cfRule type="containsBlanks" dxfId="365" priority="43">
      <formula>LEN(TRIM(J29))=0</formula>
    </cfRule>
    <cfRule type="notContainsBlanks" dxfId="364" priority="44">
      <formula>LEN(TRIM(J29))&gt;0</formula>
    </cfRule>
  </conditionalFormatting>
  <conditionalFormatting sqref="L29:P34">
    <cfRule type="timePeriod" dxfId="363" priority="45" timePeriod="today">
      <formula>FLOOR(L29,1)=TODAY()</formula>
    </cfRule>
    <cfRule type="containsBlanks" dxfId="362" priority="46">
      <formula>LEN(TRIM(L29))=0</formula>
    </cfRule>
    <cfRule type="notContainsBlanks" dxfId="361" priority="47">
      <formula>LEN(TRIM(L29))&gt;0</formula>
    </cfRule>
  </conditionalFormatting>
  <conditionalFormatting sqref="K29:K34 L33:M33">
    <cfRule type="timePeriod" dxfId="360" priority="48" timePeriod="today">
      <formula>FLOOR(K29,1)=TODAY()</formula>
    </cfRule>
    <cfRule type="containsBlanks" dxfId="359" priority="49">
      <formula>LEN(TRIM(K29))=0</formula>
    </cfRule>
    <cfRule type="notContainsBlanks" dxfId="358" priority="50">
      <formula>LEN(TRIM(K29))&gt;0</formula>
    </cfRule>
  </conditionalFormatting>
  <conditionalFormatting sqref="J29:P34">
    <cfRule type="expression" dxfId="357" priority="41">
      <formula>OR(J29=$AF$11,J29=$AF$13,J29=$AF$14,J29=$AF$16,J29=$AF$18,J29=$AF$19,J29=$AF$20,J29=$AF$21)</formula>
    </cfRule>
  </conditionalFormatting>
  <conditionalFormatting sqref="R29:R34">
    <cfRule type="timePeriod" dxfId="356" priority="32" timePeriod="today">
      <formula>FLOOR(R29,1)=TODAY()</formula>
    </cfRule>
    <cfRule type="containsBlanks" dxfId="355" priority="33">
      <formula>LEN(TRIM(R29))=0</formula>
    </cfRule>
    <cfRule type="notContainsBlanks" dxfId="354" priority="34">
      <formula>LEN(TRIM(R29))&gt;0</formula>
    </cfRule>
  </conditionalFormatting>
  <conditionalFormatting sqref="T29:X34">
    <cfRule type="timePeriod" dxfId="353" priority="35" timePeriod="today">
      <formula>FLOOR(T29,1)=TODAY()</formula>
    </cfRule>
    <cfRule type="containsBlanks" dxfId="352" priority="36">
      <formula>LEN(TRIM(T29))=0</formula>
    </cfRule>
    <cfRule type="notContainsBlanks" dxfId="351" priority="37">
      <formula>LEN(TRIM(T29))&gt;0</formula>
    </cfRule>
  </conditionalFormatting>
  <conditionalFormatting sqref="S29:S34 T33:U33">
    <cfRule type="timePeriod" dxfId="350" priority="38" timePeriod="today">
      <formula>FLOOR(S29,1)=TODAY()</formula>
    </cfRule>
    <cfRule type="containsBlanks" dxfId="349" priority="39">
      <formula>LEN(TRIM(S29))=0</formula>
    </cfRule>
    <cfRule type="notContainsBlanks" dxfId="348" priority="40">
      <formula>LEN(TRIM(S29))&gt;0</formula>
    </cfRule>
  </conditionalFormatting>
  <conditionalFormatting sqref="R29:X34">
    <cfRule type="expression" dxfId="347" priority="31">
      <formula>OR(R29=$AF$11,R29=$AF$13,R29=$AF$14,R29=$AF$16,R29=$AF$18,R29=$AF$19,R29=$AF$20,R29=$AF$21)</formula>
    </cfRule>
  </conditionalFormatting>
  <conditionalFormatting sqref="R38:R43">
    <cfRule type="timePeriod" dxfId="346" priority="22" timePeriod="today">
      <formula>FLOOR(R38,1)=TODAY()</formula>
    </cfRule>
    <cfRule type="containsBlanks" dxfId="345" priority="23">
      <formula>LEN(TRIM(R38))=0</formula>
    </cfRule>
    <cfRule type="notContainsBlanks" dxfId="344" priority="24">
      <formula>LEN(TRIM(R38))&gt;0</formula>
    </cfRule>
  </conditionalFormatting>
  <conditionalFormatting sqref="T38:X43">
    <cfRule type="timePeriod" dxfId="343" priority="25" timePeriod="today">
      <formula>FLOOR(T38,1)=TODAY()</formula>
    </cfRule>
    <cfRule type="containsBlanks" dxfId="342" priority="26">
      <formula>LEN(TRIM(T38))=0</formula>
    </cfRule>
    <cfRule type="notContainsBlanks" dxfId="341" priority="27">
      <formula>LEN(TRIM(T38))&gt;0</formula>
    </cfRule>
  </conditionalFormatting>
  <conditionalFormatting sqref="S38:S43 T42:U42">
    <cfRule type="timePeriod" dxfId="340" priority="28" timePeriod="today">
      <formula>FLOOR(S38,1)=TODAY()</formula>
    </cfRule>
    <cfRule type="containsBlanks" dxfId="339" priority="29">
      <formula>LEN(TRIM(S38))=0</formula>
    </cfRule>
    <cfRule type="notContainsBlanks" dxfId="338" priority="30">
      <formula>LEN(TRIM(S38))&gt;0</formula>
    </cfRule>
  </conditionalFormatting>
  <conditionalFormatting sqref="R38:X43">
    <cfRule type="expression" dxfId="337" priority="21">
      <formula>OR(R38=$AF$11,R38=$AF$13,R38=$AF$14,R38=$AF$16,R38=$AF$18,R38=$AF$19,R38=$AF$20,R38=$AF$21)</formula>
    </cfRule>
  </conditionalFormatting>
  <conditionalFormatting sqref="J38:J43">
    <cfRule type="timePeriod" dxfId="336" priority="12" timePeriod="today">
      <formula>FLOOR(J38,1)=TODAY()</formula>
    </cfRule>
    <cfRule type="containsBlanks" dxfId="335" priority="13">
      <formula>LEN(TRIM(J38))=0</formula>
    </cfRule>
    <cfRule type="notContainsBlanks" dxfId="334" priority="14">
      <formula>LEN(TRIM(J38))&gt;0</formula>
    </cfRule>
  </conditionalFormatting>
  <conditionalFormatting sqref="L38:P43">
    <cfRule type="timePeriod" dxfId="333" priority="15" timePeriod="today">
      <formula>FLOOR(L38,1)=TODAY()</formula>
    </cfRule>
    <cfRule type="containsBlanks" dxfId="332" priority="16">
      <formula>LEN(TRIM(L38))=0</formula>
    </cfRule>
    <cfRule type="notContainsBlanks" dxfId="331" priority="17">
      <formula>LEN(TRIM(L38))&gt;0</formula>
    </cfRule>
  </conditionalFormatting>
  <conditionalFormatting sqref="K38:K43 L42:M42">
    <cfRule type="timePeriod" dxfId="330" priority="18" timePeriod="today">
      <formula>FLOOR(K38,1)=TODAY()</formula>
    </cfRule>
    <cfRule type="containsBlanks" dxfId="329" priority="19">
      <formula>LEN(TRIM(K38))=0</formula>
    </cfRule>
    <cfRule type="notContainsBlanks" dxfId="328" priority="20">
      <formula>LEN(TRIM(K38))&gt;0</formula>
    </cfRule>
  </conditionalFormatting>
  <conditionalFormatting sqref="J38:P43">
    <cfRule type="expression" dxfId="327" priority="11">
      <formula>OR(J38=$AF$11,J38=$AF$13,J38=$AF$14,J38=$AF$16,J38=$AF$18,J38=$AF$19,J38=$AF$20,J38=$AF$21)</formula>
    </cfRule>
  </conditionalFormatting>
  <conditionalFormatting sqref="B38:B43">
    <cfRule type="timePeriod" dxfId="326" priority="2" timePeriod="today">
      <formula>FLOOR(B38,1)=TODAY()</formula>
    </cfRule>
    <cfRule type="containsBlanks" dxfId="325" priority="3">
      <formula>LEN(TRIM(B38))=0</formula>
    </cfRule>
    <cfRule type="notContainsBlanks" dxfId="324" priority="4">
      <formula>LEN(TRIM(B38))&gt;0</formula>
    </cfRule>
  </conditionalFormatting>
  <conditionalFormatting sqref="D38:H43">
    <cfRule type="timePeriod" dxfId="323" priority="5" timePeriod="today">
      <formula>FLOOR(D38,1)=TODAY()</formula>
    </cfRule>
    <cfRule type="containsBlanks" dxfId="322" priority="6">
      <formula>LEN(TRIM(D38))=0</formula>
    </cfRule>
    <cfRule type="notContainsBlanks" dxfId="321" priority="7">
      <formula>LEN(TRIM(D38))&gt;0</formula>
    </cfRule>
  </conditionalFormatting>
  <conditionalFormatting sqref="C38:C43 D42:E42">
    <cfRule type="timePeriod" dxfId="320" priority="8" timePeriod="today">
      <formula>FLOOR(C38,1)=TODAY()</formula>
    </cfRule>
    <cfRule type="containsBlanks" dxfId="319" priority="9">
      <formula>LEN(TRIM(C38))=0</formula>
    </cfRule>
    <cfRule type="notContainsBlanks" dxfId="318" priority="10">
      <formula>LEN(TRIM(C38))&gt;0</formula>
    </cfRule>
  </conditionalFormatting>
  <conditionalFormatting sqref="B38:H43">
    <cfRule type="expression" dxfId="317" priority="1">
      <formula>OR(B38=$AF$11,B38=$AF$13,B38=$AF$14,B38=$AF$16,B38=$AF$18,B38=$AF$19,B38=$AF$20,B38=$AF$21)</formula>
    </cfRule>
  </conditionalFormatting>
  <printOptions horizontalCentered="1"/>
  <pageMargins left="0" right="0" top="0.39370078740157483" bottom="0.19685039370078741" header="0" footer="0"/>
  <pageSetup scale="9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Spinner 1">
              <controlPr defaultSize="0" autoPict="0">
                <anchor moveWithCells="1" sizeWithCells="1">
                  <from>
                    <xdr:col>22</xdr:col>
                    <xdr:colOff>257175</xdr:colOff>
                    <xdr:row>4</xdr:row>
                    <xdr:rowOff>19050</xdr:rowOff>
                  </from>
                  <to>
                    <xdr:col>23</xdr:col>
                    <xdr:colOff>295275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E0E58-CA2B-47AA-A4A7-CF2C5652B325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DATE(An_ref,1,-2)-WEEKDAY(DATE(An_ref,1,3))+91</f>
        <v>43549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MAX('Mars - 3e-4e semaine'!K16:K35)</f>
        <v>20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43549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21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43550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43551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22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43552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43553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43554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43555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43556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23</v>
      </c>
    </row>
    <row r="30" spans="1:33" x14ac:dyDescent="0.2">
      <c r="A30" s="84">
        <f>B10+8</f>
        <v>43557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43558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43559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43560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43561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43562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24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SUM('Mars - 3e-4e semaine'!F41:G42)+E41</f>
        <v>6.9999999999999991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239" priority="48">
      <formula>ISBLANK($B$41)</formula>
    </cfRule>
  </conditionalFormatting>
  <conditionalFormatting sqref="F41">
    <cfRule type="expression" dxfId="238" priority="47">
      <formula>ISBLANK($F$41)</formula>
    </cfRule>
  </conditionalFormatting>
  <conditionalFormatting sqref="D41:D42">
    <cfRule type="cellIs" dxfId="237" priority="46" operator="lessThan">
      <formula>0</formula>
    </cfRule>
  </conditionalFormatting>
  <conditionalFormatting sqref="C41:C42">
    <cfRule type="cellIs" dxfId="236" priority="45" operator="lessThan">
      <formula>0</formula>
    </cfRule>
  </conditionalFormatting>
  <conditionalFormatting sqref="H26">
    <cfRule type="cellIs" dxfId="235" priority="7" operator="lessThan">
      <formula>0</formula>
    </cfRule>
  </conditionalFormatting>
  <conditionalFormatting sqref="H38">
    <cfRule type="cellIs" dxfId="234" priority="6" operator="lessThan">
      <formula>0</formula>
    </cfRule>
  </conditionalFormatting>
  <conditionalFormatting sqref="B15">
    <cfRule type="expression" dxfId="233" priority="5">
      <formula>ISBLANK($B$15)</formula>
    </cfRule>
  </conditionalFormatting>
  <conditionalFormatting sqref="B28">
    <cfRule type="expression" dxfId="232" priority="4">
      <formula>ISBLANK($B$28)</formula>
    </cfRule>
  </conditionalFormatting>
  <conditionalFormatting sqref="A16">
    <cfRule type="expression" dxfId="231" priority="3">
      <formula>OR(A16=$AE$10,A16=$AE$12,A16=$AE$13,A16=$AE$15,A16=$AE$17,A16=$AE$18,A16=$AE$19,A16=$AE$20)</formula>
    </cfRule>
  </conditionalFormatting>
  <conditionalFormatting sqref="A17:A22">
    <cfRule type="expression" dxfId="230" priority="2">
      <formula>OR(A17=$AE$10,A17=$AE$12,A17=$AE$13,A17=$AE$15,A17=$AE$17,A17=$AE$18,A17=$AE$19,A17=$AE$20)</formula>
    </cfRule>
  </conditionalFormatting>
  <conditionalFormatting sqref="A29:A35">
    <cfRule type="expression" dxfId="229" priority="1">
      <formula>OR(A29=$AE$10,A29=$AE$12,A29=$AE$13,A29=$AE$15,A29=$AE$17,A29=$AE$18,A29=$AE$19,A29=$AE$20)</formula>
    </cfRule>
  </conditionalFormatting>
  <conditionalFormatting sqref="A16:H22 A29:H35">
    <cfRule type="expression" dxfId="228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8C5B8A19-6DB1-4B24-AB8E-ADF9973B94AA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6174B-9AE2-443B-9543-5530AE60C78A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DATE(An_ref,1,-2)-WEEKDAY(DATE(An_ref,1,3))+105</f>
        <v>43563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MAX('Fin Mars-Avril - prem. semaine'!K16:K35)</f>
        <v>24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43563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25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43564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43565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26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43566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43567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43568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43569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43570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27</v>
      </c>
    </row>
    <row r="30" spans="1:33" x14ac:dyDescent="0.2">
      <c r="A30" s="84">
        <f>B10+8</f>
        <v>43571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43572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43573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43574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43575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43576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</v>
      </c>
      <c r="I35" s="98" t="s">
        <v>64</v>
      </c>
      <c r="K35" s="142">
        <f>IF(I35&lt;&gt;"",1+MAX($K$14:K34),"")</f>
        <v>28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0.33333333333333331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</v>
      </c>
      <c r="F41" s="135">
        <f>SUM('Fin Mars-Avril - prem. semaine'!F41:G42)+E41</f>
        <v>7.9999999999999991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227" priority="48">
      <formula>ISBLANK($B$41)</formula>
    </cfRule>
  </conditionalFormatting>
  <conditionalFormatting sqref="F41">
    <cfRule type="expression" dxfId="226" priority="47">
      <formula>ISBLANK($F$41)</formula>
    </cfRule>
  </conditionalFormatting>
  <conditionalFormatting sqref="D41:D42">
    <cfRule type="cellIs" dxfId="225" priority="46" operator="lessThan">
      <formula>0</formula>
    </cfRule>
  </conditionalFormatting>
  <conditionalFormatting sqref="C41:C42">
    <cfRule type="cellIs" dxfId="224" priority="45" operator="lessThan">
      <formula>0</formula>
    </cfRule>
  </conditionalFormatting>
  <conditionalFormatting sqref="H26">
    <cfRule type="cellIs" dxfId="223" priority="7" operator="lessThan">
      <formula>0</formula>
    </cfRule>
  </conditionalFormatting>
  <conditionalFormatting sqref="H38">
    <cfRule type="cellIs" dxfId="222" priority="6" operator="lessThan">
      <formula>0</formula>
    </cfRule>
  </conditionalFormatting>
  <conditionalFormatting sqref="B15">
    <cfRule type="expression" dxfId="221" priority="5">
      <formula>ISBLANK($B$15)</formula>
    </cfRule>
  </conditionalFormatting>
  <conditionalFormatting sqref="B28">
    <cfRule type="expression" dxfId="220" priority="4">
      <formula>ISBLANK($B$28)</formula>
    </cfRule>
  </conditionalFormatting>
  <conditionalFormatting sqref="A16">
    <cfRule type="expression" dxfId="219" priority="3">
      <formula>OR(A16=$AE$10,A16=$AE$12,A16=$AE$13,A16=$AE$15,A16=$AE$17,A16=$AE$18,A16=$AE$19,A16=$AE$20)</formula>
    </cfRule>
  </conditionalFormatting>
  <conditionalFormatting sqref="A17:A22">
    <cfRule type="expression" dxfId="218" priority="2">
      <formula>OR(A17=$AE$10,A17=$AE$12,A17=$AE$13,A17=$AE$15,A17=$AE$17,A17=$AE$18,A17=$AE$19,A17=$AE$20)</formula>
    </cfRule>
  </conditionalFormatting>
  <conditionalFormatting sqref="A29:A35">
    <cfRule type="expression" dxfId="217" priority="1">
      <formula>OR(A29=$AE$10,A29=$AE$12,A29=$AE$13,A29=$AE$15,A29=$AE$17,A29=$AE$18,A29=$AE$19,A29=$AE$20)</formula>
    </cfRule>
  </conditionalFormatting>
  <conditionalFormatting sqref="A16:H22 A29:H35">
    <cfRule type="expression" dxfId="216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9807FFF6-C67C-47C0-A736-7D82E8CA7795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E59C1-A355-4388-8795-60C5FB6BF1B5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DATE(An_ref,1,-2)-WEEKDAY(DATE(An_ref,1,3))+119</f>
        <v>43577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1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MAX('Avril - 2e-3e semaine'!K16:K35)</f>
        <v>28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43577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29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43578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43579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30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43580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43581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43582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43583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43584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31</v>
      </c>
    </row>
    <row r="30" spans="1:33" x14ac:dyDescent="0.2">
      <c r="A30" s="84">
        <f>B10+8</f>
        <v>43585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43586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43587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43588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43589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43590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32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SUM('Avril - 2e-3e semaine'!F41:G42)+E41</f>
        <v>9.3333333333333321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215" priority="48">
      <formula>ISBLANK($B$41)</formula>
    </cfRule>
  </conditionalFormatting>
  <conditionalFormatting sqref="F41">
    <cfRule type="expression" dxfId="214" priority="47">
      <formula>ISBLANK($F$41)</formula>
    </cfRule>
  </conditionalFormatting>
  <conditionalFormatting sqref="D41:D42">
    <cfRule type="cellIs" dxfId="213" priority="46" operator="lessThan">
      <formula>0</formula>
    </cfRule>
  </conditionalFormatting>
  <conditionalFormatting sqref="C41:C42">
    <cfRule type="cellIs" dxfId="212" priority="45" operator="lessThan">
      <formula>0</formula>
    </cfRule>
  </conditionalFormatting>
  <conditionalFormatting sqref="H26">
    <cfRule type="cellIs" dxfId="211" priority="7" operator="lessThan">
      <formula>0</formula>
    </cfRule>
  </conditionalFormatting>
  <conditionalFormatting sqref="H38">
    <cfRule type="cellIs" dxfId="210" priority="6" operator="lessThan">
      <formula>0</formula>
    </cfRule>
  </conditionalFormatting>
  <conditionalFormatting sqref="B15">
    <cfRule type="expression" dxfId="209" priority="5">
      <formula>ISBLANK($B$15)</formula>
    </cfRule>
  </conditionalFormatting>
  <conditionalFormatting sqref="B28">
    <cfRule type="expression" dxfId="208" priority="4">
      <formula>ISBLANK($B$28)</formula>
    </cfRule>
  </conditionalFormatting>
  <conditionalFormatting sqref="A16">
    <cfRule type="expression" dxfId="207" priority="3">
      <formula>OR(A16=$AE$10,A16=$AE$12,A16=$AE$13,A16=$AE$15,A16=$AE$17,A16=$AE$18,A16=$AE$19,A16=$AE$20)</formula>
    </cfRule>
  </conditionalFormatting>
  <conditionalFormatting sqref="A17:A22">
    <cfRule type="expression" dxfId="206" priority="2">
      <formula>OR(A17=$AE$10,A17=$AE$12,A17=$AE$13,A17=$AE$15,A17=$AE$17,A17=$AE$18,A17=$AE$19,A17=$AE$20)</formula>
    </cfRule>
  </conditionalFormatting>
  <conditionalFormatting sqref="A29:A35">
    <cfRule type="expression" dxfId="205" priority="1">
      <formula>OR(A29=$AE$10,A29=$AE$12,A29=$AE$13,A29=$AE$15,A29=$AE$17,A29=$AE$18,A29=$AE$19,A29=$AE$20)</formula>
    </cfRule>
  </conditionalFormatting>
  <conditionalFormatting sqref="A16:H22 A29:H35">
    <cfRule type="expression" dxfId="204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6117C0E9-C708-4211-B23F-279CE5127AAC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67C37-B8CD-462C-80A7-35989A7ACD92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DATE(An_ref,1,-2)-WEEKDAY(DATE(An_ref,1,3))+133</f>
        <v>43591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MAX('Fin Avril-Mai - prem. semaine'!K16:K35)</f>
        <v>32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43591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33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43592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43593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34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43594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43595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43596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43597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43598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35</v>
      </c>
    </row>
    <row r="30" spans="1:33" x14ac:dyDescent="0.2">
      <c r="A30" s="84">
        <f>B10+8</f>
        <v>43599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43600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43601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43602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43603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43604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36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SUM('Fin Avril-Mai - prem. semaine'!F41:G42)+E41</f>
        <v>10.666666666666666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203" priority="48">
      <formula>ISBLANK($B$41)</formula>
    </cfRule>
  </conditionalFormatting>
  <conditionalFormatting sqref="F41">
    <cfRule type="expression" dxfId="202" priority="47">
      <formula>ISBLANK($F$41)</formula>
    </cfRule>
  </conditionalFormatting>
  <conditionalFormatting sqref="D41:D42">
    <cfRule type="cellIs" dxfId="201" priority="46" operator="lessThan">
      <formula>0</formula>
    </cfRule>
  </conditionalFormatting>
  <conditionalFormatting sqref="C41:C42">
    <cfRule type="cellIs" dxfId="200" priority="45" operator="lessThan">
      <formula>0</formula>
    </cfRule>
  </conditionalFormatting>
  <conditionalFormatting sqref="H26">
    <cfRule type="cellIs" dxfId="199" priority="7" operator="lessThan">
      <formula>0</formula>
    </cfRule>
  </conditionalFormatting>
  <conditionalFormatting sqref="H38">
    <cfRule type="cellIs" dxfId="198" priority="6" operator="lessThan">
      <formula>0</formula>
    </cfRule>
  </conditionalFormatting>
  <conditionalFormatting sqref="B15">
    <cfRule type="expression" dxfId="197" priority="5">
      <formula>ISBLANK($B$15)</formula>
    </cfRule>
  </conditionalFormatting>
  <conditionalFormatting sqref="B28">
    <cfRule type="expression" dxfId="196" priority="4">
      <formula>ISBLANK($B$28)</formula>
    </cfRule>
  </conditionalFormatting>
  <conditionalFormatting sqref="A16">
    <cfRule type="expression" dxfId="195" priority="3">
      <formula>OR(A16=$AE$10,A16=$AE$12,A16=$AE$13,A16=$AE$15,A16=$AE$17,A16=$AE$18,A16=$AE$19,A16=$AE$20)</formula>
    </cfRule>
  </conditionalFormatting>
  <conditionalFormatting sqref="A17:A22">
    <cfRule type="expression" dxfId="194" priority="2">
      <formula>OR(A17=$AE$10,A17=$AE$12,A17=$AE$13,A17=$AE$15,A17=$AE$17,A17=$AE$18,A17=$AE$19,A17=$AE$20)</formula>
    </cfRule>
  </conditionalFormatting>
  <conditionalFormatting sqref="A29:A35">
    <cfRule type="expression" dxfId="193" priority="1">
      <formula>OR(A29=$AE$10,A29=$AE$12,A29=$AE$13,A29=$AE$15,A29=$AE$17,A29=$AE$18,A29=$AE$19,A29=$AE$20)</formula>
    </cfRule>
  </conditionalFormatting>
  <conditionalFormatting sqref="A16:H22 A29:H35">
    <cfRule type="expression" dxfId="192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861DC0BB-52BB-43DC-8DDA-A4D4D3156AF5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71CC-ED99-4795-9212-AF06D262172E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DATE(An_ref,1,-2)-WEEKDAY(DATE(An_ref,1,3))+147</f>
        <v>43605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1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MAX('Mai - 2e-3e semaine'!K16:K35)</f>
        <v>36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43605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37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43606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43607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38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43608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43609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43610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43611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43612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39</v>
      </c>
    </row>
    <row r="30" spans="1:33" x14ac:dyDescent="0.2">
      <c r="A30" s="84">
        <f>B10+8</f>
        <v>43613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43614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43615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43616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43617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43618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40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SUM('Mai - 2e-3e semaine'!F41:G42)+E41</f>
        <v>12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191" priority="50">
      <formula>ISBLANK($B$41)</formula>
    </cfRule>
  </conditionalFormatting>
  <conditionalFormatting sqref="F41">
    <cfRule type="expression" dxfId="190" priority="49">
      <formula>ISBLANK($F$41)</formula>
    </cfRule>
  </conditionalFormatting>
  <conditionalFormatting sqref="D41:D42">
    <cfRule type="cellIs" dxfId="189" priority="48" operator="lessThan">
      <formula>0</formula>
    </cfRule>
  </conditionalFormatting>
  <conditionalFormatting sqref="C41:C42">
    <cfRule type="cellIs" dxfId="188" priority="47" operator="lessThan">
      <formula>0</formula>
    </cfRule>
  </conditionalFormatting>
  <conditionalFormatting sqref="H26">
    <cfRule type="cellIs" dxfId="187" priority="7" operator="lessThan">
      <formula>0</formula>
    </cfRule>
  </conditionalFormatting>
  <conditionalFormatting sqref="H38">
    <cfRule type="cellIs" dxfId="186" priority="6" operator="lessThan">
      <formula>0</formula>
    </cfRule>
  </conditionalFormatting>
  <conditionalFormatting sqref="B15">
    <cfRule type="expression" dxfId="185" priority="5">
      <formula>ISBLANK($B$15)</formula>
    </cfRule>
  </conditionalFormatting>
  <conditionalFormatting sqref="B28">
    <cfRule type="expression" dxfId="184" priority="4">
      <formula>ISBLANK($B$28)</formula>
    </cfRule>
  </conditionalFormatting>
  <conditionalFormatting sqref="A16">
    <cfRule type="expression" dxfId="183" priority="3">
      <formula>OR(A16=$AE$10,A16=$AE$12,A16=$AE$13,A16=$AE$15,A16=$AE$17,A16=$AE$18,A16=$AE$19,A16=$AE$20)</formula>
    </cfRule>
  </conditionalFormatting>
  <conditionalFormatting sqref="A17:A22">
    <cfRule type="expression" dxfId="182" priority="2">
      <formula>OR(A17=$AE$10,A17=$AE$12,A17=$AE$13,A17=$AE$15,A17=$AE$17,A17=$AE$18,A17=$AE$19,A17=$AE$20)</formula>
    </cfRule>
  </conditionalFormatting>
  <conditionalFormatting sqref="A29:A35">
    <cfRule type="expression" dxfId="181" priority="1">
      <formula>OR(A29=$AE$10,A29=$AE$12,A29=$AE$13,A29=$AE$15,A29=$AE$17,A29=$AE$18,A29=$AE$19,A29=$AE$20)</formula>
    </cfRule>
  </conditionalFormatting>
  <conditionalFormatting sqref="A16:H22 A29:H35">
    <cfRule type="expression" dxfId="180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1D6377B6-A089-4ED5-BD74-D1EBD546D2F8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19EA-CBA7-48BC-B9A0-8CAF160E8DDD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DATE(An_ref,1,-2)-WEEKDAY(DATE(An_ref,1,3))+161</f>
        <v>43619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MAX('Fin Mai-Début juin semaine 1'!K16:K35)</f>
        <v>40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43619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41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43620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43621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42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43622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43623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43624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43625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43626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43</v>
      </c>
    </row>
    <row r="30" spans="1:33" x14ac:dyDescent="0.2">
      <c r="A30" s="84">
        <f>B10+8</f>
        <v>43627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43628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43629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43630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43631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43632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44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SUM('Fin Mai-Début juin semaine 1'!F41:G42)+E41</f>
        <v>13.333333333333334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179" priority="52">
      <formula>ISBLANK($B$41)</formula>
    </cfRule>
  </conditionalFormatting>
  <conditionalFormatting sqref="F41">
    <cfRule type="expression" dxfId="178" priority="51">
      <formula>ISBLANK($F$41)</formula>
    </cfRule>
  </conditionalFormatting>
  <conditionalFormatting sqref="D41:D42">
    <cfRule type="cellIs" dxfId="177" priority="50" operator="lessThan">
      <formula>0</formula>
    </cfRule>
  </conditionalFormatting>
  <conditionalFormatting sqref="C41:C42">
    <cfRule type="cellIs" dxfId="176" priority="49" operator="lessThan">
      <formula>0</formula>
    </cfRule>
  </conditionalFormatting>
  <conditionalFormatting sqref="H26">
    <cfRule type="cellIs" dxfId="175" priority="7" operator="lessThan">
      <formula>0</formula>
    </cfRule>
  </conditionalFormatting>
  <conditionalFormatting sqref="H38">
    <cfRule type="cellIs" dxfId="174" priority="6" operator="lessThan">
      <formula>0</formula>
    </cfRule>
  </conditionalFormatting>
  <conditionalFormatting sqref="B15">
    <cfRule type="expression" dxfId="173" priority="5">
      <formula>ISBLANK($B$15)</formula>
    </cfRule>
  </conditionalFormatting>
  <conditionalFormatting sqref="B28">
    <cfRule type="expression" dxfId="172" priority="4">
      <formula>ISBLANK($B$28)</formula>
    </cfRule>
  </conditionalFormatting>
  <conditionalFormatting sqref="A16">
    <cfRule type="expression" dxfId="171" priority="3">
      <formula>OR(A16=$AE$10,A16=$AE$12,A16=$AE$13,A16=$AE$15,A16=$AE$17,A16=$AE$18,A16=$AE$19,A16=$AE$20)</formula>
    </cfRule>
  </conditionalFormatting>
  <conditionalFormatting sqref="A17:A22">
    <cfRule type="expression" dxfId="170" priority="2">
      <formula>OR(A17=$AE$10,A17=$AE$12,A17=$AE$13,A17=$AE$15,A17=$AE$17,A17=$AE$18,A17=$AE$19,A17=$AE$20)</formula>
    </cfRule>
  </conditionalFormatting>
  <conditionalFormatting sqref="A29:A35">
    <cfRule type="expression" dxfId="169" priority="1">
      <formula>OR(A29=$AE$10,A29=$AE$12,A29=$AE$13,A29=$AE$15,A29=$AE$17,A29=$AE$18,A29=$AE$19,A29=$AE$20)</formula>
    </cfRule>
  </conditionalFormatting>
  <conditionalFormatting sqref="A16:H22 A29:H35">
    <cfRule type="expression" dxfId="168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519427F5-C3D4-4A27-B65E-21B168341FA8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5557-E30D-4C94-B7D9-C9A0EC071960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DATE(An_ref,1,-2)-WEEKDAY(DATE(An_ref,1,3))+175</f>
        <v>43633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MAX('Juin 2e-3e semaine'!K16:K35)</f>
        <v>44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43633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45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43634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43635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46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43636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43637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43638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43639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43640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</v>
      </c>
      <c r="I29" s="97" t="s">
        <v>63</v>
      </c>
      <c r="K29" s="142">
        <f>IF(I29&lt;&gt;"",1+MAX($K$14:K28),"")</f>
        <v>47</v>
      </c>
    </row>
    <row r="30" spans="1:33" x14ac:dyDescent="0.2">
      <c r="A30" s="84">
        <f>B10+8</f>
        <v>43641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43642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43643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43644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43645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43646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48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0.33333333333333331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</v>
      </c>
      <c r="F41" s="135">
        <f>SUM('Juin 2e-3e semaine'!F41:G42)+E41</f>
        <v>14.333333333333334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167" priority="48">
      <formula>ISBLANK($B$41)</formula>
    </cfRule>
  </conditionalFormatting>
  <conditionalFormatting sqref="F41">
    <cfRule type="expression" dxfId="166" priority="47">
      <formula>ISBLANK($F$41)</formula>
    </cfRule>
  </conditionalFormatting>
  <conditionalFormatting sqref="D41:D42">
    <cfRule type="cellIs" dxfId="165" priority="46" operator="lessThan">
      <formula>0</formula>
    </cfRule>
  </conditionalFormatting>
  <conditionalFormatting sqref="C41:C42">
    <cfRule type="cellIs" dxfId="164" priority="45" operator="lessThan">
      <formula>0</formula>
    </cfRule>
  </conditionalFormatting>
  <conditionalFormatting sqref="H26">
    <cfRule type="cellIs" dxfId="163" priority="7" operator="lessThan">
      <formula>0</formula>
    </cfRule>
  </conditionalFormatting>
  <conditionalFormatting sqref="H38">
    <cfRule type="cellIs" dxfId="162" priority="6" operator="lessThan">
      <formula>0</formula>
    </cfRule>
  </conditionalFormatting>
  <conditionalFormatting sqref="B15">
    <cfRule type="expression" dxfId="161" priority="5">
      <formula>ISBLANK($B$15)</formula>
    </cfRule>
  </conditionalFormatting>
  <conditionalFormatting sqref="B28">
    <cfRule type="expression" dxfId="160" priority="4">
      <formula>ISBLANK($B$28)</formula>
    </cfRule>
  </conditionalFormatting>
  <conditionalFormatting sqref="A16">
    <cfRule type="expression" dxfId="159" priority="3">
      <formula>OR(A16=$AE$10,A16=$AE$12,A16=$AE$13,A16=$AE$15,A16=$AE$17,A16=$AE$18,A16=$AE$19,A16=$AE$20)</formula>
    </cfRule>
  </conditionalFormatting>
  <conditionalFormatting sqref="A17:A22">
    <cfRule type="expression" dxfId="158" priority="2">
      <formula>OR(A17=$AE$10,A17=$AE$12,A17=$AE$13,A17=$AE$15,A17=$AE$17,A17=$AE$18,A17=$AE$19,A17=$AE$20)</formula>
    </cfRule>
  </conditionalFormatting>
  <conditionalFormatting sqref="A29:A35">
    <cfRule type="expression" dxfId="157" priority="1">
      <formula>OR(A29=$AE$10,A29=$AE$12,A29=$AE$13,A29=$AE$15,A29=$AE$17,A29=$AE$18,A29=$AE$19,A29=$AE$20)</formula>
    </cfRule>
  </conditionalFormatting>
  <conditionalFormatting sqref="A16:H22 A29:H35">
    <cfRule type="expression" dxfId="156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FFB7D190-3878-4EFB-871A-4DD1CFE62397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B026-6845-4B58-9F66-E9F326DCCFCA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DATE(An_ref,1,-2)-WEEKDAY(DATE(An_ref,1,3))+189</f>
        <v>43647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1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MAX('Juin 4e-5e semaine-Juillet déb.'!K16:K35)</f>
        <v>48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43647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</v>
      </c>
      <c r="I16" s="97" t="s">
        <v>64</v>
      </c>
      <c r="K16" s="142">
        <f>IF(I16&lt;&gt;"",1+MAX($L$14:L14),"")</f>
        <v>49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43648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43649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50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43650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43651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43652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43653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0.33333333333333331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43654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51</v>
      </c>
    </row>
    <row r="30" spans="1:33" x14ac:dyDescent="0.2">
      <c r="A30" s="84">
        <f>B10+8</f>
        <v>43655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43656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43657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43658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43659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43660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52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</v>
      </c>
      <c r="F41" s="135">
        <f>SUM('Juin 4e-5e semaine-Juillet déb.'!F41:G42)+E41</f>
        <v>15.333333333333334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155" priority="48">
      <formula>ISBLANK($B$41)</formula>
    </cfRule>
  </conditionalFormatting>
  <conditionalFormatting sqref="F41">
    <cfRule type="expression" dxfId="154" priority="47">
      <formula>ISBLANK($F$41)</formula>
    </cfRule>
  </conditionalFormatting>
  <conditionalFormatting sqref="D41:D42">
    <cfRule type="cellIs" dxfId="153" priority="46" operator="lessThan">
      <formula>0</formula>
    </cfRule>
  </conditionalFormatting>
  <conditionalFormatting sqref="C41:C42">
    <cfRule type="cellIs" dxfId="152" priority="45" operator="lessThan">
      <formula>0</formula>
    </cfRule>
  </conditionalFormatting>
  <conditionalFormatting sqref="H26">
    <cfRule type="cellIs" dxfId="151" priority="7" operator="lessThan">
      <formula>0</formula>
    </cfRule>
  </conditionalFormatting>
  <conditionalFormatting sqref="H38">
    <cfRule type="cellIs" dxfId="150" priority="6" operator="lessThan">
      <formula>0</formula>
    </cfRule>
  </conditionalFormatting>
  <conditionalFormatting sqref="B15">
    <cfRule type="expression" dxfId="149" priority="5">
      <formula>ISBLANK($B$15)</formula>
    </cfRule>
  </conditionalFormatting>
  <conditionalFormatting sqref="B28">
    <cfRule type="expression" dxfId="148" priority="4">
      <formula>ISBLANK($B$28)</formula>
    </cfRule>
  </conditionalFormatting>
  <conditionalFormatting sqref="A16">
    <cfRule type="expression" dxfId="147" priority="3">
      <formula>OR(A16=$AE$10,A16=$AE$12,A16=$AE$13,A16=$AE$15,A16=$AE$17,A16=$AE$18,A16=$AE$19,A16=$AE$20)</formula>
    </cfRule>
  </conditionalFormatting>
  <conditionalFormatting sqref="A17:A22">
    <cfRule type="expression" dxfId="146" priority="2">
      <formula>OR(A17=$AE$10,A17=$AE$12,A17=$AE$13,A17=$AE$15,A17=$AE$17,A17=$AE$18,A17=$AE$19,A17=$AE$20)</formula>
    </cfRule>
  </conditionalFormatting>
  <conditionalFormatting sqref="A29:A35">
    <cfRule type="expression" dxfId="145" priority="1">
      <formula>OR(A29=$AE$10,A29=$AE$12,A29=$AE$13,A29=$AE$15,A29=$AE$17,A29=$AE$18,A29=$AE$19,A29=$AE$20)</formula>
    </cfRule>
  </conditionalFormatting>
  <conditionalFormatting sqref="A16:H22 A29:H35">
    <cfRule type="expression" dxfId="144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D941341C-13B5-494B-A23C-CD4519C68126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23EA-3239-4659-9EF2-1ADA82DDA91F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DATE(An_ref,1,-2)-WEEKDAY(DATE(An_ref,1,3))+203</f>
        <v>43661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MAX('Juillet-2prem. semaines'!K16:K35)</f>
        <v>52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43661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53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43662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43663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54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43664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43665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43666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43667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43668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55</v>
      </c>
    </row>
    <row r="30" spans="1:33" x14ac:dyDescent="0.2">
      <c r="A30" s="84">
        <f>B10+8</f>
        <v>43669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43670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43671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43672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43673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43674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56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SUM('Juillet-2prem. semaines'!F41:G42)+E41</f>
        <v>16.666666666666668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143" priority="48">
      <formula>ISBLANK($B$41)</formula>
    </cfRule>
  </conditionalFormatting>
  <conditionalFormatting sqref="F41">
    <cfRule type="expression" dxfId="142" priority="47">
      <formula>ISBLANK($F$41)</formula>
    </cfRule>
  </conditionalFormatting>
  <conditionalFormatting sqref="D41:D42">
    <cfRule type="cellIs" dxfId="141" priority="46" operator="lessThan">
      <formula>0</formula>
    </cfRule>
  </conditionalFormatting>
  <conditionalFormatting sqref="C41:C42">
    <cfRule type="cellIs" dxfId="140" priority="45" operator="lessThan">
      <formula>0</formula>
    </cfRule>
  </conditionalFormatting>
  <conditionalFormatting sqref="H26">
    <cfRule type="cellIs" dxfId="139" priority="7" operator="lessThan">
      <formula>0</formula>
    </cfRule>
  </conditionalFormatting>
  <conditionalFormatting sqref="H38">
    <cfRule type="cellIs" dxfId="138" priority="6" operator="lessThan">
      <formula>0</formula>
    </cfRule>
  </conditionalFormatting>
  <conditionalFormatting sqref="B15">
    <cfRule type="expression" dxfId="137" priority="5">
      <formula>ISBLANK($B$15)</formula>
    </cfRule>
  </conditionalFormatting>
  <conditionalFormatting sqref="B28">
    <cfRule type="expression" dxfId="136" priority="4">
      <formula>ISBLANK($B$28)</formula>
    </cfRule>
  </conditionalFormatting>
  <conditionalFormatting sqref="A16">
    <cfRule type="expression" dxfId="135" priority="3">
      <formula>OR(A16=$AE$10,A16=$AE$12,A16=$AE$13,A16=$AE$15,A16=$AE$17,A16=$AE$18,A16=$AE$19,A16=$AE$20)</formula>
    </cfRule>
  </conditionalFormatting>
  <conditionalFormatting sqref="A17:A22">
    <cfRule type="expression" dxfId="134" priority="2">
      <formula>OR(A17=$AE$10,A17=$AE$12,A17=$AE$13,A17=$AE$15,A17=$AE$17,A17=$AE$18,A17=$AE$19,A17=$AE$20)</formula>
    </cfRule>
  </conditionalFormatting>
  <conditionalFormatting sqref="A29:A35">
    <cfRule type="expression" dxfId="133" priority="1">
      <formula>OR(A29=$AE$10,A29=$AE$12,A29=$AE$13,A29=$AE$15,A29=$AE$17,A29=$AE$18,A29=$AE$19,A29=$AE$20)</formula>
    </cfRule>
  </conditionalFormatting>
  <conditionalFormatting sqref="A16:H22 A29:H35">
    <cfRule type="expression" dxfId="132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964DF999-CAE7-4A34-AA1D-12F5B72E8CBC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D00C-EA87-4A15-B970-75ABBEF85212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B4" sqref="B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DATE(An_ref,1,-2)-WEEKDAY(DATE(An_ref,1,3))+217</f>
        <v>43675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MAX('Juillet 3e-4e semaine'!K16:K35)</f>
        <v>56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43675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57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43676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43677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58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43678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43679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43680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43681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43682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59</v>
      </c>
    </row>
    <row r="30" spans="1:33" x14ac:dyDescent="0.2">
      <c r="A30" s="84">
        <f>B10+8</f>
        <v>43683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43684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43685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43686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43687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43688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60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SUM('Juillet 3e-4e semaine'!F41:G42)+E41</f>
        <v>18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131" priority="48">
      <formula>ISBLANK($B$41)</formula>
    </cfRule>
  </conditionalFormatting>
  <conditionalFormatting sqref="F41">
    <cfRule type="expression" dxfId="130" priority="47">
      <formula>ISBLANK($F$41)</formula>
    </cfRule>
  </conditionalFormatting>
  <conditionalFormatting sqref="D41:D42">
    <cfRule type="cellIs" dxfId="129" priority="46" operator="lessThan">
      <formula>0</formula>
    </cfRule>
  </conditionalFormatting>
  <conditionalFormatting sqref="C41:C42">
    <cfRule type="cellIs" dxfId="128" priority="45" operator="lessThan">
      <formula>0</formula>
    </cfRule>
  </conditionalFormatting>
  <conditionalFormatting sqref="H26">
    <cfRule type="cellIs" dxfId="127" priority="7" operator="lessThan">
      <formula>0</formula>
    </cfRule>
  </conditionalFormatting>
  <conditionalFormatting sqref="H38">
    <cfRule type="cellIs" dxfId="126" priority="6" operator="lessThan">
      <formula>0</formula>
    </cfRule>
  </conditionalFormatting>
  <conditionalFormatting sqref="B15">
    <cfRule type="expression" dxfId="125" priority="5">
      <formula>ISBLANK($B$15)</formula>
    </cfRule>
  </conditionalFormatting>
  <conditionalFormatting sqref="B28">
    <cfRule type="expression" dxfId="124" priority="4">
      <formula>ISBLANK($B$28)</formula>
    </cfRule>
  </conditionalFormatting>
  <conditionalFormatting sqref="A16">
    <cfRule type="expression" dxfId="123" priority="3">
      <formula>OR(A16=$AE$10,A16=$AE$12,A16=$AE$13,A16=$AE$15,A16=$AE$17,A16=$AE$18,A16=$AE$19,A16=$AE$20)</formula>
    </cfRule>
  </conditionalFormatting>
  <conditionalFormatting sqref="A17:A22">
    <cfRule type="expression" dxfId="122" priority="2">
      <formula>OR(A17=$AE$10,A17=$AE$12,A17=$AE$13,A17=$AE$15,A17=$AE$17,A17=$AE$18,A17=$AE$19,A17=$AE$20)</formula>
    </cfRule>
  </conditionalFormatting>
  <conditionalFormatting sqref="A29:A35">
    <cfRule type="expression" dxfId="121" priority="1">
      <formula>OR(A29=$AE$10,A29=$AE$12,A29=$AE$13,A29=$AE$15,A29=$AE$17,A29=$AE$18,A29=$AE$19,A29=$AE$20)</formula>
    </cfRule>
  </conditionalFormatting>
  <conditionalFormatting sqref="A16:H22 A29:H35">
    <cfRule type="expression" dxfId="120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29A376E6-A760-4C29-A2F7-B84B6C9C0563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56DF-D9AE-4162-9F03-84BE886E2F1C}">
  <dimension ref="A1:E23"/>
  <sheetViews>
    <sheetView zoomScaleNormal="100" workbookViewId="0">
      <pane ySplit="7" topLeftCell="A8" activePane="bottomLeft" state="frozen"/>
      <selection pane="bottomLeft" activeCell="C12" sqref="C12:D12"/>
    </sheetView>
  </sheetViews>
  <sheetFormatPr baseColWidth="10" defaultColWidth="11.42578125" defaultRowHeight="14.25" x14ac:dyDescent="0.2"/>
  <cols>
    <col min="1" max="1" width="24.7109375" style="23" customWidth="1"/>
    <col min="2" max="2" width="37.42578125" style="24" customWidth="1"/>
    <col min="3" max="3" width="45.85546875" style="24" customWidth="1"/>
    <col min="4" max="4" width="16.7109375" style="24" customWidth="1"/>
    <col min="5" max="5" width="27.7109375" style="24" customWidth="1"/>
    <col min="6" max="16384" width="11.42578125" style="24"/>
  </cols>
  <sheetData>
    <row r="1" spans="1:5" x14ac:dyDescent="0.2">
      <c r="D1" s="25"/>
    </row>
    <row r="2" spans="1:5" ht="14.25" customHeight="1" x14ac:dyDescent="0.2">
      <c r="B2" s="118" t="s">
        <v>42</v>
      </c>
      <c r="C2" s="118"/>
      <c r="D2" s="118"/>
      <c r="E2" s="38"/>
    </row>
    <row r="3" spans="1:5" ht="14.25" customHeight="1" x14ac:dyDescent="0.2">
      <c r="B3" s="118"/>
      <c r="C3" s="118"/>
      <c r="D3" s="118"/>
      <c r="E3" s="38"/>
    </row>
    <row r="4" spans="1:5" ht="14.25" customHeight="1" x14ac:dyDescent="0.2">
      <c r="B4" s="118"/>
      <c r="C4" s="118"/>
      <c r="D4" s="118"/>
      <c r="E4" s="38"/>
    </row>
    <row r="5" spans="1:5" ht="14.25" customHeight="1" x14ac:dyDescent="0.2">
      <c r="B5" s="118"/>
      <c r="C5" s="118"/>
      <c r="D5" s="118"/>
      <c r="E5" s="38"/>
    </row>
    <row r="7" spans="1:5" ht="22.5" x14ac:dyDescent="0.2">
      <c r="A7" s="26"/>
      <c r="B7" s="27"/>
    </row>
    <row r="9" spans="1:5" ht="36" customHeight="1" x14ac:dyDescent="0.2">
      <c r="A9" s="114" t="s">
        <v>34</v>
      </c>
      <c r="B9" s="114" t="s">
        <v>33</v>
      </c>
      <c r="C9" s="121" t="s">
        <v>25</v>
      </c>
      <c r="D9" s="121"/>
    </row>
    <row r="10" spans="1:5" ht="36" customHeight="1" x14ac:dyDescent="0.2">
      <c r="A10" s="115"/>
      <c r="B10" s="115"/>
      <c r="C10" s="116">
        <f>'Calendrier annuel'!B5</f>
        <v>2019</v>
      </c>
      <c r="D10" s="117"/>
    </row>
    <row r="11" spans="1:5" ht="19.5" customHeight="1" x14ac:dyDescent="0.2">
      <c r="A11" s="47" t="s">
        <v>35</v>
      </c>
      <c r="B11" s="47" t="s">
        <v>26</v>
      </c>
      <c r="C11" s="119">
        <f>DATE(Année,1,1)</f>
        <v>43466</v>
      </c>
      <c r="D11" s="119"/>
      <c r="E11" s="50" t="s">
        <v>43</v>
      </c>
    </row>
    <row r="12" spans="1:5" ht="19.5" customHeight="1" x14ac:dyDescent="0.2">
      <c r="A12" s="39"/>
      <c r="B12" s="39" t="s">
        <v>49</v>
      </c>
      <c r="C12" s="120">
        <f>DATE(Année,3,29.56+0.979*MOD(204-11*MOD(Année,19),30)-
WEEKDAY(DATE(Année,3,28.56+0.979*MOD(204-11*MOD(Année,19),30))))</f>
        <v>43576</v>
      </c>
      <c r="D12" s="120"/>
      <c r="E12" s="50"/>
    </row>
    <row r="13" spans="1:5" ht="19.899999999999999" customHeight="1" x14ac:dyDescent="0.2">
      <c r="A13" s="48" t="s">
        <v>36</v>
      </c>
      <c r="B13" s="48" t="s">
        <v>47</v>
      </c>
      <c r="C13" s="119">
        <f>C12+1</f>
        <v>43577</v>
      </c>
      <c r="D13" s="119"/>
      <c r="E13" s="50"/>
    </row>
    <row r="14" spans="1:5" ht="19.899999999999999" customHeight="1" x14ac:dyDescent="0.2">
      <c r="A14" s="40" t="s">
        <v>37</v>
      </c>
      <c r="B14" s="40" t="s">
        <v>27</v>
      </c>
      <c r="C14" s="120">
        <f>DATE(Année,5,23)-WEEKDAY(DATE(Année,5,1),2)</f>
        <v>43605</v>
      </c>
      <c r="D14" s="120"/>
      <c r="E14" s="50" t="s">
        <v>51</v>
      </c>
    </row>
    <row r="15" spans="1:5" ht="19.899999999999999" customHeight="1" x14ac:dyDescent="0.2">
      <c r="A15" s="48" t="s">
        <v>38</v>
      </c>
      <c r="B15" s="48" t="s">
        <v>28</v>
      </c>
      <c r="C15" s="119">
        <f>DATE(Année,6,24)</f>
        <v>43640</v>
      </c>
      <c r="D15" s="119"/>
      <c r="E15" s="50" t="s">
        <v>46</v>
      </c>
    </row>
    <row r="16" spans="1:5" ht="19.899999999999999" customHeight="1" x14ac:dyDescent="0.2">
      <c r="A16" s="48" t="s">
        <v>39</v>
      </c>
      <c r="B16" s="48" t="s">
        <v>29</v>
      </c>
      <c r="C16" s="119">
        <f>DATE(Année,7,1)</f>
        <v>43647</v>
      </c>
      <c r="D16" s="119"/>
      <c r="E16" s="50" t="s">
        <v>45</v>
      </c>
    </row>
    <row r="17" spans="1:5" ht="19.899999999999999" customHeight="1" x14ac:dyDescent="0.2">
      <c r="A17" s="48" t="s">
        <v>50</v>
      </c>
      <c r="B17" s="48" t="s">
        <v>30</v>
      </c>
      <c r="C17" s="119">
        <f>IF(MOD(DATE(Année,9,1),7)&lt;=2,2-MOD(DATE(Année,9,1),7),9-MOD(DATE(Année,9,1),7))+DATE(Année,9,1)</f>
        <v>43710</v>
      </c>
      <c r="D17" s="119"/>
      <c r="E17" s="50"/>
    </row>
    <row r="18" spans="1:5" ht="19.899999999999999" customHeight="1" x14ac:dyDescent="0.2">
      <c r="A18" s="48" t="s">
        <v>40</v>
      </c>
      <c r="B18" s="48" t="s">
        <v>31</v>
      </c>
      <c r="C18" s="119">
        <f>IF(MOD(DATE(Année,10,1),7)&lt;=2,2-MOD(DATE(Année,10,1),7),9-MOD(DATE(Année,10,1),7))+DATE(Année,10,1)+7</f>
        <v>43752</v>
      </c>
      <c r="D18" s="119"/>
      <c r="E18" s="50"/>
    </row>
    <row r="19" spans="1:5" ht="19.899999999999999" customHeight="1" x14ac:dyDescent="0.2">
      <c r="A19" s="48" t="s">
        <v>41</v>
      </c>
      <c r="B19" s="48" t="s">
        <v>32</v>
      </c>
      <c r="C19" s="119">
        <f>DATE(Année,12,25)</f>
        <v>43824</v>
      </c>
      <c r="D19" s="119"/>
      <c r="E19" s="50" t="s">
        <v>44</v>
      </c>
    </row>
    <row r="23" spans="1:5" x14ac:dyDescent="0.2">
      <c r="A23" s="42" t="s">
        <v>48</v>
      </c>
      <c r="B23" s="41"/>
    </row>
  </sheetData>
  <mergeCells count="14">
    <mergeCell ref="B9:B10"/>
    <mergeCell ref="C10:D10"/>
    <mergeCell ref="B2:D5"/>
    <mergeCell ref="A9:A10"/>
    <mergeCell ref="C19:D19"/>
    <mergeCell ref="C13:D13"/>
    <mergeCell ref="C14:D14"/>
    <mergeCell ref="C15:D15"/>
    <mergeCell ref="C16:D16"/>
    <mergeCell ref="C18:D18"/>
    <mergeCell ref="C9:D9"/>
    <mergeCell ref="C11:D11"/>
    <mergeCell ref="C12:D12"/>
    <mergeCell ref="C17:D17"/>
  </mergeCells>
  <printOptions horizontalCentered="1"/>
  <pageMargins left="0" right="0" top="0.39370078740157483" bottom="0.15748031496062992" header="0" footer="0"/>
  <pageSetup paperSize="9"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C447-686B-4DB3-B601-B5900469F7B1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DATE(An_ref,1,-2)-WEEKDAY(DATE(An_ref,1,3))+231</f>
        <v>43689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MAX('Fin Juillet-Août 2prem. sem.'!K16:K35)</f>
        <v>60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43689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61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43690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43691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62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43692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43693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43694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43695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43696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63</v>
      </c>
    </row>
    <row r="30" spans="1:33" x14ac:dyDescent="0.2">
      <c r="A30" s="84">
        <f>B10+8</f>
        <v>43697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43698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43699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43700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43701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43702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64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SUM('Fin Juillet-Août 2prem. sem.'!F41:G42)+E41</f>
        <v>19.333333333333332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119" priority="48">
      <formula>ISBLANK($B$41)</formula>
    </cfRule>
  </conditionalFormatting>
  <conditionalFormatting sqref="F41">
    <cfRule type="expression" dxfId="118" priority="47">
      <formula>ISBLANK($F$41)</formula>
    </cfRule>
  </conditionalFormatting>
  <conditionalFormatting sqref="D41:D42">
    <cfRule type="cellIs" dxfId="117" priority="46" operator="lessThan">
      <formula>0</formula>
    </cfRule>
  </conditionalFormatting>
  <conditionalFormatting sqref="C41:C42">
    <cfRule type="cellIs" dxfId="116" priority="45" operator="lessThan">
      <formula>0</formula>
    </cfRule>
  </conditionalFormatting>
  <conditionalFormatting sqref="H26">
    <cfRule type="cellIs" dxfId="115" priority="7" operator="lessThan">
      <formula>0</formula>
    </cfRule>
  </conditionalFormatting>
  <conditionalFormatting sqref="H38">
    <cfRule type="cellIs" dxfId="114" priority="6" operator="lessThan">
      <formula>0</formula>
    </cfRule>
  </conditionalFormatting>
  <conditionalFormatting sqref="B15">
    <cfRule type="expression" dxfId="113" priority="5">
      <formula>ISBLANK($B$15)</formula>
    </cfRule>
  </conditionalFormatting>
  <conditionalFormatting sqref="B28">
    <cfRule type="expression" dxfId="112" priority="4">
      <formula>ISBLANK($B$28)</formula>
    </cfRule>
  </conditionalFormatting>
  <conditionalFormatting sqref="A16">
    <cfRule type="expression" dxfId="111" priority="3">
      <formula>OR(A16=$AE$10,A16=$AE$12,A16=$AE$13,A16=$AE$15,A16=$AE$17,A16=$AE$18,A16=$AE$19,A16=$AE$20)</formula>
    </cfRule>
  </conditionalFormatting>
  <conditionalFormatting sqref="A17:A22">
    <cfRule type="expression" dxfId="110" priority="2">
      <formula>OR(A17=$AE$10,A17=$AE$12,A17=$AE$13,A17=$AE$15,A17=$AE$17,A17=$AE$18,A17=$AE$19,A17=$AE$20)</formula>
    </cfRule>
  </conditionalFormatting>
  <conditionalFormatting sqref="A29:A35">
    <cfRule type="expression" dxfId="109" priority="1">
      <formula>OR(A29=$AE$10,A29=$AE$12,A29=$AE$13,A29=$AE$15,A29=$AE$17,A29=$AE$18,A29=$AE$19,A29=$AE$20)</formula>
    </cfRule>
  </conditionalFormatting>
  <conditionalFormatting sqref="A16:H22 A29:H35">
    <cfRule type="expression" dxfId="108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3C219576-3C26-4A46-91E5-B03C4B1695FB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3442-FEDF-4E7C-B354-2E5E6CFA7590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DATE(An_ref,1,-2)-WEEKDAY(DATE(An_ref,1,3))+245</f>
        <v>43703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MAX('Août 3e-4e semaine'!K16:K35)</f>
        <v>64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43703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65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43704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43705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66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43706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43707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43708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43709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43710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67</v>
      </c>
    </row>
    <row r="30" spans="1:33" x14ac:dyDescent="0.2">
      <c r="A30" s="84">
        <f>B10+8</f>
        <v>43711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43712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43713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43714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43715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43716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68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SUM('Août 3e-4e semaine'!F41:G42)+E41</f>
        <v>20.666666666666664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107" priority="48">
      <formula>ISBLANK($B$41)</formula>
    </cfRule>
  </conditionalFormatting>
  <conditionalFormatting sqref="F41">
    <cfRule type="expression" dxfId="106" priority="47">
      <formula>ISBLANK($F$41)</formula>
    </cfRule>
  </conditionalFormatting>
  <conditionalFormatting sqref="D41:D42">
    <cfRule type="cellIs" dxfId="105" priority="46" operator="lessThan">
      <formula>0</formula>
    </cfRule>
  </conditionalFormatting>
  <conditionalFormatting sqref="C41:C42">
    <cfRule type="cellIs" dxfId="104" priority="45" operator="lessThan">
      <formula>0</formula>
    </cfRule>
  </conditionalFormatting>
  <conditionalFormatting sqref="H26">
    <cfRule type="cellIs" dxfId="103" priority="7" operator="lessThan">
      <formula>0</formula>
    </cfRule>
  </conditionalFormatting>
  <conditionalFormatting sqref="H38">
    <cfRule type="cellIs" dxfId="102" priority="6" operator="lessThan">
      <formula>0</formula>
    </cfRule>
  </conditionalFormatting>
  <conditionalFormatting sqref="B15">
    <cfRule type="expression" dxfId="101" priority="5">
      <formula>ISBLANK($B$15)</formula>
    </cfRule>
  </conditionalFormatting>
  <conditionalFormatting sqref="B28">
    <cfRule type="expression" dxfId="100" priority="4">
      <formula>ISBLANK($B$28)</formula>
    </cfRule>
  </conditionalFormatting>
  <conditionalFormatting sqref="A16">
    <cfRule type="expression" dxfId="99" priority="3">
      <formula>OR(A16=$AE$10,A16=$AE$12,A16=$AE$13,A16=$AE$15,A16=$AE$17,A16=$AE$18,A16=$AE$19,A16=$AE$20)</formula>
    </cfRule>
  </conditionalFormatting>
  <conditionalFormatting sqref="A17:A22">
    <cfRule type="expression" dxfId="98" priority="2">
      <formula>OR(A17=$AE$10,A17=$AE$12,A17=$AE$13,A17=$AE$15,A17=$AE$17,A17=$AE$18,A17=$AE$19,A17=$AE$20)</formula>
    </cfRule>
  </conditionalFormatting>
  <conditionalFormatting sqref="A29:A35">
    <cfRule type="expression" dxfId="97" priority="1">
      <formula>OR(A29=$AE$10,A29=$AE$12,A29=$AE$13,A29=$AE$15,A29=$AE$17,A29=$AE$18,A29=$AE$19,A29=$AE$20)</formula>
    </cfRule>
  </conditionalFormatting>
  <conditionalFormatting sqref="A16:H22 A29:H35">
    <cfRule type="expression" dxfId="96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4B2DA0D2-8F33-4982-9F98-4C4BA89C5020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7F7A-75CF-4F9F-B51B-A364FF05639A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DATE(An_ref,1,-2)-WEEKDAY(DATE(An_ref,1,3))+259</f>
        <v>43717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MAX('Fin Août-Sept 2 prem. sem.'!K16:K35)</f>
        <v>68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43717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69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43718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43719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70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43720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43721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43722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43723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43724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71</v>
      </c>
    </row>
    <row r="30" spans="1:33" x14ac:dyDescent="0.2">
      <c r="A30" s="84">
        <f>B10+8</f>
        <v>43725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43726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43727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43728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43729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43730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72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SUM('Fin Août-Sept 2 prem. sem.'!F41:G42)+E41</f>
        <v>21.999999999999996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95" priority="48">
      <formula>ISBLANK($B$41)</formula>
    </cfRule>
  </conditionalFormatting>
  <conditionalFormatting sqref="F41">
    <cfRule type="expression" dxfId="94" priority="47">
      <formula>ISBLANK($F$41)</formula>
    </cfRule>
  </conditionalFormatting>
  <conditionalFormatting sqref="D41:D42">
    <cfRule type="cellIs" dxfId="93" priority="46" operator="lessThan">
      <formula>0</formula>
    </cfRule>
  </conditionalFormatting>
  <conditionalFormatting sqref="C41:C42">
    <cfRule type="cellIs" dxfId="92" priority="45" operator="lessThan">
      <formula>0</formula>
    </cfRule>
  </conditionalFormatting>
  <conditionalFormatting sqref="H26">
    <cfRule type="cellIs" dxfId="91" priority="7" operator="lessThan">
      <formula>0</formula>
    </cfRule>
  </conditionalFormatting>
  <conditionalFormatting sqref="H38">
    <cfRule type="cellIs" dxfId="90" priority="6" operator="lessThan">
      <formula>0</formula>
    </cfRule>
  </conditionalFormatting>
  <conditionalFormatting sqref="B15">
    <cfRule type="expression" dxfId="89" priority="5">
      <formula>ISBLANK($B$15)</formula>
    </cfRule>
  </conditionalFormatting>
  <conditionalFormatting sqref="B28">
    <cfRule type="expression" dxfId="88" priority="4">
      <formula>ISBLANK($B$28)</formula>
    </cfRule>
  </conditionalFormatting>
  <conditionalFormatting sqref="A16">
    <cfRule type="expression" dxfId="87" priority="3">
      <formula>OR(A16=$AE$10,A16=$AE$12,A16=$AE$13,A16=$AE$15,A16=$AE$17,A16=$AE$18,A16=$AE$19,A16=$AE$20)</formula>
    </cfRule>
  </conditionalFormatting>
  <conditionalFormatting sqref="A17:A22">
    <cfRule type="expression" dxfId="86" priority="2">
      <formula>OR(A17=$AE$10,A17=$AE$12,A17=$AE$13,A17=$AE$15,A17=$AE$17,A17=$AE$18,A17=$AE$19,A17=$AE$20)</formula>
    </cfRule>
  </conditionalFormatting>
  <conditionalFormatting sqref="A29:A35">
    <cfRule type="expression" dxfId="85" priority="1">
      <formula>OR(A29=$AE$10,A29=$AE$12,A29=$AE$13,A29=$AE$15,A29=$AE$17,A29=$AE$18,A29=$AE$19,A29=$AE$20)</formula>
    </cfRule>
  </conditionalFormatting>
  <conditionalFormatting sqref="A16:H22 A29:H35">
    <cfRule type="expression" dxfId="84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72187D81-FBBD-4247-B5A7-5A54EFB66A5E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9A74-5954-496F-9FBE-EFA32694BBB1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DATE(An_ref,1,-2)-WEEKDAY(DATE(An_ref,1,3))+273</f>
        <v>43731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MAX('Septembre 3e-4e semaine'!K16:K35)</f>
        <v>72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43731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73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43732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43733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74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43734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43735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43736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43737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43738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75</v>
      </c>
    </row>
    <row r="30" spans="1:33" x14ac:dyDescent="0.2">
      <c r="A30" s="84">
        <f>B10+8</f>
        <v>43739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43740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43741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43742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43743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43744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76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SUM('Septembre 3e-4e semaine'!F41:G42)+E41</f>
        <v>23.333333333333329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83" priority="48">
      <formula>ISBLANK($B$41)</formula>
    </cfRule>
  </conditionalFormatting>
  <conditionalFormatting sqref="F41">
    <cfRule type="expression" dxfId="82" priority="47">
      <formula>ISBLANK($F$41)</formula>
    </cfRule>
  </conditionalFormatting>
  <conditionalFormatting sqref="D41:D42">
    <cfRule type="cellIs" dxfId="81" priority="46" operator="lessThan">
      <formula>0</formula>
    </cfRule>
  </conditionalFormatting>
  <conditionalFormatting sqref="C41:C42">
    <cfRule type="cellIs" dxfId="80" priority="45" operator="lessThan">
      <formula>0</formula>
    </cfRule>
  </conditionalFormatting>
  <conditionalFormatting sqref="H26">
    <cfRule type="cellIs" dxfId="79" priority="7" operator="lessThan">
      <formula>0</formula>
    </cfRule>
  </conditionalFormatting>
  <conditionalFormatting sqref="H38">
    <cfRule type="cellIs" dxfId="78" priority="6" operator="lessThan">
      <formula>0</formula>
    </cfRule>
  </conditionalFormatting>
  <conditionalFormatting sqref="B15">
    <cfRule type="expression" dxfId="77" priority="5">
      <formula>ISBLANK($B$15)</formula>
    </cfRule>
  </conditionalFormatting>
  <conditionalFormatting sqref="B28">
    <cfRule type="expression" dxfId="76" priority="4">
      <formula>ISBLANK($B$28)</formula>
    </cfRule>
  </conditionalFormatting>
  <conditionalFormatting sqref="A16">
    <cfRule type="expression" dxfId="75" priority="3">
      <formula>OR(A16=$AE$10,A16=$AE$12,A16=$AE$13,A16=$AE$15,A16=$AE$17,A16=$AE$18,A16=$AE$19,A16=$AE$20)</formula>
    </cfRule>
  </conditionalFormatting>
  <conditionalFormatting sqref="A17:A22">
    <cfRule type="expression" dxfId="74" priority="2">
      <formula>OR(A17=$AE$10,A17=$AE$12,A17=$AE$13,A17=$AE$15,A17=$AE$17,A17=$AE$18,A17=$AE$19,A17=$AE$20)</formula>
    </cfRule>
  </conditionalFormatting>
  <conditionalFormatting sqref="A29:A35">
    <cfRule type="expression" dxfId="73" priority="1">
      <formula>OR(A29=$AE$10,A29=$AE$12,A29=$AE$13,A29=$AE$15,A29=$AE$17,A29=$AE$18,A29=$AE$19,A29=$AE$20)</formula>
    </cfRule>
  </conditionalFormatting>
  <conditionalFormatting sqref="A16:H22 A29:H35">
    <cfRule type="expression" dxfId="72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9266F319-7521-48A2-9E0E-02CBE1ABA63D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97A42-1ACC-4296-9965-D94F6AF93D7C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DATE(An_ref,1,-2)-WEEKDAY(DATE(An_ref,1,3))+287</f>
        <v>43745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MAX('Fin Sept.-Oct.-première semaine'!K16:K35)</f>
        <v>76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43745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77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43746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43747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78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43748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43749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43750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43751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43752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79</v>
      </c>
    </row>
    <row r="30" spans="1:33" x14ac:dyDescent="0.2">
      <c r="A30" s="84">
        <f>B10+8</f>
        <v>43753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43754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43755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43756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43757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43758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80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SUM('Fin Sept.-Oct.-première semaine'!F41:G42)+E41</f>
        <v>24.666666666666661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71" priority="56">
      <formula>ISBLANK($B$41)</formula>
    </cfRule>
  </conditionalFormatting>
  <conditionalFormatting sqref="F41">
    <cfRule type="expression" dxfId="70" priority="55">
      <formula>ISBLANK($F$41)</formula>
    </cfRule>
  </conditionalFormatting>
  <conditionalFormatting sqref="D41:D42">
    <cfRule type="cellIs" dxfId="69" priority="54" operator="lessThan">
      <formula>0</formula>
    </cfRule>
  </conditionalFormatting>
  <conditionalFormatting sqref="C41:C42">
    <cfRule type="cellIs" dxfId="68" priority="53" operator="lessThan">
      <formula>0</formula>
    </cfRule>
  </conditionalFormatting>
  <conditionalFormatting sqref="H26">
    <cfRule type="cellIs" dxfId="67" priority="7" operator="lessThan">
      <formula>0</formula>
    </cfRule>
  </conditionalFormatting>
  <conditionalFormatting sqref="H38">
    <cfRule type="cellIs" dxfId="66" priority="6" operator="lessThan">
      <formula>0</formula>
    </cfRule>
  </conditionalFormatting>
  <conditionalFormatting sqref="B15">
    <cfRule type="expression" dxfId="65" priority="5">
      <formula>ISBLANK($B$15)</formula>
    </cfRule>
  </conditionalFormatting>
  <conditionalFormatting sqref="B28">
    <cfRule type="expression" dxfId="64" priority="4">
      <formula>ISBLANK($B$28)</formula>
    </cfRule>
  </conditionalFormatting>
  <conditionalFormatting sqref="A16">
    <cfRule type="expression" dxfId="63" priority="3">
      <formula>OR(A16=$AE$10,A16=$AE$12,A16=$AE$13,A16=$AE$15,A16=$AE$17,A16=$AE$18,A16=$AE$19,A16=$AE$20)</formula>
    </cfRule>
  </conditionalFormatting>
  <conditionalFormatting sqref="A17:A22">
    <cfRule type="expression" dxfId="62" priority="2">
      <formula>OR(A17=$AE$10,A17=$AE$12,A17=$AE$13,A17=$AE$15,A17=$AE$17,A17=$AE$18,A17=$AE$19,A17=$AE$20)</formula>
    </cfRule>
  </conditionalFormatting>
  <conditionalFormatting sqref="A29:A35">
    <cfRule type="expression" dxfId="61" priority="1">
      <formula>OR(A29=$AE$10,A29=$AE$12,A29=$AE$13,A29=$AE$15,A29=$AE$17,A29=$AE$18,A29=$AE$19,A29=$AE$20)</formula>
    </cfRule>
  </conditionalFormatting>
  <conditionalFormatting sqref="A16:H22 A29:H35">
    <cfRule type="expression" dxfId="60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8830DDD0-837B-43AB-B271-1ED0056A15D2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3109-B804-4F6F-98F3-3848A4DB4441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DATE(An_ref,1,-2)-WEEKDAY(DATE(An_ref,1,3))+301</f>
        <v>43759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MAX('Octobre-2e-3e semaine'!K16:K35)</f>
        <v>80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43759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</v>
      </c>
      <c r="I16" s="97"/>
      <c r="K16" s="142" t="str">
        <f>IF(I16&lt;&gt;"",1+MAX($L$14:L14),"")</f>
        <v/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43760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43761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</v>
      </c>
      <c r="I18" s="97"/>
      <c r="K18" s="142" t="str">
        <f>IF(I18&lt;&gt;"",1+MAX($K$14:K16),"")</f>
        <v/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43762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43763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43764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43765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43766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</v>
      </c>
      <c r="I29" s="97"/>
      <c r="K29" s="142" t="str">
        <f>IF(I29&lt;&gt;"",1+MAX($K$14:K28),"")</f>
        <v/>
      </c>
    </row>
    <row r="30" spans="1:33" x14ac:dyDescent="0.2">
      <c r="A30" s="84">
        <f>B10+8</f>
        <v>43767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43768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43769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43770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43771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43772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</v>
      </c>
      <c r="I35" s="98"/>
      <c r="K35" s="142" t="str">
        <f>IF(I35&lt;&gt;"",1+MAX($K$14:K34),"")</f>
        <v/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0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0</v>
      </c>
      <c r="F41" s="135">
        <f>SUM('Octobre-2e-3e semaine'!F41:G42)+E41</f>
        <v>24.666666666666661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59" priority="48">
      <formula>ISBLANK($B$41)</formula>
    </cfRule>
  </conditionalFormatting>
  <conditionalFormatting sqref="F41">
    <cfRule type="expression" dxfId="58" priority="47">
      <formula>ISBLANK($F$41)</formula>
    </cfRule>
  </conditionalFormatting>
  <conditionalFormatting sqref="D41:D42">
    <cfRule type="cellIs" dxfId="57" priority="46" operator="lessThan">
      <formula>0</formula>
    </cfRule>
  </conditionalFormatting>
  <conditionalFormatting sqref="C41:C42">
    <cfRule type="cellIs" dxfId="56" priority="45" operator="lessThan">
      <formula>0</formula>
    </cfRule>
  </conditionalFormatting>
  <conditionalFormatting sqref="H26">
    <cfRule type="cellIs" dxfId="55" priority="7" operator="lessThan">
      <formula>0</formula>
    </cfRule>
  </conditionalFormatting>
  <conditionalFormatting sqref="H38">
    <cfRule type="cellIs" dxfId="54" priority="6" operator="lessThan">
      <formula>0</formula>
    </cfRule>
  </conditionalFormatting>
  <conditionalFormatting sqref="B15">
    <cfRule type="expression" dxfId="53" priority="5">
      <formula>ISBLANK($B$15)</formula>
    </cfRule>
  </conditionalFormatting>
  <conditionalFormatting sqref="B28">
    <cfRule type="expression" dxfId="52" priority="4">
      <formula>ISBLANK($B$28)</formula>
    </cfRule>
  </conditionalFormatting>
  <conditionalFormatting sqref="A16">
    <cfRule type="expression" dxfId="51" priority="3">
      <formula>OR(A16=$AE$10,A16=$AE$12,A16=$AE$13,A16=$AE$15,A16=$AE$17,A16=$AE$18,A16=$AE$19,A16=$AE$20)</formula>
    </cfRule>
  </conditionalFormatting>
  <conditionalFormatting sqref="A17:A22">
    <cfRule type="expression" dxfId="50" priority="2">
      <formula>OR(A17=$AE$10,A17=$AE$12,A17=$AE$13,A17=$AE$15,A17=$AE$17,A17=$AE$18,A17=$AE$19,A17=$AE$20)</formula>
    </cfRule>
  </conditionalFormatting>
  <conditionalFormatting sqref="A29:A35">
    <cfRule type="expression" dxfId="49" priority="1">
      <formula>OR(A29=$AE$10,A29=$AE$12,A29=$AE$13,A29=$AE$15,A29=$AE$17,A29=$AE$18,A29=$AE$19,A29=$AE$20)</formula>
    </cfRule>
  </conditionalFormatting>
  <conditionalFormatting sqref="A16:H22 A29:H35">
    <cfRule type="expression" dxfId="48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163ACBF6-7F4A-40D7-B6AD-40643678060B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2286F-76F1-43EC-B097-F9A632CB8066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DATE(An_ref,1,-2)-WEEKDAY(DATE(An_ref,1,3))+315</f>
        <v>43773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IF(MAX('Fin Oct.-Nov.-première semaine'!K16:K35)=0,'Fin Oct.-Nov.-première semaine'!L14)</f>
        <v>80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43773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81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43774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43775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82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43776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43777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43778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43779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43780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83</v>
      </c>
    </row>
    <row r="30" spans="1:33" x14ac:dyDescent="0.2">
      <c r="A30" s="84">
        <f>B10+8</f>
        <v>43781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43782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43783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43784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43785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43786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84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SUM('Fin Oct.-Nov.-première semaine'!F41:G42)+E41</f>
        <v>25.999999999999993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47" priority="48">
      <formula>ISBLANK($B$41)</formula>
    </cfRule>
  </conditionalFormatting>
  <conditionalFormatting sqref="F41">
    <cfRule type="expression" dxfId="46" priority="47">
      <formula>ISBLANK($F$41)</formula>
    </cfRule>
  </conditionalFormatting>
  <conditionalFormatting sqref="D41:D42">
    <cfRule type="cellIs" dxfId="45" priority="46" operator="lessThan">
      <formula>0</formula>
    </cfRule>
  </conditionalFormatting>
  <conditionalFormatting sqref="C41:C42">
    <cfRule type="cellIs" dxfId="44" priority="45" operator="lessThan">
      <formula>0</formula>
    </cfRule>
  </conditionalFormatting>
  <conditionalFormatting sqref="H26">
    <cfRule type="cellIs" dxfId="43" priority="7" operator="lessThan">
      <formula>0</formula>
    </cfRule>
  </conditionalFormatting>
  <conditionalFormatting sqref="H38">
    <cfRule type="cellIs" dxfId="42" priority="6" operator="lessThan">
      <formula>0</formula>
    </cfRule>
  </conditionalFormatting>
  <conditionalFormatting sqref="B15">
    <cfRule type="expression" dxfId="41" priority="5">
      <formula>ISBLANK($B$15)</formula>
    </cfRule>
  </conditionalFormatting>
  <conditionalFormatting sqref="B28">
    <cfRule type="expression" dxfId="40" priority="4">
      <formula>ISBLANK($B$28)</formula>
    </cfRule>
  </conditionalFormatting>
  <conditionalFormatting sqref="A16">
    <cfRule type="expression" dxfId="39" priority="3">
      <formula>OR(A16=$AE$10,A16=$AE$12,A16=$AE$13,A16=$AE$15,A16=$AE$17,A16=$AE$18,A16=$AE$19,A16=$AE$20)</formula>
    </cfRule>
  </conditionalFormatting>
  <conditionalFormatting sqref="A17:A22">
    <cfRule type="expression" dxfId="38" priority="2">
      <formula>OR(A17=$AE$10,A17=$AE$12,A17=$AE$13,A17=$AE$15,A17=$AE$17,A17=$AE$18,A17=$AE$19,A17=$AE$20)</formula>
    </cfRule>
  </conditionalFormatting>
  <conditionalFormatting sqref="A29:A35">
    <cfRule type="expression" dxfId="37" priority="1">
      <formula>OR(A29=$AE$10,A29=$AE$12,A29=$AE$13,A29=$AE$15,A29=$AE$17,A29=$AE$18,A29=$AE$19,A29=$AE$20)</formula>
    </cfRule>
  </conditionalFormatting>
  <conditionalFormatting sqref="A16:H22 A29:H35">
    <cfRule type="expression" dxfId="36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6BF1C764-DED5-4045-AF27-C908CC292AF9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E211-066E-47A3-9596-B18C3C7704FE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DATE(An_ref,1,-2)-WEEKDAY(DATE(An_ref,1,3))+329</f>
        <v>43787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MAX('Novembre 2e-3e semaine'!K16:K35)</f>
        <v>84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43787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85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43788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43789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86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43790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43791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43792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43793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43794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87</v>
      </c>
    </row>
    <row r="30" spans="1:33" x14ac:dyDescent="0.2">
      <c r="A30" s="84">
        <f>B10+8</f>
        <v>43795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43796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43797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43798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43799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43800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88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SUM('Novembre 2e-3e semaine'!F41:G42)+E41</f>
        <v>27.333333333333325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35" priority="58">
      <formula>ISBLANK($B$41)</formula>
    </cfRule>
  </conditionalFormatting>
  <conditionalFormatting sqref="F41">
    <cfRule type="expression" dxfId="34" priority="57">
      <formula>ISBLANK($F$41)</formula>
    </cfRule>
  </conditionalFormatting>
  <conditionalFormatting sqref="D41:D42">
    <cfRule type="cellIs" dxfId="33" priority="56" operator="lessThan">
      <formula>0</formula>
    </cfRule>
  </conditionalFormatting>
  <conditionalFormatting sqref="C41:C42">
    <cfRule type="cellIs" dxfId="32" priority="55" operator="lessThan">
      <formula>0</formula>
    </cfRule>
  </conditionalFormatting>
  <conditionalFormatting sqref="H26">
    <cfRule type="cellIs" dxfId="31" priority="7" operator="lessThan">
      <formula>0</formula>
    </cfRule>
  </conditionalFormatting>
  <conditionalFormatting sqref="H38">
    <cfRule type="cellIs" dxfId="30" priority="6" operator="lessThan">
      <formula>0</formula>
    </cfRule>
  </conditionalFormatting>
  <conditionalFormatting sqref="B15">
    <cfRule type="expression" dxfId="29" priority="5">
      <formula>ISBLANK($B$15)</formula>
    </cfRule>
  </conditionalFormatting>
  <conditionalFormatting sqref="B28">
    <cfRule type="expression" dxfId="28" priority="4">
      <formula>ISBLANK($B$28)</formula>
    </cfRule>
  </conditionalFormatting>
  <conditionalFormatting sqref="A16">
    <cfRule type="expression" dxfId="27" priority="3">
      <formula>OR(A16=$AE$10,A16=$AE$12,A16=$AE$13,A16=$AE$15,A16=$AE$17,A16=$AE$18,A16=$AE$19,A16=$AE$20)</formula>
    </cfRule>
  </conditionalFormatting>
  <conditionalFormatting sqref="A17:A22">
    <cfRule type="expression" dxfId="26" priority="2">
      <formula>OR(A17=$AE$10,A17=$AE$12,A17=$AE$13,A17=$AE$15,A17=$AE$17,A17=$AE$18,A17=$AE$19,A17=$AE$20)</formula>
    </cfRule>
  </conditionalFormatting>
  <conditionalFormatting sqref="A29:A35">
    <cfRule type="expression" dxfId="25" priority="1">
      <formula>OR(A29=$AE$10,A29=$AE$12,A29=$AE$13,A29=$AE$15,A29=$AE$17,A29=$AE$18,A29=$AE$19,A29=$AE$20)</formula>
    </cfRule>
  </conditionalFormatting>
  <conditionalFormatting sqref="A16:H22 A29:H35">
    <cfRule type="expression" dxfId="24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86638708-D85E-449E-83FE-FB70B7F90296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97C2-3468-4D95-A7B8-1AA859CD7614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DATE(An_ref,1,-2)-WEEKDAY(DATE(An_ref,1,3))+343</f>
        <v>43801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MAX('Nov. 4e-5e semaine-Début Déc.'!K16:K35)</f>
        <v>88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43801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89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43802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43803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90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43804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43805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43806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43807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43808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91</v>
      </c>
    </row>
    <row r="30" spans="1:33" x14ac:dyDescent="0.2">
      <c r="A30" s="84">
        <f>B10+8</f>
        <v>43809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43810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43811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43812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43813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43814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92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SUM('Nov. 4e-5e semaine-Début Déc.'!F41:G42)+E41</f>
        <v>28.666666666666657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23" priority="48">
      <formula>ISBLANK($B$41)</formula>
    </cfRule>
  </conditionalFormatting>
  <conditionalFormatting sqref="F41">
    <cfRule type="expression" dxfId="22" priority="47">
      <formula>ISBLANK($F$41)</formula>
    </cfRule>
  </conditionalFormatting>
  <conditionalFormatting sqref="D41:D42">
    <cfRule type="cellIs" dxfId="21" priority="46" operator="lessThan">
      <formula>0</formula>
    </cfRule>
  </conditionalFormatting>
  <conditionalFormatting sqref="C41:C42">
    <cfRule type="cellIs" dxfId="20" priority="45" operator="lessThan">
      <formula>0</formula>
    </cfRule>
  </conditionalFormatting>
  <conditionalFormatting sqref="H26">
    <cfRule type="cellIs" dxfId="19" priority="7" operator="lessThan">
      <formula>0</formula>
    </cfRule>
  </conditionalFormatting>
  <conditionalFormatting sqref="H38">
    <cfRule type="cellIs" dxfId="18" priority="6" operator="lessThan">
      <formula>0</formula>
    </cfRule>
  </conditionalFormatting>
  <conditionalFormatting sqref="B15">
    <cfRule type="expression" dxfId="17" priority="5">
      <formula>ISBLANK($B$15)</formula>
    </cfRule>
  </conditionalFormatting>
  <conditionalFormatting sqref="B28">
    <cfRule type="expression" dxfId="16" priority="4">
      <formula>ISBLANK($B$28)</formula>
    </cfRule>
  </conditionalFormatting>
  <conditionalFormatting sqref="A16">
    <cfRule type="expression" dxfId="15" priority="3">
      <formula>OR(A16=$AE$10,A16=$AE$12,A16=$AE$13,A16=$AE$15,A16=$AE$17,A16=$AE$18,A16=$AE$19,A16=$AE$20)</formula>
    </cfRule>
  </conditionalFormatting>
  <conditionalFormatting sqref="A17:A22">
    <cfRule type="expression" dxfId="14" priority="2">
      <formula>OR(A17=$AE$10,A17=$AE$12,A17=$AE$13,A17=$AE$15,A17=$AE$17,A17=$AE$18,A17=$AE$19,A17=$AE$20)</formula>
    </cfRule>
  </conditionalFormatting>
  <conditionalFormatting sqref="A29:A35">
    <cfRule type="expression" dxfId="13" priority="1">
      <formula>OR(A29=$AE$10,A29=$AE$12,A29=$AE$13,A29=$AE$15,A29=$AE$17,A29=$AE$18,A29=$AE$19,A29=$AE$20)</formula>
    </cfRule>
  </conditionalFormatting>
  <conditionalFormatting sqref="A16:H22 A29:H35">
    <cfRule type="expression" dxfId="12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71CD528B-CB3E-4111-A86F-1812C228F77F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957C-78F7-4758-9071-B5876644D631}">
  <dimension ref="A1:AG72"/>
  <sheetViews>
    <sheetView showGridLines="0" tabSelected="1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3.570312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DATE(An_ref,1,-2)-WEEKDAY(DATE(An_ref,1,3))+357</f>
        <v>43815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MAX('Décembre 1e-2e semaine'!K16:K35)</f>
        <v>92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43815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93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43816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43817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94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43818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43819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43820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43821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43822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95</v>
      </c>
    </row>
    <row r="30" spans="1:33" x14ac:dyDescent="0.2">
      <c r="A30" s="84">
        <f>B10+8</f>
        <v>43823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43824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0.33333333333333331</v>
      </c>
      <c r="I31" s="97"/>
      <c r="K31" s="142" t="str">
        <f>IF(I31&lt;&gt;"",1+MAX($K$14:K30),"")</f>
        <v/>
      </c>
    </row>
    <row r="32" spans="1:33" x14ac:dyDescent="0.2">
      <c r="A32" s="84">
        <f>B10+10</f>
        <v>43825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43826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43827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43828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96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1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1.6666666666666665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1.6666666666666665</v>
      </c>
      <c r="F41" s="135">
        <f>SUM('Décembre 1e-2e semaine'!F41:G42)+E41</f>
        <v>30.333333333333325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11" priority="58">
      <formula>ISBLANK($B$41)</formula>
    </cfRule>
  </conditionalFormatting>
  <conditionalFormatting sqref="F41">
    <cfRule type="expression" dxfId="10" priority="57">
      <formula>ISBLANK($F$41)</formula>
    </cfRule>
  </conditionalFormatting>
  <conditionalFormatting sqref="D41:D42">
    <cfRule type="cellIs" dxfId="9" priority="56" operator="lessThan">
      <formula>0</formula>
    </cfRule>
  </conditionalFormatting>
  <conditionalFormatting sqref="C41:C42">
    <cfRule type="cellIs" dxfId="8" priority="55" operator="lessThan">
      <formula>0</formula>
    </cfRule>
  </conditionalFormatting>
  <conditionalFormatting sqref="H26">
    <cfRule type="cellIs" dxfId="7" priority="7" operator="lessThan">
      <formula>0</formula>
    </cfRule>
  </conditionalFormatting>
  <conditionalFormatting sqref="H38">
    <cfRule type="cellIs" dxfId="6" priority="6" operator="lessThan">
      <formula>0</formula>
    </cfRule>
  </conditionalFormatting>
  <conditionalFormatting sqref="B15">
    <cfRule type="expression" dxfId="5" priority="5">
      <formula>ISBLANK($B$15)</formula>
    </cfRule>
  </conditionalFormatting>
  <conditionalFormatting sqref="B28">
    <cfRule type="expression" dxfId="4" priority="4">
      <formula>ISBLANK($B$28)</formula>
    </cfRule>
  </conditionalFormatting>
  <conditionalFormatting sqref="A16">
    <cfRule type="expression" dxfId="3" priority="3">
      <formula>OR(A16=$AE$10,A16=$AE$12,A16=$AE$13,A16=$AE$15,A16=$AE$17,A16=$AE$18,A16=$AE$19,A16=$AE$20)</formula>
    </cfRule>
  </conditionalFormatting>
  <conditionalFormatting sqref="A17:A22">
    <cfRule type="expression" dxfId="2" priority="2">
      <formula>OR(A17=$AE$10,A17=$AE$12,A17=$AE$13,A17=$AE$15,A17=$AE$17,A17=$AE$18,A17=$AE$19,A17=$AE$20)</formula>
    </cfRule>
  </conditionalFormatting>
  <conditionalFormatting sqref="A29:A35">
    <cfRule type="expression" dxfId="1" priority="1">
      <formula>OR(A29=$AE$10,A29=$AE$12,A29=$AE$13,A29=$AE$15,A29=$AE$17,A29=$AE$18,A29=$AE$19,A29=$AE$20)</formula>
    </cfRule>
  </conditionalFormatting>
  <conditionalFormatting sqref="A16:H22 A29:H35">
    <cfRule type="expression" dxfId="0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249C0B41-3F69-44B0-BE38-95EA6AAAAEEF}">
      <formula1>"CONGÉ,MALADIE"</formula1>
    </dataValidation>
  </dataValidations>
  <printOptions horizontalCentered="1"/>
  <pageMargins left="0" right="0" top="0.39370078740157483" bottom="0.15748031496062992" header="0" footer="0"/>
  <pageSetup paperSize="9" scale="55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L61"/>
  <sheetViews>
    <sheetView showGridLines="0" zoomScaleNormal="100" workbookViewId="0">
      <pane ySplit="12" topLeftCell="A17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43" style="23" customWidth="1"/>
    <col min="2" max="2" width="14.85546875" style="24" bestFit="1" customWidth="1"/>
    <col min="3" max="3" width="20.140625" style="24" customWidth="1"/>
    <col min="4" max="4" width="24.42578125" style="24" bestFit="1" customWidth="1"/>
    <col min="5" max="5" width="22.7109375" style="24" bestFit="1" customWidth="1"/>
    <col min="6" max="16384" width="11.42578125" style="24"/>
  </cols>
  <sheetData>
    <row r="1" spans="1:12" x14ac:dyDescent="0.2">
      <c r="D1" s="25"/>
    </row>
    <row r="2" spans="1:12" x14ac:dyDescent="0.2">
      <c r="B2" s="123" t="s">
        <v>55</v>
      </c>
      <c r="C2" s="123"/>
      <c r="D2" s="123"/>
      <c r="E2" s="123"/>
    </row>
    <row r="3" spans="1:12" x14ac:dyDescent="0.2">
      <c r="B3" s="123"/>
      <c r="C3" s="123"/>
      <c r="D3" s="123"/>
      <c r="E3" s="123"/>
    </row>
    <row r="4" spans="1:12" x14ac:dyDescent="0.2">
      <c r="B4" s="123"/>
      <c r="C4" s="123"/>
      <c r="D4" s="123"/>
      <c r="E4" s="123"/>
    </row>
    <row r="5" spans="1:12" x14ac:dyDescent="0.2">
      <c r="B5" s="123"/>
      <c r="C5" s="123"/>
      <c r="D5" s="123"/>
      <c r="E5" s="123"/>
    </row>
    <row r="7" spans="1:12" ht="30" customHeight="1" x14ac:dyDescent="0.2">
      <c r="A7" s="26"/>
      <c r="B7" s="27"/>
    </row>
    <row r="8" spans="1:12" ht="18" x14ac:dyDescent="0.2">
      <c r="A8" s="28" t="s">
        <v>1</v>
      </c>
      <c r="B8" s="124"/>
      <c r="C8" s="124"/>
      <c r="D8" s="29"/>
      <c r="E8" s="30"/>
      <c r="L8" s="24" t="b">
        <f>NOT(ISBLANK(G2))</f>
        <v>0</v>
      </c>
    </row>
    <row r="9" spans="1:12" ht="24" customHeight="1" x14ac:dyDescent="0.2">
      <c r="A9" s="28"/>
      <c r="B9" s="28"/>
      <c r="C9" s="28"/>
      <c r="D9" s="28"/>
      <c r="E9" s="28"/>
    </row>
    <row r="10" spans="1:12" ht="49.5" x14ac:dyDescent="0.2">
      <c r="A10" s="36" t="s">
        <v>56</v>
      </c>
      <c r="B10" s="32">
        <v>20</v>
      </c>
      <c r="C10" s="28"/>
      <c r="D10" s="31" t="s">
        <v>15</v>
      </c>
      <c r="E10" s="32">
        <f ca="1">B10-SUMIF(A21:A61,"CONGÉ",D21:E61)</f>
        <v>20</v>
      </c>
    </row>
    <row r="11" spans="1:12" ht="18" x14ac:dyDescent="0.2">
      <c r="A11" s="37"/>
      <c r="B11" s="28"/>
      <c r="C11" s="28"/>
      <c r="D11" s="33"/>
      <c r="E11" s="28"/>
    </row>
    <row r="12" spans="1:12" ht="49.5" x14ac:dyDescent="0.2">
      <c r="A12" s="36" t="s">
        <v>57</v>
      </c>
      <c r="B12" s="32">
        <v>20</v>
      </c>
      <c r="C12" s="28"/>
      <c r="D12" s="31" t="s">
        <v>8</v>
      </c>
      <c r="E12" s="32">
        <f ca="1">B12-SUMIF(A21:A61,"MALADIE",D21:E61)</f>
        <v>18</v>
      </c>
    </row>
    <row r="13" spans="1:12" ht="18" x14ac:dyDescent="0.2">
      <c r="A13" s="36"/>
      <c r="B13" s="28"/>
      <c r="C13" s="28"/>
      <c r="D13" s="31"/>
      <c r="E13" s="31"/>
    </row>
    <row r="14" spans="1:12" ht="49.5" x14ac:dyDescent="0.2">
      <c r="B14" s="36"/>
      <c r="C14" s="36"/>
      <c r="D14" s="31" t="s">
        <v>58</v>
      </c>
      <c r="E14" s="83">
        <v>0.33333333333333331</v>
      </c>
    </row>
    <row r="15" spans="1:12" ht="16.5" x14ac:dyDescent="0.2">
      <c r="B15" s="36"/>
      <c r="C15" s="36"/>
      <c r="D15" s="31"/>
      <c r="E15" s="31"/>
    </row>
    <row r="16" spans="1:12" ht="49.5" x14ac:dyDescent="0.2">
      <c r="B16" s="36"/>
      <c r="C16" s="36"/>
      <c r="D16" s="31" t="s">
        <v>61</v>
      </c>
      <c r="E16" s="83">
        <v>0.33333333333333331</v>
      </c>
    </row>
    <row r="17" spans="1:5" ht="16.5" x14ac:dyDescent="0.2">
      <c r="B17" s="36"/>
      <c r="C17" s="36"/>
      <c r="D17" s="31"/>
      <c r="E17" s="31"/>
    </row>
    <row r="18" spans="1:5" ht="49.5" x14ac:dyDescent="0.2">
      <c r="B18" s="36"/>
      <c r="C18" s="36"/>
      <c r="D18" s="31" t="s">
        <v>62</v>
      </c>
      <c r="E18" s="83">
        <v>0.33333333333333331</v>
      </c>
    </row>
    <row r="19" spans="1:5" ht="36" customHeight="1" x14ac:dyDescent="0.2"/>
    <row r="20" spans="1:5" ht="36" customHeight="1" x14ac:dyDescent="0.2">
      <c r="A20" s="8" t="s">
        <v>7</v>
      </c>
      <c r="B20" s="19" t="s">
        <v>10</v>
      </c>
      <c r="C20" s="19" t="s">
        <v>9</v>
      </c>
      <c r="D20" s="121" t="s">
        <v>12</v>
      </c>
      <c r="E20" s="121"/>
    </row>
    <row r="21" spans="1:5" ht="19.899999999999999" customHeight="1" x14ac:dyDescent="0.2">
      <c r="A21" s="153" t="str">
        <f ca="1">IFERROR(INDEX(INDEX('Janvier - 2prem. semaines'!I15:J15,MATCH("X",OFFSET(Tableau14567893640[[#Headers],[CONGÉ]],MATCH(ROW('Janvier - 2prem. semaines'!A1),'Janvier - 2prem. semaines'!L:L,0)-1,,,2))),""),"")</f>
        <v/>
      </c>
      <c r="B21" s="35">
        <f ca="1">OFFSET('Janvier - 2prem. semaines'!A1,MATCH(ROW('Janvier - 2prem. semaines'!A1),'Janvier - 2prem. semaines'!L:L,0)-1,)</f>
        <v>43465</v>
      </c>
      <c r="C21" s="35">
        <f ca="1">B21+1</f>
        <v>43466</v>
      </c>
      <c r="D21" s="122">
        <f t="shared" ref="D21" ca="1" si="0">IF(B21="","",DATEDIF(B21,C21,"D"))</f>
        <v>1</v>
      </c>
      <c r="E21" s="122"/>
    </row>
    <row r="22" spans="1:5" ht="19.899999999999999" customHeight="1" x14ac:dyDescent="0.2">
      <c r="A22" s="34" t="str">
        <f>IFERROR(INDEX('Janvier - 2prem. semaines'!J:J,MATCH(ROWS('Janvier - 2prem. semaines'!$1:2),'Janvier - 2prem. semaines'!$L:$L,0)),IFERROR(INDEX('Janvier - 2dern. semaines'!I:I,MATCH(ROWS('Janvier - 2dern. semaines'!$1:2),'Fin Jan.-Février - 2prem. sem.'!$K:$K,0)),IFERROR(INDEX('Fin Jan.-Février - 2prem. sem.'!I:I,MATCH(ROWS('Fin Jan.-Février - 2prem. sem.'!$1:2),'Janvier - 2dern. semaines'!$K:$K,0)),"")))</f>
        <v>X</v>
      </c>
      <c r="B22" s="35">
        <f>IFERROR(INDEX('Janvier - 2prem. semaines'!A:A,MATCH(ROWS('Janvier - 2prem. semaines'!$1:2),'Janvier - 2prem. semaines'!$L:$L,0)),IFERROR(INDEX('Janvier - 2dern. semaines'!A:A,MATCH(ROWS('Janvier - 2dern. semaines'!$1:2),'Janvier - 2dern. semaines'!$K:$K,0)),IFERROR(INDEX('Fin Jan.-Février - 2prem. sem.'!A:A,MATCH(ROWS('Fin Jan.-Février - 2prem. sem.'!$1:2),'Fin Jan.-Février - 2prem. sem.'!$K:$K,0)),"")))</f>
        <v>43468</v>
      </c>
      <c r="C22" s="35">
        <f t="shared" ref="C22:C61" si="1">IF(B22="","",B22+1)</f>
        <v>43469</v>
      </c>
      <c r="D22" s="122">
        <f t="shared" ref="D22:D24" si="2">IF(B22="","",DATEDIF(B22,C22,"D"))</f>
        <v>1</v>
      </c>
      <c r="E22" s="122"/>
    </row>
    <row r="23" spans="1:5" ht="19.899999999999999" customHeight="1" x14ac:dyDescent="0.2">
      <c r="A23" s="34" t="str">
        <f>IFERROR(INDEX('Janvier - 2prem. semaines'!J:J,MATCH(ROWS('Janvier - 2prem. semaines'!$1:3),'Janvier - 2prem. semaines'!$L:$L,0)),IFERROR(INDEX('Janvier - 2dern. semaines'!I:I,MATCH(ROWS('Janvier - 2dern. semaines'!$1:3),'Fin Jan.-Février - 2prem. sem.'!$K:$K,0)),IFERROR(INDEX('Fin Jan.-Février - 2prem. sem.'!I:I,MATCH(ROWS('Fin Jan.-Février - 2prem. sem.'!$1:3),'Janvier - 2dern. semaines'!$K:$K,0)),"")))</f>
        <v>X</v>
      </c>
      <c r="B23" s="35">
        <f>IFERROR(INDEX('Janvier - 2prem. semaines'!A:A,MATCH(ROWS('Janvier - 2prem. semaines'!$1:3),'Janvier - 2prem. semaines'!$L:$L,0)),IFERROR(INDEX('Janvier - 2dern. semaines'!A:A,MATCH(ROWS('Janvier - 2dern. semaines'!$1:3),'Janvier - 2dern. semaines'!$K:$K,0)),IFERROR(INDEX('Fin Jan.-Février - 2prem. sem.'!A:A,MATCH(ROWS('Fin Jan.-Février - 2prem. sem.'!$1:3),'Fin Jan.-Février - 2prem. sem.'!$K:$K,0)),"")))</f>
        <v>43476</v>
      </c>
      <c r="C23" s="35">
        <f t="shared" si="1"/>
        <v>43477</v>
      </c>
      <c r="D23" s="122">
        <f t="shared" si="2"/>
        <v>1</v>
      </c>
      <c r="E23" s="122"/>
    </row>
    <row r="24" spans="1:5" ht="19.899999999999999" customHeight="1" x14ac:dyDescent="0.2">
      <c r="A24" s="34" t="str">
        <f>IFERROR(INDEX('Janvier - 2prem. semaines'!J:J,MATCH(ROWS('Janvier - 2prem. semaines'!$1:4),'Janvier - 2prem. semaines'!$L:$L,0)),IFERROR(INDEX('Janvier - 2dern. semaines'!I:I,MATCH(ROWS('Janvier - 2dern. semaines'!$1:4),'Fin Jan.-Février - 2prem. sem.'!$K:$K,0)),IFERROR(INDEX('Fin Jan.-Février - 2prem. sem.'!I:I,MATCH(ROWS('Fin Jan.-Février - 2prem. sem.'!$1:4),'Janvier - 2dern. semaines'!$K:$K,0)),"")))</f>
        <v>MALADIE</v>
      </c>
      <c r="B24" s="35">
        <f>IFERROR(INDEX('Janvier - 2prem. semaines'!A:A,MATCH(ROWS('Janvier - 2prem. semaines'!$1:4),'Janvier - 2prem. semaines'!$L:$L,0)),IFERROR(INDEX('Janvier - 2dern. semaines'!A:A,MATCH(ROWS('Janvier - 2dern. semaines'!$1:4),'Janvier - 2dern. semaines'!$K:$K,0)),IFERROR(INDEX('Fin Jan.-Février - 2prem. sem.'!A:A,MATCH(ROWS('Fin Jan.-Février - 2prem. sem.'!$1:4),'Fin Jan.-Février - 2prem. sem.'!$K:$K,0)),"")))</f>
        <v>43492</v>
      </c>
      <c r="C24" s="35">
        <f t="shared" si="1"/>
        <v>43493</v>
      </c>
      <c r="D24" s="122">
        <f t="shared" si="2"/>
        <v>1</v>
      </c>
      <c r="E24" s="122"/>
    </row>
    <row r="25" spans="1:5" ht="19.899999999999999" customHeight="1" x14ac:dyDescent="0.2">
      <c r="A25" s="34">
        <f>IFERROR(INDEX('Janvier - 2prem. semaines'!J:J,MATCH(ROWS('Janvier - 2prem. semaines'!$1:5),'Janvier - 2prem. semaines'!$L:$L,0)),IFERROR(INDEX('Janvier - 2dern. semaines'!I:I,MATCH(ROWS('Janvier - 2dern. semaines'!$1:5),'Fin Jan.-Février - 2prem. sem.'!$K:$K,0)),IFERROR(INDEX('Fin Jan.-Février - 2prem. sem.'!I:I,MATCH(ROWS('Fin Jan.-Février - 2prem. sem.'!$1:5),'Janvier - 2dern. semaines'!$K:$K,0)),"")))</f>
        <v>0</v>
      </c>
      <c r="B25" s="35">
        <f>IFERROR(INDEX('Janvier - 2prem. semaines'!A:A,MATCH(ROWS('Janvier - 2prem. semaines'!$1:5),'Janvier - 2prem. semaines'!$L:$L,0)),IFERROR(INDEX('Janvier - 2dern. semaines'!A:A,MATCH(ROWS('Janvier - 2dern. semaines'!$1:5),'Janvier - 2dern. semaines'!$K:$K,0)),IFERROR(INDEX('Fin Jan.-Février - 2prem. sem.'!A:A,MATCH(ROWS('Fin Jan.-Février - 2prem. sem.'!$1:5),'Fin Jan.-Février - 2prem. sem.'!$K:$K,0)),"")))</f>
        <v>43493</v>
      </c>
      <c r="C25" s="35">
        <f t="shared" si="1"/>
        <v>43494</v>
      </c>
      <c r="D25" s="122">
        <f t="shared" ref="D25:D28" si="3">IF(B25="","",DATEDIF(B25,C25,"D"))</f>
        <v>1</v>
      </c>
      <c r="E25" s="122"/>
    </row>
    <row r="26" spans="1:5" ht="19.899999999999999" customHeight="1" x14ac:dyDescent="0.2">
      <c r="A26" s="34">
        <f>IFERROR(INDEX('Janvier - 2prem. semaines'!J:J,MATCH(ROWS('Janvier - 2prem. semaines'!$1:6),'Janvier - 2prem. semaines'!$L:$L,0)),IFERROR(INDEX('Janvier - 2dern. semaines'!I:I,MATCH(ROWS('Janvier - 2dern. semaines'!$1:6),'Fin Jan.-Février - 2prem. sem.'!$K:$K,0)),IFERROR(INDEX('Fin Jan.-Février - 2prem. sem.'!I:I,MATCH(ROWS('Fin Jan.-Février - 2prem. sem.'!$1:6),'Janvier - 2dern. semaines'!$K:$K,0)),"")))</f>
        <v>0</v>
      </c>
      <c r="B26" s="35">
        <f>IFERROR(INDEX('Janvier - 2prem. semaines'!A:A,MATCH(ROWS('Janvier - 2prem. semaines'!$1:6),'Janvier - 2prem. semaines'!$L:$L,0)),IFERROR(INDEX('Janvier - 2dern. semaines'!A:A,MATCH(ROWS('Janvier - 2dern. semaines'!$1:6),'Janvier - 2dern. semaines'!$K:$K,0)),IFERROR(INDEX('Fin Jan.-Février - 2prem. sem.'!A:A,MATCH(ROWS('Fin Jan.-Février - 2prem. sem.'!$1:6),'Fin Jan.-Février - 2prem. sem.'!$K:$K,0)),"")))</f>
        <v>43495</v>
      </c>
      <c r="C26" s="35">
        <f t="shared" si="1"/>
        <v>43496</v>
      </c>
      <c r="D26" s="122">
        <f t="shared" si="3"/>
        <v>1</v>
      </c>
      <c r="E26" s="122"/>
    </row>
    <row r="27" spans="1:5" ht="19.899999999999999" customHeight="1" x14ac:dyDescent="0.2">
      <c r="A27" s="34">
        <f>IFERROR(INDEX('Janvier - 2prem. semaines'!J:J,MATCH(ROWS('Janvier - 2prem. semaines'!$1:7),'Janvier - 2prem. semaines'!$L:$L,0)),IFERROR(INDEX('Janvier - 2dern. semaines'!I:I,MATCH(ROWS('Janvier - 2dern. semaines'!$1:7),'Fin Jan.-Février - 2prem. sem.'!$K:$K,0)),IFERROR(INDEX('Fin Jan.-Février - 2prem. sem.'!I:I,MATCH(ROWS('Fin Jan.-Février - 2prem. sem.'!$1:7),'Janvier - 2dern. semaines'!$K:$K,0)),"")))</f>
        <v>0</v>
      </c>
      <c r="B27" s="35">
        <f>IFERROR(INDEX('Janvier - 2prem. semaines'!A:A,MATCH(ROWS('Janvier - 2prem. semaines'!$1:7),'Janvier - 2prem. semaines'!$L:$L,0)),IFERROR(INDEX('Janvier - 2dern. semaines'!A:A,MATCH(ROWS('Janvier - 2dern. semaines'!$1:7),'Janvier - 2dern. semaines'!$K:$K,0)),IFERROR(INDEX('Fin Jan.-Février - 2prem. sem.'!A:A,MATCH(ROWS('Fin Jan.-Février - 2prem. sem.'!$1:7),'Fin Jan.-Février - 2prem. sem.'!$K:$K,0)),"")))</f>
        <v>43500</v>
      </c>
      <c r="C27" s="35">
        <f t="shared" si="1"/>
        <v>43501</v>
      </c>
      <c r="D27" s="122">
        <f t="shared" si="3"/>
        <v>1</v>
      </c>
      <c r="E27" s="122"/>
    </row>
    <row r="28" spans="1:5" ht="19.899999999999999" customHeight="1" x14ac:dyDescent="0.2">
      <c r="A28" s="34" t="str">
        <f>IFERROR(INDEX('Janvier - 2prem. semaines'!J:J,MATCH(ROWS('Janvier - 2prem. semaines'!$1:8),'Janvier - 2prem. semaines'!$L:$L,0)),IFERROR(INDEX('Janvier - 2dern. semaines'!I:I,MATCH(ROWS('Janvier - 2dern. semaines'!$1:8),'Fin Jan.-Février - 2prem. sem.'!$K:$K,0)),IFERROR(INDEX('Fin Jan.-Février - 2prem. sem.'!I:I,MATCH(ROWS('Fin Jan.-Février - 2prem. sem.'!$1:8),'Janvier - 2dern. semaines'!$K:$K,0)),"")))</f>
        <v>MALADIE</v>
      </c>
      <c r="B28" s="35">
        <f>IFERROR(INDEX('Janvier - 2prem. semaines'!A:A,MATCH(ROWS('Janvier - 2prem. semaines'!$1:8),'Janvier - 2prem. semaines'!$L:$L,0)),IFERROR(INDEX('Janvier - 2dern. semaines'!A:A,MATCH(ROWS('Janvier - 2dern. semaines'!$1:8),'Janvier - 2dern. semaines'!$K:$K,0)),IFERROR(INDEX('Fin Jan.-Février - 2prem. sem.'!A:A,MATCH(ROWS('Fin Jan.-Février - 2prem. sem.'!$1:8),'Fin Jan.-Février - 2prem. sem.'!$K:$K,0)),"")))</f>
        <v>43506</v>
      </c>
      <c r="C28" s="35">
        <f t="shared" si="1"/>
        <v>43507</v>
      </c>
      <c r="D28" s="122">
        <f t="shared" si="3"/>
        <v>1</v>
      </c>
      <c r="E28" s="122"/>
    </row>
    <row r="29" spans="1:5" ht="19.899999999999999" customHeight="1" x14ac:dyDescent="0.2">
      <c r="A29" s="34" t="str">
        <f>IFERROR(INDEX('Janvier - 2prem. semaines'!J:J,MATCH(ROWS('Janvier - 2prem. semaines'!$1:9),'Janvier - 2prem. semaines'!$L:$L,0)),IFERROR(INDEX('Janvier - 2dern. semaines'!I:I,MATCH(ROWS('Janvier - 2dern. semaines'!$1:9),'Fin Jan.-Février - 2prem. sem.'!$K:$K,0)),IFERROR(INDEX('Fin Jan.-Février - 2prem. sem.'!I:I,MATCH(ROWS('Fin Jan.-Février - 2prem. sem.'!$1:9),'Janvier - 2dern. semaines'!$K:$K,0)),"")))</f>
        <v/>
      </c>
      <c r="B29" s="35" t="str">
        <f>IFERROR(INDEX('Janvier - 2prem. semaines'!A:A,MATCH(ROWS('Janvier - 2prem. semaines'!$1:9),'Janvier - 2prem. semaines'!$L:$L,0)),IFERROR(INDEX('Janvier - 2dern. semaines'!A:A,MATCH(ROWS('Janvier - 2dern. semaines'!$1:9),'Janvier - 2dern. semaines'!$K:$K,0)),IFERROR(INDEX('Fin Jan.-Février - 2prem. sem.'!A:A,MATCH(ROWS('Fin Jan.-Février - 2prem. sem.'!$1:9),'Fin Jan.-Février - 2prem. sem.'!$K:$K,0)),"")))</f>
        <v/>
      </c>
      <c r="C29" s="35" t="str">
        <f t="shared" si="1"/>
        <v/>
      </c>
      <c r="D29" s="122" t="str">
        <f t="shared" ref="D29:D61" si="4">IF(B29="","",DATEDIF(B29,C29,"D"))</f>
        <v/>
      </c>
      <c r="E29" s="122"/>
    </row>
    <row r="30" spans="1:5" ht="19.899999999999999" customHeight="1" x14ac:dyDescent="0.2">
      <c r="A30" s="34" t="str">
        <f>IFERROR(INDEX('Janvier - 2prem. semaines'!J:J,MATCH(ROWS('Janvier - 2prem. semaines'!$1:10),'Janvier - 2prem. semaines'!$L:$L,0)),IFERROR(INDEX('Janvier - 2dern. semaines'!I:I,MATCH(ROWS('Janvier - 2dern. semaines'!$1:10),'Fin Jan.-Février - 2prem. sem.'!$K:$K,0)),IFERROR(INDEX('Fin Jan.-Février - 2prem. sem.'!I:I,MATCH(ROWS('Fin Jan.-Février - 2prem. sem.'!$1:10),'Janvier - 2dern. semaines'!$K:$K,0)),"")))</f>
        <v/>
      </c>
      <c r="B30" s="35" t="str">
        <f>IFERROR(INDEX('Janvier - 2prem. semaines'!A:A,MATCH(ROWS('Janvier - 2prem. semaines'!$1:10),'Janvier - 2prem. semaines'!$L:$L,0)),IFERROR(INDEX('Janvier - 2dern. semaines'!A:A,MATCH(ROWS('Janvier - 2dern. semaines'!$1:10),'Janvier - 2dern. semaines'!$K:$K,0)),IFERROR(INDEX('Fin Jan.-Février - 2prem. sem.'!A:A,MATCH(ROWS('Fin Jan.-Février - 2prem. sem.'!$1:10),'Fin Jan.-Février - 2prem. sem.'!$K:$K,0)),"")))</f>
        <v/>
      </c>
      <c r="C30" s="35" t="str">
        <f t="shared" si="1"/>
        <v/>
      </c>
      <c r="D30" s="122" t="str">
        <f t="shared" si="4"/>
        <v/>
      </c>
      <c r="E30" s="122"/>
    </row>
    <row r="31" spans="1:5" ht="19.899999999999999" customHeight="1" x14ac:dyDescent="0.2">
      <c r="A31" s="34" t="str">
        <f>IFERROR(INDEX('Janvier - 2prem. semaines'!J:J,MATCH(ROWS('Janvier - 2prem. semaines'!$1:11),'Janvier - 2prem. semaines'!$L:$L,0)),IFERROR(INDEX('Janvier - 2dern. semaines'!I:I,MATCH(ROWS('Janvier - 2dern. semaines'!$1:11),'Fin Jan.-Février - 2prem. sem.'!$K:$K,0)),IFERROR(INDEX('Fin Jan.-Février - 2prem. sem.'!I:I,MATCH(ROWS('Fin Jan.-Février - 2prem. sem.'!$1:11),'Janvier - 2dern. semaines'!$K:$K,0)),"")))</f>
        <v/>
      </c>
      <c r="B31" s="35" t="str">
        <f>IFERROR(INDEX('Janvier - 2prem. semaines'!A:A,MATCH(ROWS('Janvier - 2prem. semaines'!$1:11),'Janvier - 2prem. semaines'!$L:$L,0)),IFERROR(INDEX('Janvier - 2dern. semaines'!A:A,MATCH(ROWS('Janvier - 2dern. semaines'!$1:11),'Janvier - 2dern. semaines'!$K:$K,0)),IFERROR(INDEX('Fin Jan.-Février - 2prem. sem.'!A:A,MATCH(ROWS('Fin Jan.-Février - 2prem. sem.'!$1:11),'Fin Jan.-Février - 2prem. sem.'!$K:$K,0)),"")))</f>
        <v/>
      </c>
      <c r="C31" s="35" t="str">
        <f t="shared" si="1"/>
        <v/>
      </c>
      <c r="D31" s="122" t="str">
        <f t="shared" si="4"/>
        <v/>
      </c>
      <c r="E31" s="122"/>
    </row>
    <row r="32" spans="1:5" ht="19.899999999999999" customHeight="1" x14ac:dyDescent="0.2">
      <c r="A32" s="34" t="str">
        <f>IFERROR(INDEX('Janvier - 2prem. semaines'!J:J,MATCH(ROWS('Janvier - 2prem. semaines'!$1:12),'Janvier - 2prem. semaines'!$L:$L,0)),IFERROR(INDEX('Janvier - 2dern. semaines'!I:I,MATCH(ROWS('Janvier - 2dern. semaines'!$1:12),'Fin Jan.-Février - 2prem. sem.'!$K:$K,0)),IFERROR(INDEX('Fin Jan.-Février - 2prem. sem.'!I:I,MATCH(ROWS('Fin Jan.-Février - 2prem. sem.'!$1:12),'Janvier - 2dern. semaines'!$K:$K,0)),"")))</f>
        <v/>
      </c>
      <c r="B32" s="35" t="str">
        <f>IFERROR(INDEX('Janvier - 2prem. semaines'!A:A,MATCH(ROWS('Janvier - 2prem. semaines'!$1:12),'Janvier - 2prem. semaines'!$L:$L,0)),IFERROR(INDEX('Janvier - 2dern. semaines'!A:A,MATCH(ROWS('Janvier - 2dern. semaines'!$1:12),'Janvier - 2dern. semaines'!$K:$K,0)),IFERROR(INDEX('Fin Jan.-Février - 2prem. sem.'!A:A,MATCH(ROWS('Fin Jan.-Février - 2prem. sem.'!$1:12),'Fin Jan.-Février - 2prem. sem.'!$K:$K,0)),"")))</f>
        <v/>
      </c>
      <c r="C32" s="35" t="str">
        <f t="shared" si="1"/>
        <v/>
      </c>
      <c r="D32" s="122" t="str">
        <f t="shared" si="4"/>
        <v/>
      </c>
      <c r="E32" s="122"/>
    </row>
    <row r="33" spans="1:5" ht="19.899999999999999" customHeight="1" x14ac:dyDescent="0.2">
      <c r="A33" s="34" t="str">
        <f>IFERROR(INDEX('Janvier - 2prem. semaines'!J:J,MATCH(ROWS('Janvier - 2prem. semaines'!$1:13),'Janvier - 2prem. semaines'!$L:$L,0)),IFERROR(INDEX('Janvier - 2dern. semaines'!I:I,MATCH(ROWS('Janvier - 2dern. semaines'!$1:13),'Fin Jan.-Février - 2prem. sem.'!$K:$K,0)),IFERROR(INDEX('Fin Jan.-Février - 2prem. sem.'!I:I,MATCH(ROWS('Fin Jan.-Février - 2prem. sem.'!$1:13),'Janvier - 2dern. semaines'!$K:$K,0)),"")))</f>
        <v/>
      </c>
      <c r="B33" s="35" t="str">
        <f>IFERROR(INDEX('Janvier - 2prem. semaines'!A:A,MATCH(ROWS('Janvier - 2prem. semaines'!$1:13),'Janvier - 2prem. semaines'!$L:$L,0)),IFERROR(INDEX('Janvier - 2dern. semaines'!A:A,MATCH(ROWS('Janvier - 2dern. semaines'!$1:13),'Janvier - 2dern. semaines'!$K:$K,0)),IFERROR(INDEX('Fin Jan.-Février - 2prem. sem.'!A:A,MATCH(ROWS('Fin Jan.-Février - 2prem. sem.'!$1:13),'Fin Jan.-Février - 2prem. sem.'!$K:$K,0)),"")))</f>
        <v/>
      </c>
      <c r="C33" s="35" t="str">
        <f t="shared" si="1"/>
        <v/>
      </c>
      <c r="D33" s="122" t="str">
        <f t="shared" si="4"/>
        <v/>
      </c>
      <c r="E33" s="122"/>
    </row>
    <row r="34" spans="1:5" ht="19.899999999999999" customHeight="1" x14ac:dyDescent="0.2">
      <c r="A34" s="34" t="str">
        <f>IFERROR(INDEX('Janvier - 2prem. semaines'!J:J,MATCH(ROWS('Janvier - 2prem. semaines'!$1:14),'Janvier - 2prem. semaines'!$L:$L,0)),IFERROR(INDEX('Janvier - 2dern. semaines'!I:I,MATCH(ROWS('Janvier - 2dern. semaines'!$1:14),'Fin Jan.-Février - 2prem. sem.'!$K:$K,0)),IFERROR(INDEX('Fin Jan.-Février - 2prem. sem.'!I:I,MATCH(ROWS('Fin Jan.-Février - 2prem. sem.'!$1:14),'Janvier - 2dern. semaines'!$K:$K,0)),"")))</f>
        <v/>
      </c>
      <c r="B34" s="35" t="str">
        <f>IFERROR(INDEX('Janvier - 2prem. semaines'!A:A,MATCH(ROWS('Janvier - 2prem. semaines'!$1:14),'Janvier - 2prem. semaines'!$L:$L,0)),IFERROR(INDEX('Janvier - 2dern. semaines'!A:A,MATCH(ROWS('Janvier - 2dern. semaines'!$1:14),'Janvier - 2dern. semaines'!$K:$K,0)),IFERROR(INDEX('Fin Jan.-Février - 2prem. sem.'!A:A,MATCH(ROWS('Fin Jan.-Février - 2prem. sem.'!$1:14),'Fin Jan.-Février - 2prem. sem.'!$K:$K,0)),"")))</f>
        <v/>
      </c>
      <c r="C34" s="35" t="str">
        <f t="shared" si="1"/>
        <v/>
      </c>
      <c r="D34" s="122" t="str">
        <f t="shared" si="4"/>
        <v/>
      </c>
      <c r="E34" s="122"/>
    </row>
    <row r="35" spans="1:5" ht="19.899999999999999" customHeight="1" x14ac:dyDescent="0.2">
      <c r="A35" s="34" t="str">
        <f>IFERROR(INDEX('Janvier - 2prem. semaines'!J:J,MATCH(ROWS('Janvier - 2prem. semaines'!$1:15),'Janvier - 2prem. semaines'!$L:$L,0)),IFERROR(INDEX('Janvier - 2dern. semaines'!I:I,MATCH(ROWS('Janvier - 2dern. semaines'!$1:15),'Fin Jan.-Février - 2prem. sem.'!$K:$K,0)),IFERROR(INDEX('Fin Jan.-Février - 2prem. sem.'!I:I,MATCH(ROWS('Fin Jan.-Février - 2prem. sem.'!$1:15),'Janvier - 2dern. semaines'!$K:$K,0)),"")))</f>
        <v/>
      </c>
      <c r="B35" s="35" t="str">
        <f>IFERROR(INDEX('Janvier - 2prem. semaines'!A:A,MATCH(ROWS('Janvier - 2prem. semaines'!$1:15),'Janvier - 2prem. semaines'!$L:$L,0)),IFERROR(INDEX('Janvier - 2dern. semaines'!A:A,MATCH(ROWS('Janvier - 2dern. semaines'!$1:15),'Janvier - 2dern. semaines'!$K:$K,0)),IFERROR(INDEX('Fin Jan.-Février - 2prem. sem.'!A:A,MATCH(ROWS('Fin Jan.-Février - 2prem. sem.'!$1:15),'Fin Jan.-Février - 2prem. sem.'!$K:$K,0)),"")))</f>
        <v/>
      </c>
      <c r="C35" s="35" t="str">
        <f t="shared" si="1"/>
        <v/>
      </c>
      <c r="D35" s="122" t="str">
        <f t="shared" si="4"/>
        <v/>
      </c>
      <c r="E35" s="122"/>
    </row>
    <row r="36" spans="1:5" ht="19.899999999999999" customHeight="1" x14ac:dyDescent="0.2">
      <c r="A36" s="34" t="str">
        <f>IFERROR(INDEX('Janvier - 2prem. semaines'!J:J,MATCH(ROWS('Janvier - 2prem. semaines'!$1:16),'Janvier - 2prem. semaines'!$L:$L,0)),"")</f>
        <v/>
      </c>
      <c r="B36" s="35" t="str">
        <f>IFERROR(INDEX('Janvier - 2prem. semaines'!A:A,MATCH(ROWS('Janvier - 2prem. semaines'!$1:16),'Janvier - 2prem. semaines'!$L:$L,0)),IFERROR(INDEX('Janvier - 2dern. semaines'!A:A,MATCH(ROWS('Janvier - 2dern. semaines'!$1:16),'Janvier - 2dern. semaines'!$K:$K,0)),IFERROR(INDEX('Fin Jan.-Février - 2prem. sem.'!A:A,MATCH(ROWS('Fin Jan.-Février - 2prem. sem.'!$1:16),'Fin Jan.-Février - 2prem. sem.'!$K:$K,0)),"")))</f>
        <v/>
      </c>
      <c r="C36" s="35" t="str">
        <f t="shared" si="1"/>
        <v/>
      </c>
      <c r="D36" s="122" t="str">
        <f t="shared" si="4"/>
        <v/>
      </c>
      <c r="E36" s="122"/>
    </row>
    <row r="37" spans="1:5" ht="19.899999999999999" customHeight="1" x14ac:dyDescent="0.2">
      <c r="A37" s="34" t="str">
        <f>IFERROR(INDEX('Janvier - 2prem. semaines'!J:J,MATCH(ROWS('Janvier - 2prem. semaines'!$1:17),'Janvier - 2prem. semaines'!$L:$L,0)),"")</f>
        <v/>
      </c>
      <c r="B37" s="35" t="str">
        <f>IFERROR(INDEX('Janvier - 2prem. semaines'!A:A,MATCH(ROWS('Janvier - 2prem. semaines'!$1:17),'Janvier - 2prem. semaines'!$L:$L,0)),IFERROR(INDEX('Janvier - 2dern. semaines'!A:A,MATCH(ROWS('Janvier - 2dern. semaines'!$1:17),'Janvier - 2dern. semaines'!$K:$K,0)),IFERROR(INDEX('Fin Jan.-Février - 2prem. sem.'!A:A,MATCH(ROWS('Fin Jan.-Février - 2prem. sem.'!$1:17),'Fin Jan.-Février - 2prem. sem.'!$K:$K,0)),"")))</f>
        <v/>
      </c>
      <c r="C37" s="35" t="str">
        <f t="shared" si="1"/>
        <v/>
      </c>
      <c r="D37" s="122" t="str">
        <f t="shared" si="4"/>
        <v/>
      </c>
      <c r="E37" s="122"/>
    </row>
    <row r="38" spans="1:5" ht="19.899999999999999" customHeight="1" x14ac:dyDescent="0.2">
      <c r="A38" s="34" t="str">
        <f>IFERROR(INDEX('Janvier - 2prem. semaines'!J:J,MATCH(ROWS('Janvier - 2prem. semaines'!$1:18),'Janvier - 2prem. semaines'!$L:$L,0)),"")</f>
        <v/>
      </c>
      <c r="B38" s="35" t="str">
        <f>IFERROR(INDEX('Janvier - 2prem. semaines'!A:A,MATCH(ROWS('Janvier - 2prem. semaines'!$1:18),'Janvier - 2prem. semaines'!$L:$L,0)),IFERROR(INDEX('Janvier - 2dern. semaines'!A:A,MATCH(ROWS('Janvier - 2dern. semaines'!$1:18),'Janvier - 2dern. semaines'!$K:$K,0)),IFERROR(INDEX('Fin Jan.-Février - 2prem. sem.'!A:A,MATCH(ROWS('Fin Jan.-Février - 2prem. sem.'!$1:18),'Fin Jan.-Février - 2prem. sem.'!$K:$K,0)),"")))</f>
        <v/>
      </c>
      <c r="C38" s="35" t="str">
        <f t="shared" si="1"/>
        <v/>
      </c>
      <c r="D38" s="122" t="str">
        <f t="shared" si="4"/>
        <v/>
      </c>
      <c r="E38" s="122"/>
    </row>
    <row r="39" spans="1:5" ht="19.899999999999999" customHeight="1" x14ac:dyDescent="0.2">
      <c r="A39" s="34" t="str">
        <f>IFERROR(INDEX('Janvier - 2prem. semaines'!J:J,MATCH(ROWS('Janvier - 2prem. semaines'!$1:19),'Janvier - 2prem. semaines'!$L:$L,0)),"")</f>
        <v/>
      </c>
      <c r="B39" s="35" t="str">
        <f>IFERROR(INDEX('Janvier - 2prem. semaines'!A:A,MATCH(ROWS('Janvier - 2prem. semaines'!$1:19),'Janvier - 2prem. semaines'!$L:$L,0)),IFERROR(INDEX('Janvier - 2dern. semaines'!A:A,MATCH(ROWS('Janvier - 2dern. semaines'!$1:19),'Janvier - 2dern. semaines'!$K:$K,0)),""))</f>
        <v/>
      </c>
      <c r="C39" s="35" t="str">
        <f t="shared" si="1"/>
        <v/>
      </c>
      <c r="D39" s="122" t="str">
        <f t="shared" si="4"/>
        <v/>
      </c>
      <c r="E39" s="122"/>
    </row>
    <row r="40" spans="1:5" ht="19.899999999999999" customHeight="1" x14ac:dyDescent="0.2">
      <c r="A40" s="34" t="str">
        <f>IFERROR(INDEX('Janvier - 2prem. semaines'!J:J,MATCH(ROWS('Janvier - 2prem. semaines'!$1:20),'Janvier - 2prem. semaines'!$L:$L,0)),"")</f>
        <v/>
      </c>
      <c r="B40" s="35" t="str">
        <f>IFERROR(INDEX('Janvier - 2prem. semaines'!A:A,MATCH(ROWS('Janvier - 2prem. semaines'!$1:20),'Janvier - 2prem. semaines'!$L:$L,0)),IFERROR(INDEX('Janvier - 2dern. semaines'!A:A,MATCH(ROWS('Janvier - 2dern. semaines'!$1:20),'Janvier - 2dern. semaines'!$K:$K,0)),""))</f>
        <v/>
      </c>
      <c r="C40" s="35" t="str">
        <f t="shared" si="1"/>
        <v/>
      </c>
      <c r="D40" s="122" t="str">
        <f t="shared" si="4"/>
        <v/>
      </c>
      <c r="E40" s="122"/>
    </row>
    <row r="41" spans="1:5" ht="19.899999999999999" customHeight="1" x14ac:dyDescent="0.2">
      <c r="A41" s="34" t="str">
        <f>IFERROR(INDEX('Janvier - 2prem. semaines'!J:J,MATCH(ROWS('Janvier - 2prem. semaines'!$1:21),'Janvier - 2prem. semaines'!$L:$L,0)),"")</f>
        <v/>
      </c>
      <c r="B41" s="35" t="str">
        <f>IFERROR(INDEX('Janvier - 2prem. semaines'!A:A,MATCH(ROWS('Janvier - 2prem. semaines'!$1:21),'Janvier - 2prem. semaines'!$L:$L,0)),"")</f>
        <v/>
      </c>
      <c r="C41" s="35" t="str">
        <f t="shared" si="1"/>
        <v/>
      </c>
      <c r="D41" s="122" t="str">
        <f t="shared" si="4"/>
        <v/>
      </c>
      <c r="E41" s="122"/>
    </row>
    <row r="42" spans="1:5" ht="19.899999999999999" customHeight="1" x14ac:dyDescent="0.2">
      <c r="A42" s="34" t="str">
        <f>IFERROR(INDEX('Janvier - 2prem. semaines'!J:J,MATCH(ROWS('Janvier - 2prem. semaines'!$1:22),'Janvier - 2prem. semaines'!$L:$L,0)),"")</f>
        <v/>
      </c>
      <c r="B42" s="35" t="str">
        <f>IFERROR(INDEX('Janvier - 2prem. semaines'!A:A,MATCH(ROWS('Janvier - 2prem. semaines'!$1:22),'Janvier - 2prem. semaines'!$L:$L,0)),"")</f>
        <v/>
      </c>
      <c r="C42" s="35" t="str">
        <f t="shared" si="1"/>
        <v/>
      </c>
      <c r="D42" s="122" t="str">
        <f t="shared" si="4"/>
        <v/>
      </c>
      <c r="E42" s="122"/>
    </row>
    <row r="43" spans="1:5" ht="19.899999999999999" customHeight="1" x14ac:dyDescent="0.2">
      <c r="A43" s="34" t="str">
        <f>IFERROR(INDEX('Janvier - 2prem. semaines'!J:J,MATCH(ROWS('Janvier - 2prem. semaines'!$1:23),'Janvier - 2prem. semaines'!$L:$L,0)),"")</f>
        <v/>
      </c>
      <c r="B43" s="35" t="str">
        <f>IFERROR(INDEX('Janvier - 2prem. semaines'!A:A,MATCH(ROWS('Janvier - 2prem. semaines'!$1:23),'Janvier - 2prem. semaines'!$L:$L,0)),"")</f>
        <v/>
      </c>
      <c r="C43" s="35" t="str">
        <f t="shared" si="1"/>
        <v/>
      </c>
      <c r="D43" s="122" t="str">
        <f t="shared" si="4"/>
        <v/>
      </c>
      <c r="E43" s="122"/>
    </row>
    <row r="44" spans="1:5" ht="19.899999999999999" customHeight="1" x14ac:dyDescent="0.2">
      <c r="A44" s="34" t="str">
        <f>IFERROR(INDEX('Janvier - 2prem. semaines'!J:J,MATCH(ROWS('Janvier - 2prem. semaines'!$1:24),'Janvier - 2prem. semaines'!$L:$L,0)),"")</f>
        <v/>
      </c>
      <c r="B44" s="35" t="str">
        <f>IFERROR(INDEX('Janvier - 2prem. semaines'!A:A,MATCH(ROWS('Janvier - 2prem. semaines'!$1:24),'Janvier - 2prem. semaines'!$L:$L,0)),"")</f>
        <v/>
      </c>
      <c r="C44" s="35" t="str">
        <f t="shared" si="1"/>
        <v/>
      </c>
      <c r="D44" s="122" t="str">
        <f t="shared" si="4"/>
        <v/>
      </c>
      <c r="E44" s="122"/>
    </row>
    <row r="45" spans="1:5" ht="19.899999999999999" customHeight="1" x14ac:dyDescent="0.2">
      <c r="A45" s="34" t="str">
        <f>IFERROR(INDEX('Janvier - 2prem. semaines'!J:J,MATCH(ROWS('Janvier - 2prem. semaines'!$1:25),'Janvier - 2prem. semaines'!$L:$L,0)),"")</f>
        <v/>
      </c>
      <c r="B45" s="35" t="str">
        <f>IFERROR(INDEX('Janvier - 2prem. semaines'!A:A,MATCH(ROWS('Janvier - 2prem. semaines'!$1:25),'Janvier - 2prem. semaines'!$L:$L,0)),"")</f>
        <v/>
      </c>
      <c r="C45" s="35" t="str">
        <f t="shared" si="1"/>
        <v/>
      </c>
      <c r="D45" s="122" t="str">
        <f t="shared" si="4"/>
        <v/>
      </c>
      <c r="E45" s="122"/>
    </row>
    <row r="46" spans="1:5" ht="19.899999999999999" customHeight="1" x14ac:dyDescent="0.2">
      <c r="A46" s="34" t="str">
        <f>IFERROR(INDEX('Janvier - 2prem. semaines'!J:J,MATCH(ROWS('Janvier - 2prem. semaines'!$1:26),'Janvier - 2prem. semaines'!$L:$L,0)),"")</f>
        <v/>
      </c>
      <c r="B46" s="35" t="str">
        <f>IFERROR(INDEX('Janvier - 2prem. semaines'!A:A,MATCH(ROWS('Janvier - 2prem. semaines'!$1:26),'Janvier - 2prem. semaines'!$L:$L,0)),"")</f>
        <v/>
      </c>
      <c r="C46" s="35" t="str">
        <f t="shared" si="1"/>
        <v/>
      </c>
      <c r="D46" s="122" t="str">
        <f t="shared" si="4"/>
        <v/>
      </c>
      <c r="E46" s="122"/>
    </row>
    <row r="47" spans="1:5" ht="19.899999999999999" customHeight="1" x14ac:dyDescent="0.2">
      <c r="A47" s="34" t="str">
        <f>IFERROR(INDEX('Janvier - 2prem. semaines'!J:J,MATCH(ROWS('Janvier - 2prem. semaines'!$1:27),'Janvier - 2prem. semaines'!$L:$L,0)),"")</f>
        <v/>
      </c>
      <c r="B47" s="35" t="str">
        <f>IFERROR(INDEX('Janvier - 2prem. semaines'!A:A,MATCH(ROWS('Janvier - 2prem. semaines'!$1:27),'Janvier - 2prem. semaines'!$L:$L,0)),"")</f>
        <v/>
      </c>
      <c r="C47" s="35" t="str">
        <f t="shared" si="1"/>
        <v/>
      </c>
      <c r="D47" s="122" t="str">
        <f t="shared" si="4"/>
        <v/>
      </c>
      <c r="E47" s="122"/>
    </row>
    <row r="48" spans="1:5" ht="19.899999999999999" customHeight="1" x14ac:dyDescent="0.2">
      <c r="A48" s="34" t="str">
        <f>IFERROR(INDEX('Janvier - 2prem. semaines'!J:J,MATCH(ROWS('Janvier - 2prem. semaines'!$1:28),'Janvier - 2prem. semaines'!$L:$L,0)),"")</f>
        <v/>
      </c>
      <c r="B48" s="35" t="str">
        <f>IFERROR(INDEX('Janvier - 2prem. semaines'!A:A,MATCH(ROWS('Janvier - 2prem. semaines'!$1:28),'Janvier - 2prem. semaines'!$L:$L,0)),"")</f>
        <v/>
      </c>
      <c r="C48" s="35" t="str">
        <f t="shared" si="1"/>
        <v/>
      </c>
      <c r="D48" s="122" t="str">
        <f t="shared" si="4"/>
        <v/>
      </c>
      <c r="E48" s="122"/>
    </row>
    <row r="49" spans="1:5" ht="19.899999999999999" customHeight="1" x14ac:dyDescent="0.2">
      <c r="A49" s="34" t="str">
        <f>IFERROR(INDEX('Janvier - 2prem. semaines'!J:J,MATCH(ROWS('Janvier - 2prem. semaines'!$1:29),'Janvier - 2prem. semaines'!$L:$L,0)),"")</f>
        <v/>
      </c>
      <c r="B49" s="35" t="str">
        <f>IFERROR(INDEX('Janvier - 2prem. semaines'!A:A,MATCH(ROWS('Janvier - 2prem. semaines'!$1:29),'Janvier - 2prem. semaines'!$L:$L,0)),"")</f>
        <v/>
      </c>
      <c r="C49" s="35" t="str">
        <f t="shared" si="1"/>
        <v/>
      </c>
      <c r="D49" s="122" t="str">
        <f t="shared" si="4"/>
        <v/>
      </c>
      <c r="E49" s="122"/>
    </row>
    <row r="50" spans="1:5" ht="19.899999999999999" customHeight="1" x14ac:dyDescent="0.2">
      <c r="A50" s="34" t="str">
        <f>IFERROR(INDEX('Janvier - 2prem. semaines'!J:J,MATCH(ROWS('Janvier - 2prem. semaines'!$1:30),'Janvier - 2prem. semaines'!$L:$L,0)),"")</f>
        <v/>
      </c>
      <c r="B50" s="35" t="str">
        <f>IFERROR(INDEX('Janvier - 2prem. semaines'!A:A,MATCH(ROWS('Janvier - 2prem. semaines'!$1:30),'Janvier - 2prem. semaines'!$L:$L,0)),"")</f>
        <v/>
      </c>
      <c r="C50" s="35" t="str">
        <f t="shared" si="1"/>
        <v/>
      </c>
      <c r="D50" s="122" t="str">
        <f t="shared" si="4"/>
        <v/>
      </c>
      <c r="E50" s="122"/>
    </row>
    <row r="51" spans="1:5" ht="19.899999999999999" customHeight="1" x14ac:dyDescent="0.2">
      <c r="A51" s="34" t="str">
        <f>IFERROR(INDEX('Janvier - 2prem. semaines'!J:J,MATCH(ROWS('Janvier - 2prem. semaines'!$1:31),'Janvier - 2prem. semaines'!$L:$L,0)),"")</f>
        <v/>
      </c>
      <c r="B51" s="35" t="str">
        <f>IFERROR(INDEX('Janvier - 2prem. semaines'!A:A,MATCH(ROWS('Janvier - 2prem. semaines'!$1:31),'Janvier - 2prem. semaines'!$L:$L,0)),"")</f>
        <v/>
      </c>
      <c r="C51" s="35" t="str">
        <f t="shared" si="1"/>
        <v/>
      </c>
      <c r="D51" s="122" t="str">
        <f t="shared" si="4"/>
        <v/>
      </c>
      <c r="E51" s="122"/>
    </row>
    <row r="52" spans="1:5" ht="19.899999999999999" customHeight="1" x14ac:dyDescent="0.2">
      <c r="A52" s="34" t="str">
        <f>IFERROR(INDEX('Janvier - 2prem. semaines'!J:J,MATCH(ROWS('Janvier - 2prem. semaines'!$1:32),'Janvier - 2prem. semaines'!$L:$L,0)),"")</f>
        <v/>
      </c>
      <c r="B52" s="35" t="str">
        <f>IFERROR(INDEX('Janvier - 2prem. semaines'!A:A,MATCH(ROWS('Janvier - 2prem. semaines'!$1:32),'Janvier - 2prem. semaines'!$L:$L,0)),"")</f>
        <v/>
      </c>
      <c r="C52" s="35" t="str">
        <f t="shared" si="1"/>
        <v/>
      </c>
      <c r="D52" s="122" t="str">
        <f t="shared" si="4"/>
        <v/>
      </c>
      <c r="E52" s="122"/>
    </row>
    <row r="53" spans="1:5" ht="19.899999999999999" customHeight="1" x14ac:dyDescent="0.2">
      <c r="A53" s="34" t="str">
        <f>IFERROR(INDEX('Janvier - 2prem. semaines'!J:J,MATCH(ROWS('Janvier - 2prem. semaines'!$1:33),'Janvier - 2prem. semaines'!$L:$L,0)),"")</f>
        <v/>
      </c>
      <c r="B53" s="35" t="str">
        <f>IFERROR(INDEX('Janvier - 2prem. semaines'!A:A,MATCH(ROWS('Janvier - 2prem. semaines'!$1:33),'Janvier - 2prem. semaines'!$L:$L,0)),"")</f>
        <v/>
      </c>
      <c r="C53" s="35" t="str">
        <f t="shared" si="1"/>
        <v/>
      </c>
      <c r="D53" s="122" t="str">
        <f t="shared" si="4"/>
        <v/>
      </c>
      <c r="E53" s="122"/>
    </row>
    <row r="54" spans="1:5" ht="19.899999999999999" customHeight="1" x14ac:dyDescent="0.2">
      <c r="A54" s="34" t="str">
        <f>IFERROR(INDEX('Janvier - 2prem. semaines'!J:J,MATCH(ROWS('Janvier - 2prem. semaines'!$1:34),'Janvier - 2prem. semaines'!$L:$L,0)),"")</f>
        <v/>
      </c>
      <c r="B54" s="35" t="str">
        <f>IFERROR(INDEX('Janvier - 2prem. semaines'!A:A,MATCH(ROWS('Janvier - 2prem. semaines'!$1:34),'Janvier - 2prem. semaines'!$L:$L,0)),"")</f>
        <v/>
      </c>
      <c r="C54" s="35" t="str">
        <f t="shared" si="1"/>
        <v/>
      </c>
      <c r="D54" s="122" t="str">
        <f t="shared" si="4"/>
        <v/>
      </c>
      <c r="E54" s="122"/>
    </row>
    <row r="55" spans="1:5" ht="19.899999999999999" customHeight="1" x14ac:dyDescent="0.2">
      <c r="A55" s="34" t="str">
        <f>IFERROR(INDEX('Janvier - 2prem. semaines'!J:J,MATCH(ROWS('Janvier - 2prem. semaines'!$1:35),'Janvier - 2prem. semaines'!$L:$L,0)),"")</f>
        <v/>
      </c>
      <c r="B55" s="35" t="str">
        <f>IFERROR(INDEX('Janvier - 2prem. semaines'!A:A,MATCH(ROWS('Janvier - 2prem. semaines'!$1:35),'Janvier - 2prem. semaines'!$L:$L,0)),"")</f>
        <v/>
      </c>
      <c r="C55" s="35" t="str">
        <f t="shared" si="1"/>
        <v/>
      </c>
      <c r="D55" s="122" t="str">
        <f t="shared" si="4"/>
        <v/>
      </c>
      <c r="E55" s="122"/>
    </row>
    <row r="56" spans="1:5" ht="19.899999999999999" customHeight="1" x14ac:dyDescent="0.2">
      <c r="A56" s="34" t="str">
        <f>IFERROR(INDEX('Janvier - 2prem. semaines'!J:J,MATCH(ROWS('Janvier - 2prem. semaines'!$1:36),'Janvier - 2prem. semaines'!$L:$L,0)),"")</f>
        <v/>
      </c>
      <c r="B56" s="35" t="str">
        <f>IFERROR(INDEX('Janvier - 2prem. semaines'!A:A,MATCH(ROWS('Janvier - 2prem. semaines'!$1:36),'Janvier - 2prem. semaines'!$L:$L,0)),"")</f>
        <v/>
      </c>
      <c r="C56" s="35" t="str">
        <f t="shared" si="1"/>
        <v/>
      </c>
      <c r="D56" s="122" t="str">
        <f t="shared" si="4"/>
        <v/>
      </c>
      <c r="E56" s="122"/>
    </row>
    <row r="57" spans="1:5" ht="19.899999999999999" customHeight="1" x14ac:dyDescent="0.2">
      <c r="A57" s="34" t="str">
        <f>IFERROR(INDEX('Janvier - 2prem. semaines'!J:J,MATCH(ROWS('Janvier - 2prem. semaines'!$1:37),'Janvier - 2prem. semaines'!$L:$L,0)),"")</f>
        <v/>
      </c>
      <c r="B57" s="35" t="str">
        <f>IFERROR(INDEX('Janvier - 2prem. semaines'!A:A,MATCH(ROWS('Janvier - 2prem. semaines'!$1:37),'Janvier - 2prem. semaines'!$L:$L,0)),"")</f>
        <v/>
      </c>
      <c r="C57" s="35" t="str">
        <f t="shared" si="1"/>
        <v/>
      </c>
      <c r="D57" s="122" t="str">
        <f t="shared" si="4"/>
        <v/>
      </c>
      <c r="E57" s="122"/>
    </row>
    <row r="58" spans="1:5" ht="19.899999999999999" customHeight="1" x14ac:dyDescent="0.2">
      <c r="A58" s="34" t="str">
        <f>IFERROR(INDEX('Janvier - 2prem. semaines'!J:J,MATCH(ROWS('Janvier - 2prem. semaines'!$1:38),'Janvier - 2prem. semaines'!$L:$L,0)),"")</f>
        <v/>
      </c>
      <c r="B58" s="35" t="str">
        <f>IFERROR(INDEX('Janvier - 2prem. semaines'!A:A,MATCH(ROWS('Janvier - 2prem. semaines'!$1:38),'Janvier - 2prem. semaines'!$L:$L,0)),"")</f>
        <v/>
      </c>
      <c r="C58" s="35" t="str">
        <f t="shared" si="1"/>
        <v/>
      </c>
      <c r="D58" s="122" t="str">
        <f t="shared" si="4"/>
        <v/>
      </c>
      <c r="E58" s="122"/>
    </row>
    <row r="59" spans="1:5" ht="19.899999999999999" customHeight="1" x14ac:dyDescent="0.2">
      <c r="A59" s="34" t="str">
        <f>IFERROR(INDEX('Janvier - 2prem. semaines'!J:J,MATCH(ROWS('Janvier - 2prem. semaines'!$1:39),'Janvier - 2prem. semaines'!$L:$L,0)),"")</f>
        <v/>
      </c>
      <c r="B59" s="35" t="str">
        <f>IFERROR(INDEX('Janvier - 2prem. semaines'!A:A,MATCH(ROWS('Janvier - 2prem. semaines'!$1:39),'Janvier - 2prem. semaines'!$L:$L,0)),"")</f>
        <v/>
      </c>
      <c r="C59" s="35" t="str">
        <f t="shared" si="1"/>
        <v/>
      </c>
      <c r="D59" s="122" t="str">
        <f t="shared" si="4"/>
        <v/>
      </c>
      <c r="E59" s="122"/>
    </row>
    <row r="60" spans="1:5" ht="19.899999999999999" customHeight="1" x14ac:dyDescent="0.2">
      <c r="A60" s="34" t="str">
        <f>IFERROR(INDEX('Janvier - 2prem. semaines'!J:J,MATCH(ROWS('Janvier - 2prem. semaines'!$1:40),'Janvier - 2prem. semaines'!$L:$L,0)),"")</f>
        <v/>
      </c>
      <c r="B60" s="35" t="str">
        <f>IFERROR(INDEX('Janvier - 2prem. semaines'!A:A,MATCH(ROWS('Janvier - 2prem. semaines'!$1:40),'Janvier - 2prem. semaines'!$L:$L,0)),"")</f>
        <v/>
      </c>
      <c r="C60" s="35" t="str">
        <f t="shared" si="1"/>
        <v/>
      </c>
      <c r="D60" s="122" t="str">
        <f t="shared" si="4"/>
        <v/>
      </c>
      <c r="E60" s="122"/>
    </row>
    <row r="61" spans="1:5" ht="19.899999999999999" customHeight="1" x14ac:dyDescent="0.2">
      <c r="A61" s="34" t="str">
        <f>IFERROR(INDEX('Janvier - 2prem. semaines'!J:J,MATCH(ROWS('Janvier - 2prem. semaines'!$1:41),'Janvier - 2prem. semaines'!$L:$L,0)),"")</f>
        <v/>
      </c>
      <c r="B61" s="35" t="str">
        <f>IFERROR(INDEX('Janvier - 2prem. semaines'!A:A,MATCH(ROWS('Janvier - 2prem. semaines'!$1:41),'Janvier - 2prem. semaines'!$L:$L,0)),"")</f>
        <v/>
      </c>
      <c r="C61" s="35" t="str">
        <f t="shared" si="1"/>
        <v/>
      </c>
      <c r="D61" s="122" t="str">
        <f t="shared" si="4"/>
        <v/>
      </c>
      <c r="E61" s="122"/>
    </row>
  </sheetData>
  <mergeCells count="44">
    <mergeCell ref="B2:E5"/>
    <mergeCell ref="B8:C8"/>
    <mergeCell ref="D20:E20"/>
    <mergeCell ref="D21:E21"/>
    <mergeCell ref="D59:E59"/>
    <mergeCell ref="D60:E60"/>
    <mergeCell ref="D61:E61"/>
    <mergeCell ref="D53:E53"/>
    <mergeCell ref="D54:E54"/>
    <mergeCell ref="D55:E55"/>
    <mergeCell ref="D56:E56"/>
    <mergeCell ref="D57:E57"/>
    <mergeCell ref="D58:E58"/>
    <mergeCell ref="D52:E52"/>
    <mergeCell ref="D49:E49"/>
    <mergeCell ref="D51:E51"/>
    <mergeCell ref="D22:E22"/>
    <mergeCell ref="D23:E23"/>
    <mergeCell ref="D24:E24"/>
    <mergeCell ref="D25:E25"/>
    <mergeCell ref="D26:E26"/>
    <mergeCell ref="D27:E27"/>
    <mergeCell ref="D47:E47"/>
    <mergeCell ref="D40:E40"/>
    <mergeCell ref="D41:E41"/>
    <mergeCell ref="D42:E42"/>
    <mergeCell ref="D43:E43"/>
    <mergeCell ref="D44:E44"/>
    <mergeCell ref="D48:E48"/>
    <mergeCell ref="D50:E50"/>
    <mergeCell ref="D28:E28"/>
    <mergeCell ref="D29:E29"/>
    <mergeCell ref="D45:E45"/>
    <mergeCell ref="D46:E46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</mergeCells>
  <conditionalFormatting sqref="B12">
    <cfRule type="expression" dxfId="316" priority="8">
      <formula>ISBLANK($B$12)</formula>
    </cfRule>
  </conditionalFormatting>
  <conditionalFormatting sqref="B10">
    <cfRule type="expression" dxfId="315" priority="4">
      <formula>ISBLANK($B$10)</formula>
    </cfRule>
  </conditionalFormatting>
  <conditionalFormatting sqref="B8">
    <cfRule type="expression" dxfId="314" priority="1">
      <formula>ISBLANK($B$8)</formula>
    </cfRule>
  </conditionalFormatting>
  <printOptions horizontalCentered="1"/>
  <pageMargins left="0" right="0" top="0.39370078740157483" bottom="0" header="0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G72"/>
  <sheetViews>
    <sheetView showGridLines="0" zoomScale="120" zoomScaleNormal="12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2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.5703125" style="1" bestFit="1" customWidth="1"/>
    <col min="8" max="8" width="13.5703125" style="1" bestFit="1" customWidth="1"/>
    <col min="9" max="9" width="13.5703125" style="1" customWidth="1"/>
    <col min="10" max="10" width="13" style="91" bestFit="1" customWidth="1"/>
    <col min="11" max="11" width="11.42578125" style="1"/>
    <col min="12" max="12" width="22.7109375" style="1" bestFit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39" t="s">
        <v>53</v>
      </c>
      <c r="D2" s="139"/>
      <c r="E2" s="139"/>
      <c r="F2" s="139"/>
      <c r="G2" s="139"/>
      <c r="H2" s="139"/>
      <c r="I2" s="87"/>
      <c r="J2" s="90"/>
    </row>
    <row r="3" spans="1:33" ht="14.25" customHeight="1" x14ac:dyDescent="0.2">
      <c r="C3" s="139"/>
      <c r="D3" s="139"/>
      <c r="E3" s="139"/>
      <c r="F3" s="139"/>
      <c r="G3" s="139"/>
      <c r="H3" s="139"/>
      <c r="I3" s="87"/>
      <c r="J3" s="90"/>
    </row>
    <row r="4" spans="1:33" ht="14.25" customHeight="1" x14ac:dyDescent="0.2">
      <c r="C4" s="139"/>
      <c r="D4" s="139"/>
      <c r="E4" s="139"/>
      <c r="F4" s="139"/>
      <c r="G4" s="139"/>
      <c r="H4" s="139"/>
      <c r="I4" s="87"/>
      <c r="J4" s="90"/>
    </row>
    <row r="5" spans="1:33" ht="14.25" customHeight="1" x14ac:dyDescent="0.2">
      <c r="C5" s="139"/>
      <c r="D5" s="139"/>
      <c r="E5" s="139"/>
      <c r="F5" s="139"/>
      <c r="G5" s="139"/>
      <c r="H5" s="139"/>
      <c r="I5" s="87"/>
      <c r="J5" s="90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I8" s="88"/>
      <c r="L8" s="74"/>
    </row>
    <row r="9" spans="1:33" ht="18" x14ac:dyDescent="0.2">
      <c r="A9" s="12" t="s">
        <v>1</v>
      </c>
      <c r="B9" s="54">
        <f>'Congés de l''employé'!B8</f>
        <v>0</v>
      </c>
      <c r="C9" s="22"/>
      <c r="D9" s="22"/>
      <c r="E9" s="22"/>
      <c r="F9" s="21"/>
      <c r="G9" s="21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DATE(An_ref,1,-2)-WEEKDAY(DATE(An_ref,1,3))+7</f>
        <v>43465</v>
      </c>
      <c r="C10" s="132"/>
      <c r="D10" s="132"/>
      <c r="E10" s="13"/>
      <c r="F10" s="18"/>
      <c r="G10" s="18"/>
      <c r="H10" s="73"/>
      <c r="I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2"/>
      <c r="B11" s="13"/>
      <c r="C11" s="13"/>
      <c r="D11" s="13"/>
      <c r="E11" s="13"/>
      <c r="F11" s="18"/>
      <c r="G11" s="18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44" t="s">
        <v>63</v>
      </c>
      <c r="J13" s="102" t="s">
        <v>64</v>
      </c>
      <c r="L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7"/>
      <c r="J14" s="94"/>
      <c r="L14" s="142">
        <v>0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9"/>
      <c r="J15" s="96"/>
      <c r="L15" s="143"/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43465</v>
      </c>
      <c r="B16" s="58"/>
      <c r="C16" s="58"/>
      <c r="D16" s="58"/>
      <c r="E16" s="58"/>
      <c r="F16" s="58"/>
      <c r="G16" s="58"/>
      <c r="H16" s="100">
        <f>IF(ISNA(VLOOKUP($A16,'Calendrier annuel'!$AF$11:$AH$21,3,FALSE)),IF(J16="CONGÉ",'Congés de l''employé'!$E$16,IF($J16="MALADIE",'Congés de l''employé'!$E$18,MOD($E16-($B16-($C16-$D16))+($G16-$F16),1))),VLOOKUP($A16,'Calendrier annuel'!$AF$11:$AH$21,3,FALSE))</f>
        <v>0</v>
      </c>
      <c r="I16" s="147" t="s">
        <v>66</v>
      </c>
      <c r="J16" s="97"/>
      <c r="L16" s="142">
        <f>IF(COUNTIF(I16:J16,"X"),MAX($L$13:L13)+1,"")</f>
        <v>1</v>
      </c>
      <c r="M16" s="142"/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43466</v>
      </c>
      <c r="B17" s="58"/>
      <c r="C17" s="58"/>
      <c r="D17" s="58"/>
      <c r="E17" s="58"/>
      <c r="F17" s="58"/>
      <c r="G17" s="58"/>
      <c r="H17" s="100">
        <f>IF(ISNA(VLOOKUP($A17,'Calendrier annuel'!$AF$11:$AH$21,3,FALSE)),IF(J17="CONGÉ",'Congés de l''employé'!$E$16,IF($J17="MALADIE",'Congés de l''employé'!$E$18,MOD($E17-($B17-($C17-$D17))+($G17-$F17),1))),VLOOKUP($A17,'Calendrier annuel'!$AF$11:$AH$21,3,FALSE))</f>
        <v>0.33333333333333331</v>
      </c>
      <c r="I17" s="147"/>
      <c r="J17" s="147"/>
      <c r="L17" s="142" t="str">
        <f>IF(COUNTIF(I17:J17,"X"),MAX($L$13:L14)+1,"")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43467</v>
      </c>
      <c r="B18" s="58"/>
      <c r="C18" s="58"/>
      <c r="D18" s="58"/>
      <c r="E18" s="58"/>
      <c r="F18" s="58"/>
      <c r="G18" s="58"/>
      <c r="H18" s="100">
        <f>IF(ISNA(VLOOKUP($A18,'Calendrier annuel'!$AF$11:$AH$21,3,FALSE)),IF(J18="CONGÉ",'Congés de l''employé'!$E$16,IF($J18="MALADIE",'Congés de l''employé'!$E$18,MOD($E18-($B18-($C18-$D18))+($G18-$F18),1))),VLOOKUP($A18,'Calendrier annuel'!$AF$11:$AH$21,3,FALSE))</f>
        <v>0</v>
      </c>
      <c r="I18" s="147"/>
      <c r="J18" s="97"/>
      <c r="L18" s="142" t="str">
        <f>IF(COUNTIF(I18:J18,"X"),MAX($L$13:L15)+1,"")</f>
        <v/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43468</v>
      </c>
      <c r="B19" s="58"/>
      <c r="C19" s="58"/>
      <c r="D19" s="58"/>
      <c r="E19" s="58"/>
      <c r="F19" s="58"/>
      <c r="G19" s="58"/>
      <c r="H19" s="100">
        <f>IF(ISNA(VLOOKUP($A19,'Calendrier annuel'!$AF$11:$AH$21,3,FALSE)),IF(J19="CONGÉ",'Congés de l''employé'!$E$16,IF($J19="MALADIE",'Congés de l''employé'!$E$18,MOD($E19-($B19-($C19-$D19))+($G19-$F19),1))),VLOOKUP($A19,'Calendrier annuel'!$AF$11:$AH$21,3,FALSE))</f>
        <v>0</v>
      </c>
      <c r="I19" s="147"/>
      <c r="J19" s="97" t="s">
        <v>66</v>
      </c>
      <c r="L19" s="142">
        <f>IF(COUNTIF(I19:J19,"X"),MAX($L$13:L16)+1,"")</f>
        <v>2</v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43469</v>
      </c>
      <c r="B20" s="58"/>
      <c r="C20" s="58"/>
      <c r="D20" s="58"/>
      <c r="E20" s="58"/>
      <c r="F20" s="58"/>
      <c r="G20" s="58"/>
      <c r="H20" s="100">
        <f>IF(ISNA(VLOOKUP($A20,'Calendrier annuel'!$AF$11:$AH$21,3,FALSE)),IF(J20="CONGÉ",'Congés de l''employé'!$E$16,IF($J20="MALADIE",'Congés de l''employé'!$E$18,MOD($E20-($B20-($C20-$D20))+($G20-$F20),1))),VLOOKUP($A20,'Calendrier annuel'!$AF$11:$AH$21,3,FALSE))</f>
        <v>0</v>
      </c>
      <c r="I20" s="147"/>
      <c r="J20" s="97"/>
      <c r="L20" s="142" t="str">
        <f>IF(COUNTIF(I20:J20,"X"),MAX($L$13:L17)+1,"")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43470</v>
      </c>
      <c r="B21" s="58"/>
      <c r="C21" s="58"/>
      <c r="D21" s="58"/>
      <c r="E21" s="58"/>
      <c r="F21" s="58"/>
      <c r="G21" s="58"/>
      <c r="H21" s="100">
        <f>IF(ISNA(VLOOKUP($A21,'Calendrier annuel'!$AF$11:$AH$21,3,FALSE)),IF(J21="CONGÉ",'Congés de l''employé'!$E$16,IF($J21="MALADIE",'Congés de l''employé'!$E$18,MOD($E21-($B21-($C21-$D21))+($G21-$F21),1))),VLOOKUP($A21,'Calendrier annuel'!$AF$11:$AH$21,3,FALSE))</f>
        <v>0</v>
      </c>
      <c r="I21" s="147"/>
      <c r="J21" s="97"/>
      <c r="L21" s="142" t="str">
        <f>IF(COUNTIF(I21:J21,"X"),MAX($L$13:L18)+1,"")</f>
        <v/>
      </c>
    </row>
    <row r="22" spans="1:33" ht="15" thickBot="1" x14ac:dyDescent="0.25">
      <c r="A22" s="85">
        <f>$B$10+6</f>
        <v>43471</v>
      </c>
      <c r="B22" s="59"/>
      <c r="C22" s="59"/>
      <c r="D22" s="59"/>
      <c r="E22" s="59"/>
      <c r="F22" s="59"/>
      <c r="G22" s="59"/>
      <c r="H22" s="101">
        <f>IF(ISNA(VLOOKUP($A22,'Calendrier annuel'!$AF$11:$AH$21,3,FALSE)),IF(J22="CONGÉ",'Congés de l''employé'!$E$16,IF($J22="MALADIE",'Congés de l''employé'!$E$18,MOD($E22-($B22-($C22-$D22))+($G22-$F22),1))),VLOOKUP($A22,'Calendrier annuel'!$AF$11:$AH$21,3,FALSE))</f>
        <v>0</v>
      </c>
      <c r="I22" s="148"/>
      <c r="J22" s="98"/>
      <c r="L22" s="142" t="str">
        <f>IF(COUNTIF(I22:J22,"X"),MAX($L$13:L19)+1,"")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0.33333333333333331</v>
      </c>
      <c r="I23" s="149"/>
      <c r="J23" s="150"/>
      <c r="L23" s="142" t="str">
        <f>IF(COUNTIF(I23:J23,"X"),MAX($L$13:L20)+1,"")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150"/>
      <c r="J24" s="150"/>
      <c r="L24" s="142" t="str">
        <f>IF(COUNTIF(I24:J24,"X"),MAX($L$13:L21)+1,"")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150"/>
      <c r="J25" s="150"/>
      <c r="L25" s="142" t="str">
        <f>IF(COUNTIF(I25:J25,"X"),MAX($L$13:L22)+1,"")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151"/>
      <c r="J26" s="150"/>
      <c r="L26" s="142" t="str">
        <f>IF(COUNTIF(I26:J26,"X"),MAX($L$13:L23)+1,"")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152"/>
      <c r="J27" s="92"/>
      <c r="L27" s="142" t="str">
        <f>IF(COUNTIF(I27:J27,"X"),MAX($L$13:L24)+1,"")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99"/>
      <c r="J28" s="103"/>
      <c r="L28" s="142" t="str">
        <f>IF(COUNTIF(I28:J28,"X"),MAX($L$13:L25)+1,"")</f>
        <v/>
      </c>
    </row>
    <row r="29" spans="1:33" x14ac:dyDescent="0.2">
      <c r="A29" s="84">
        <f>B10+7</f>
        <v>43472</v>
      </c>
      <c r="B29" s="58"/>
      <c r="C29" s="58"/>
      <c r="D29" s="58"/>
      <c r="E29" s="58"/>
      <c r="F29" s="58"/>
      <c r="G29" s="58"/>
      <c r="H29" s="100">
        <f>IF(ISNA(VLOOKUP($A29,'Calendrier annuel'!$AF$11:$AH$21,3,FALSE)),IF(J29="CONGÉ",'Congés de l''employé'!$E$16,IF($J29="MALADIE",'Congés de l''employé'!$E$18,MOD($E29-($B29-($C29-$D29))+($G29-$F29),1))),VLOOKUP($A29,'Calendrier annuel'!$AF$11:$AH$21,3,FALSE))</f>
        <v>0</v>
      </c>
      <c r="I29" s="147"/>
      <c r="J29" s="97"/>
      <c r="L29" s="142" t="str">
        <f>IF(COUNTIF(I29:J29,"X"),MAX($L$13:L26)+1,"")</f>
        <v/>
      </c>
    </row>
    <row r="30" spans="1:33" x14ac:dyDescent="0.2">
      <c r="A30" s="84">
        <f>B10+8</f>
        <v>43473</v>
      </c>
      <c r="B30" s="58"/>
      <c r="C30" s="58"/>
      <c r="D30" s="58"/>
      <c r="E30" s="58"/>
      <c r="F30" s="58"/>
      <c r="G30" s="58"/>
      <c r="H30" s="100">
        <f>IF(ISNA(VLOOKUP($A30,'Calendrier annuel'!$AF$11:$AH$21,3,FALSE)),IF(J30="CONGÉ",'Congés de l''employé'!$E$16,IF($J30="MALADIE",'Congés de l''employé'!$E$18,MOD($E30-($B30-($C30-$D30))+($G30-$F30),1))),VLOOKUP($A30,'Calendrier annuel'!$AF$11:$AH$21,3,FALSE))</f>
        <v>0</v>
      </c>
      <c r="I30" s="147"/>
      <c r="J30" s="97"/>
      <c r="L30" s="142" t="str">
        <f>IF(COUNTIF(I30:J30,"X"),MAX($L$13:L27)+1,"")</f>
        <v/>
      </c>
    </row>
    <row r="31" spans="1:33" x14ac:dyDescent="0.2">
      <c r="A31" s="84">
        <f>B10+9</f>
        <v>43474</v>
      </c>
      <c r="B31" s="58"/>
      <c r="C31" s="58"/>
      <c r="D31" s="58"/>
      <c r="E31" s="58"/>
      <c r="F31" s="58"/>
      <c r="G31" s="58"/>
      <c r="H31" s="100">
        <f>IF(ISNA(VLOOKUP($A31,'Calendrier annuel'!$AF$11:$AH$21,3,FALSE)),IF(J31="CONGÉ",'Congés de l''employé'!$E$16,IF($J31="MALADIE",'Congés de l''employé'!$E$18,MOD($E31-($B31-($C31-$D31))+($G31-$F31),1))),VLOOKUP($A31,'Calendrier annuel'!$AF$11:$AH$21,3,FALSE))</f>
        <v>0</v>
      </c>
      <c r="I31" s="147"/>
      <c r="J31" s="97"/>
      <c r="L31" s="142" t="str">
        <f>IF(COUNTIF(I31:J31,"X"),MAX($L$13:L28)+1,"")</f>
        <v/>
      </c>
    </row>
    <row r="32" spans="1:33" x14ac:dyDescent="0.2">
      <c r="A32" s="84">
        <f>B10+10</f>
        <v>43475</v>
      </c>
      <c r="B32" s="58"/>
      <c r="C32" s="58"/>
      <c r="D32" s="58"/>
      <c r="E32" s="58"/>
      <c r="F32" s="58"/>
      <c r="G32" s="58"/>
      <c r="H32" s="100">
        <f>IF(ISNA(VLOOKUP($A32,'Calendrier annuel'!$AF$11:$AH$21,3,FALSE)),IF(J32="CONGÉ",'Congés de l''employé'!$E$16,IF($J32="MALADIE",'Congés de l''employé'!$E$18,MOD($E32-($B32-($C32-$D32))+($G32-$F32),1))),VLOOKUP($A32,'Calendrier annuel'!$AF$11:$AH$21,3,FALSE))</f>
        <v>0</v>
      </c>
      <c r="I32" s="147"/>
      <c r="J32" s="97"/>
      <c r="L32" s="142" t="str">
        <f>IF(COUNTIF(I32:J32,"X"),MAX($L$13:L29)+1,"")</f>
        <v/>
      </c>
    </row>
    <row r="33" spans="1:12" x14ac:dyDescent="0.2">
      <c r="A33" s="84">
        <f>B10+11</f>
        <v>43476</v>
      </c>
      <c r="B33" s="58"/>
      <c r="C33" s="58"/>
      <c r="D33" s="58"/>
      <c r="E33" s="58"/>
      <c r="F33" s="58"/>
      <c r="G33" s="58"/>
      <c r="H33" s="100">
        <f>IF(ISNA(VLOOKUP($A33,'Calendrier annuel'!$AF$11:$AH$21,3,FALSE)),IF(J33="CONGÉ",'Congés de l''employé'!$E$16,IF($J33="MALADIE",'Congés de l''employé'!$E$18,MOD($E33-($B33-($C33-$D33))+($G33-$F33),1))),VLOOKUP($A33,'Calendrier annuel'!$AF$11:$AH$21,3,FALSE))</f>
        <v>0</v>
      </c>
      <c r="I33" s="147"/>
      <c r="J33" s="97" t="s">
        <v>66</v>
      </c>
      <c r="L33" s="142">
        <f>IF(COUNTIF(I33:J33,"X"),MAX($L$13:L30)+1,"")</f>
        <v>3</v>
      </c>
    </row>
    <row r="34" spans="1:12" x14ac:dyDescent="0.2">
      <c r="A34" s="84">
        <f>B10+12</f>
        <v>43477</v>
      </c>
      <c r="B34" s="58"/>
      <c r="C34" s="58"/>
      <c r="D34" s="58"/>
      <c r="E34" s="58"/>
      <c r="F34" s="58"/>
      <c r="G34" s="58"/>
      <c r="H34" s="100">
        <f>IF(ISNA(VLOOKUP($A34,'Calendrier annuel'!$AF$11:$AH$21,3,FALSE)),IF(J34="CONGÉ",'Congés de l''employé'!$E$16,IF($J34="MALADIE",'Congés de l''employé'!$E$18,MOD($E34-($B34-($C34-$D34))+($G34-$F34),1))),VLOOKUP($A34,'Calendrier annuel'!$AF$11:$AH$21,3,FALSE))</f>
        <v>0</v>
      </c>
      <c r="I34" s="147"/>
      <c r="J34" s="97"/>
      <c r="L34" s="142" t="str">
        <f>IF(COUNTIF(I34:J34,"X"),MAX($L$13:L31)+1,"")</f>
        <v/>
      </c>
    </row>
    <row r="35" spans="1:12" ht="15" thickBot="1" x14ac:dyDescent="0.25">
      <c r="A35" s="85">
        <f>B10+13</f>
        <v>43478</v>
      </c>
      <c r="B35" s="59"/>
      <c r="C35" s="59"/>
      <c r="D35" s="59"/>
      <c r="E35" s="59"/>
      <c r="F35" s="59"/>
      <c r="G35" s="59"/>
      <c r="H35" s="101">
        <f>IF(ISNA(VLOOKUP($A35,'Calendrier annuel'!$AF$11:$AH$21,3,FALSE)),IF(J35="CONGÉ",'Congés de l''employé'!$E$16,IF($J35="MALADIE",'Congés de l''employé'!$E$18,MOD($E35-($B35-($C35-$D35))+($G35-$F35),1))),VLOOKUP($A35,'Calendrier annuel'!$AF$11:$AH$21,3,FALSE))</f>
        <v>0</v>
      </c>
      <c r="I35" s="148"/>
      <c r="J35" s="98"/>
      <c r="L35" s="142" t="str">
        <f>IF(COUNTIF(I35:J35,"X"),MAX($L$13:L32)+1,"")</f>
        <v/>
      </c>
    </row>
    <row r="36" spans="1:12" x14ac:dyDescent="0.2">
      <c r="A36" s="65"/>
      <c r="B36" s="63"/>
      <c r="C36" s="63"/>
      <c r="D36" s="63"/>
      <c r="E36" s="63"/>
      <c r="F36" s="63"/>
      <c r="G36" s="63"/>
      <c r="H36" s="69">
        <f>SUM(H29:H35)</f>
        <v>0</v>
      </c>
      <c r="I36" s="69"/>
      <c r="J36" s="64"/>
    </row>
    <row r="37" spans="1:12" x14ac:dyDescent="0.2">
      <c r="A37" s="65"/>
      <c r="B37" s="63"/>
      <c r="C37" s="63"/>
      <c r="D37" s="63"/>
      <c r="E37" s="63"/>
      <c r="F37" s="63"/>
      <c r="G37" s="63"/>
      <c r="H37" s="64"/>
      <c r="I37" s="64"/>
      <c r="J37" s="64"/>
    </row>
    <row r="38" spans="1:12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145"/>
      <c r="J38" s="64"/>
    </row>
    <row r="39" spans="1:12" ht="15" thickBot="1" x14ac:dyDescent="0.25"/>
    <row r="40" spans="1:12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23</v>
      </c>
      <c r="F40" s="78" t="s">
        <v>18</v>
      </c>
      <c r="G40" s="133" t="s">
        <v>19</v>
      </c>
      <c r="H40" s="134"/>
      <c r="I40" s="146"/>
    </row>
    <row r="41" spans="1:12" x14ac:dyDescent="0.2">
      <c r="A41" s="125">
        <f>$H$23+$H$36</f>
        <v>0.33333333333333331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v>0</v>
      </c>
      <c r="F41" s="127">
        <f>$A$41-$C$41</f>
        <v>0.33333333333333331</v>
      </c>
      <c r="G41" s="135">
        <f>$E$41+$F$41</f>
        <v>0.33333333333333331</v>
      </c>
      <c r="H41" s="136"/>
      <c r="I41" s="89"/>
    </row>
    <row r="42" spans="1:12" ht="15" thickBot="1" x14ac:dyDescent="0.25">
      <c r="A42" s="126"/>
      <c r="B42" s="131"/>
      <c r="C42" s="128"/>
      <c r="D42" s="128"/>
      <c r="E42" s="128"/>
      <c r="F42" s="128"/>
      <c r="G42" s="137"/>
      <c r="H42" s="138"/>
      <c r="I42" s="89"/>
    </row>
    <row r="43" spans="1:12" x14ac:dyDescent="0.2">
      <c r="A43" s="9"/>
      <c r="B43" s="129"/>
      <c r="C43" s="129"/>
      <c r="D43" s="9"/>
      <c r="E43" s="10"/>
      <c r="F43" s="10"/>
      <c r="G43" s="10"/>
      <c r="H43" s="11"/>
      <c r="I43" s="11"/>
    </row>
    <row r="44" spans="1:12" ht="14.25" customHeight="1" x14ac:dyDescent="0.2">
      <c r="A44" s="1"/>
    </row>
    <row r="45" spans="1:12" x14ac:dyDescent="0.2">
      <c r="A45" s="1"/>
    </row>
    <row r="46" spans="1:12" ht="7.5" customHeight="1" x14ac:dyDescent="0.2">
      <c r="A46" s="1"/>
    </row>
    <row r="47" spans="1:12" ht="14.25" customHeight="1" x14ac:dyDescent="0.2">
      <c r="A47" s="1"/>
    </row>
    <row r="48" spans="1:12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2">
    <mergeCell ref="B10:D10"/>
    <mergeCell ref="C41:C42"/>
    <mergeCell ref="G40:H40"/>
    <mergeCell ref="G41:H42"/>
    <mergeCell ref="C2:H5"/>
    <mergeCell ref="E8:H8"/>
    <mergeCell ref="A41:A42"/>
    <mergeCell ref="E41:E42"/>
    <mergeCell ref="F41:F42"/>
    <mergeCell ref="B43:C43"/>
    <mergeCell ref="B41:B42"/>
    <mergeCell ref="D41:D42"/>
  </mergeCells>
  <conditionalFormatting sqref="H26:I26">
    <cfRule type="cellIs" dxfId="313" priority="29" operator="lessThan">
      <formula>0</formula>
    </cfRule>
  </conditionalFormatting>
  <conditionalFormatting sqref="H38:I38">
    <cfRule type="cellIs" dxfId="312" priority="28" operator="lessThan">
      <formula>0</formula>
    </cfRule>
  </conditionalFormatting>
  <conditionalFormatting sqref="B15">
    <cfRule type="expression" dxfId="311" priority="23">
      <formula>ISBLANK($B$15)</formula>
    </cfRule>
  </conditionalFormatting>
  <conditionalFormatting sqref="B28">
    <cfRule type="expression" dxfId="310" priority="22">
      <formula>ISBLANK($B$28)</formula>
    </cfRule>
  </conditionalFormatting>
  <conditionalFormatting sqref="B41">
    <cfRule type="expression" dxfId="309" priority="19">
      <formula>ISBLANK($B$41)</formula>
    </cfRule>
  </conditionalFormatting>
  <conditionalFormatting sqref="G41">
    <cfRule type="expression" dxfId="308" priority="18">
      <formula>ISBLANK($G$41)</formula>
    </cfRule>
  </conditionalFormatting>
  <conditionalFormatting sqref="D41:D42">
    <cfRule type="cellIs" dxfId="307" priority="17" operator="lessThan">
      <formula>0</formula>
    </cfRule>
  </conditionalFormatting>
  <conditionalFormatting sqref="C41:C42">
    <cfRule type="cellIs" dxfId="306" priority="16" operator="lessThan">
      <formula>0</formula>
    </cfRule>
  </conditionalFormatting>
  <conditionalFormatting sqref="A16">
    <cfRule type="expression" dxfId="305" priority="11">
      <formula>OR(A16=$AF$10,A16=$AF$12,A16=$AF$13,A16=$AF$15,A16=$AF$17,A16=$AF$18,A16=$AF$19,A16=$AF$20)</formula>
    </cfRule>
  </conditionalFormatting>
  <conditionalFormatting sqref="A17:A22">
    <cfRule type="expression" dxfId="304" priority="6">
      <formula>OR(A17=$AF$10,A17=$AF$12,A17=$AF$13,A17=$AF$15,A17=$AF$17,A17=$AF$18,A17=$AF$19,A17=$AF$20)</formula>
    </cfRule>
  </conditionalFormatting>
  <conditionalFormatting sqref="A29:A35">
    <cfRule type="expression" dxfId="303" priority="4">
      <formula>OR(A29=$AF$10,A29=$AF$12,A29=$AF$13,A29=$AF$15,A29=$AF$17,A29=$AF$18,A29=$AF$19,A29=$AF$20)</formula>
    </cfRule>
  </conditionalFormatting>
  <conditionalFormatting sqref="A16:I16 A29:I35 A18:I22 A17:H17">
    <cfRule type="expression" dxfId="302" priority="409">
      <formula>OR($A16:$H16=$AF$10,$A16:$H16=$AF$12,$A16:$H16=$AF$13,$A16:$H16=$AF$15,$A16:$H16=$AF$17,$A16:$H16=$AF$18,$A16:$H16=$AF$19,$A16:$H16=$AF$20)</formula>
    </cfRule>
  </conditionalFormatting>
  <conditionalFormatting sqref="I17">
    <cfRule type="expression" dxfId="301" priority="2">
      <formula>OR($A17:$H17=$AF$10,$A17:$H17=$AF$12,$A17:$H17=$AF$13,$A17:$H17=$AF$15,$A17:$H17=$AF$17,$A17:$H17=$AF$18,$A17:$H17=$AF$19,$A17:$H17=$AF$20)</formula>
    </cfRule>
  </conditionalFormatting>
  <conditionalFormatting sqref="J17">
    <cfRule type="expression" dxfId="300" priority="1">
      <formula>OR($A17:$H17=$AF$10,$A17:$H17=$AF$12,$A17:$H17=$AF$13,$A17:$H17=$AF$15,$A17:$H17=$AF$17,$A17:$H17=$AF$18,$A17:$H17=$AF$19,$A17:$H17=$AF$20)</formula>
    </cfRule>
  </conditionalFormatting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A7A11-D588-4EBD-9861-C7C582059A5B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3.5703125" style="1" bestFit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DATE(An_ref,1,-2)-WEEKDAY(DATE(An_ref,1,3))+21</f>
        <v>43479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>
        <f>IF(MAX('Janvier - 2prem. semaines'!$L$14:L35)=0,'Janvier - 2prem. semaines'!M14,MAX('Janvier - 2prem. semaines'!$L$14:L35))</f>
        <v>3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43479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</v>
      </c>
      <c r="I16" s="97"/>
      <c r="K16" s="142" t="str">
        <f t="shared" ref="K16:K35" si="0">IF(I16&lt;&gt;"",1+$K$14,"")</f>
        <v/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43480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 t="shared" si="0"/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43481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</v>
      </c>
      <c r="I18" s="97"/>
      <c r="K18" s="142" t="str">
        <f t="shared" si="0"/>
        <v/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43482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 t="shared" si="0"/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43483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 t="shared" si="0"/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43484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 t="shared" si="0"/>
        <v/>
      </c>
    </row>
    <row r="22" spans="1:33" ht="15" thickBot="1" x14ac:dyDescent="0.25">
      <c r="A22" s="85">
        <f>$B$10+6</f>
        <v>43485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 t="shared" si="0"/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</v>
      </c>
      <c r="I23" s="64"/>
      <c r="K23" s="142" t="str">
        <f t="shared" si="0"/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 t="shared" si="0"/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 t="shared" si="0"/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 t="shared" si="0"/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 t="shared" si="0"/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 t="shared" si="0"/>
        <v/>
      </c>
    </row>
    <row r="29" spans="1:33" x14ac:dyDescent="0.2">
      <c r="A29" s="84">
        <f>B10+7</f>
        <v>43486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</v>
      </c>
      <c r="I29" s="97"/>
      <c r="K29" s="142" t="str">
        <f t="shared" si="0"/>
        <v/>
      </c>
    </row>
    <row r="30" spans="1:33" x14ac:dyDescent="0.2">
      <c r="A30" s="84">
        <f>B10+8</f>
        <v>43487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 t="shared" si="0"/>
        <v/>
      </c>
    </row>
    <row r="31" spans="1:33" x14ac:dyDescent="0.2">
      <c r="A31" s="84">
        <f>B10+9</f>
        <v>43488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 t="shared" si="0"/>
        <v/>
      </c>
    </row>
    <row r="32" spans="1:33" x14ac:dyDescent="0.2">
      <c r="A32" s="84">
        <f>B10+10</f>
        <v>43489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 t="shared" si="0"/>
        <v/>
      </c>
    </row>
    <row r="33" spans="1:11" x14ac:dyDescent="0.2">
      <c r="A33" s="84">
        <f>B10+11</f>
        <v>43490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 t="shared" si="0"/>
        <v/>
      </c>
    </row>
    <row r="34" spans="1:11" x14ac:dyDescent="0.2">
      <c r="A34" s="84">
        <f>B10+12</f>
        <v>43491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 t="shared" si="0"/>
        <v/>
      </c>
    </row>
    <row r="35" spans="1:11" ht="15" thickBot="1" x14ac:dyDescent="0.25">
      <c r="A35" s="85">
        <f>B10+13</f>
        <v>43492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 t="shared" si="0"/>
        <v>4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0.33333333333333331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23</v>
      </c>
      <c r="F40" s="78" t="s">
        <v>18</v>
      </c>
      <c r="G40" s="133" t="s">
        <v>19</v>
      </c>
      <c r="H40" s="134"/>
    </row>
    <row r="41" spans="1:11" x14ac:dyDescent="0.2">
      <c r="A41" s="125">
        <f>$H$23+$H$36</f>
        <v>0.33333333333333331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'Janvier - 2prem. semaines'!E41:E42+'Janvier - 2prem. semaines'!D41:D42</f>
        <v>0</v>
      </c>
      <c r="F41" s="127">
        <f>$A$41-$C$41</f>
        <v>0.33333333333333331</v>
      </c>
      <c r="G41" s="135">
        <f>$E$41+$F$41</f>
        <v>0.33333333333333331</v>
      </c>
      <c r="H41" s="136"/>
    </row>
    <row r="42" spans="1:11" ht="15" thickBot="1" x14ac:dyDescent="0.25">
      <c r="A42" s="126"/>
      <c r="B42" s="131"/>
      <c r="C42" s="128"/>
      <c r="D42" s="128"/>
      <c r="E42" s="128"/>
      <c r="F42" s="128"/>
      <c r="G42" s="137"/>
      <c r="H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2">
    <mergeCell ref="A41:A42"/>
    <mergeCell ref="B41:B42"/>
    <mergeCell ref="C41:C42"/>
    <mergeCell ref="D41:D42"/>
    <mergeCell ref="E41:E42"/>
    <mergeCell ref="G41:H42"/>
    <mergeCell ref="B43:C43"/>
    <mergeCell ref="C2:H5"/>
    <mergeCell ref="E8:H8"/>
    <mergeCell ref="B10:D10"/>
    <mergeCell ref="G40:H40"/>
    <mergeCell ref="F41:F42"/>
  </mergeCells>
  <conditionalFormatting sqref="B41">
    <cfRule type="expression" dxfId="299" priority="60">
      <formula>ISBLANK($B$41)</formula>
    </cfRule>
  </conditionalFormatting>
  <conditionalFormatting sqref="G41">
    <cfRule type="expression" dxfId="298" priority="59">
      <formula>ISBLANK($G$41)</formula>
    </cfRule>
  </conditionalFormatting>
  <conditionalFormatting sqref="D41:D42">
    <cfRule type="cellIs" dxfId="297" priority="58" operator="lessThan">
      <formula>0</formula>
    </cfRule>
  </conditionalFormatting>
  <conditionalFormatting sqref="C41:C42">
    <cfRule type="cellIs" dxfId="296" priority="57" operator="lessThan">
      <formula>0</formula>
    </cfRule>
  </conditionalFormatting>
  <conditionalFormatting sqref="H26">
    <cfRule type="cellIs" dxfId="295" priority="7" operator="lessThan">
      <formula>0</formula>
    </cfRule>
  </conditionalFormatting>
  <conditionalFormatting sqref="H38">
    <cfRule type="cellIs" dxfId="294" priority="6" operator="lessThan">
      <formula>0</formula>
    </cfRule>
  </conditionalFormatting>
  <conditionalFormatting sqref="B15">
    <cfRule type="expression" dxfId="293" priority="5">
      <formula>ISBLANK($B$15)</formula>
    </cfRule>
  </conditionalFormatting>
  <conditionalFormatting sqref="B28">
    <cfRule type="expression" dxfId="292" priority="4">
      <formula>ISBLANK($B$28)</formula>
    </cfRule>
  </conditionalFormatting>
  <conditionalFormatting sqref="A16">
    <cfRule type="expression" dxfId="291" priority="3">
      <formula>OR(A16=$AE$10,A16=$AE$12,A16=$AE$13,A16=$AE$15,A16=$AE$17,A16=$AE$18,A16=$AE$19,A16=$AE$20)</formula>
    </cfRule>
  </conditionalFormatting>
  <conditionalFormatting sqref="A17:A22">
    <cfRule type="expression" dxfId="290" priority="2">
      <formula>OR(A17=$AE$10,A17=$AE$12,A17=$AE$13,A17=$AE$15,A17=$AE$17,A17=$AE$18,A17=$AE$19,A17=$AE$20)</formula>
    </cfRule>
  </conditionalFormatting>
  <conditionalFormatting sqref="A29:A35">
    <cfRule type="expression" dxfId="289" priority="1">
      <formula>OR(A29=$AE$10,A29=$AE$12,A29=$AE$13,A29=$AE$15,A29=$AE$17,A29=$AE$18,A29=$AE$19,A29=$AE$20)</formula>
    </cfRule>
  </conditionalFormatting>
  <conditionalFormatting sqref="A16:H22 A29:H35">
    <cfRule type="expression" dxfId="288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47F93653-2A80-4568-BEF0-B8FF1EBD47C6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05CF-81DA-48DA-8C1B-1DEAF4819BB3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3.5703125" style="1" bestFit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DATE(An_ref,1,-2)-WEEKDAY(DATE(An_ref,1,3))+35</f>
        <v>43493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IF(MAX('Janvier - 2dern. semaines'!K16:K35)=0,'Janvier - 2dern. semaines'!K14,MAX('Janvier - 2dern. semaines'!K16:K35))</f>
        <v>4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43493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5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43494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43495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6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43496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43497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43498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43499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43500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7</v>
      </c>
    </row>
    <row r="30" spans="1:33" x14ac:dyDescent="0.2">
      <c r="A30" s="84">
        <f>B10+8</f>
        <v>43501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43502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43503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43504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43505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43506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8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SUM('Janvier - 2dern. semaines'!G41:H42)+$E$41</f>
        <v>1.6666666666666665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F41:G42"/>
    <mergeCell ref="B43:C43"/>
    <mergeCell ref="C2:H5"/>
    <mergeCell ref="E8:H8"/>
    <mergeCell ref="B10:D10"/>
    <mergeCell ref="F40:G40"/>
  </mergeCells>
  <conditionalFormatting sqref="B41">
    <cfRule type="expression" dxfId="287" priority="48">
      <formula>ISBLANK($B$41)</formula>
    </cfRule>
  </conditionalFormatting>
  <conditionalFormatting sqref="F41">
    <cfRule type="expression" dxfId="286" priority="47">
      <formula>ISBLANK($F$41)</formula>
    </cfRule>
  </conditionalFormatting>
  <conditionalFormatting sqref="D41:D42">
    <cfRule type="cellIs" dxfId="285" priority="46" operator="lessThan">
      <formula>0</formula>
    </cfRule>
  </conditionalFormatting>
  <conditionalFormatting sqref="C41:C42">
    <cfRule type="cellIs" dxfId="284" priority="45" operator="lessThan">
      <formula>0</formula>
    </cfRule>
  </conditionalFormatting>
  <conditionalFormatting sqref="H26">
    <cfRule type="cellIs" dxfId="283" priority="7" operator="lessThan">
      <formula>0</formula>
    </cfRule>
  </conditionalFormatting>
  <conditionalFormatting sqref="H38">
    <cfRule type="cellIs" dxfId="282" priority="6" operator="lessThan">
      <formula>0</formula>
    </cfRule>
  </conditionalFormatting>
  <conditionalFormatting sqref="B15">
    <cfRule type="expression" dxfId="281" priority="5">
      <formula>ISBLANK($B$15)</formula>
    </cfRule>
  </conditionalFormatting>
  <conditionalFormatting sqref="B28">
    <cfRule type="expression" dxfId="280" priority="4">
      <formula>ISBLANK($B$28)</formula>
    </cfRule>
  </conditionalFormatting>
  <conditionalFormatting sqref="A16">
    <cfRule type="expression" dxfId="279" priority="3">
      <formula>OR(A16=$AE$10,A16=$AE$12,A16=$AE$13,A16=$AE$15,A16=$AE$17,A16=$AE$18,A16=$AE$19,A16=$AE$20)</formula>
    </cfRule>
  </conditionalFormatting>
  <conditionalFormatting sqref="A17:A22">
    <cfRule type="expression" dxfId="278" priority="2">
      <formula>OR(A17=$AE$10,A17=$AE$12,A17=$AE$13,A17=$AE$15,A17=$AE$17,A17=$AE$18,A17=$AE$19,A17=$AE$20)</formula>
    </cfRule>
  </conditionalFormatting>
  <conditionalFormatting sqref="A29:A35">
    <cfRule type="expression" dxfId="277" priority="1">
      <formula>OR(A29=$AE$10,A29=$AE$12,A29=$AE$13,A29=$AE$15,A29=$AE$17,A29=$AE$18,A29=$AE$19,A29=$AE$20)</formula>
    </cfRule>
  </conditionalFormatting>
  <conditionalFormatting sqref="A16:H22 A29:H35">
    <cfRule type="expression" dxfId="276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FDC67F05-1A78-47B5-87AC-03BDC47142CE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C723-FD9A-4892-A62A-62C6FE796BCD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3.5703125" style="1" bestFit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DATE(An_ref,1,-2)-WEEKDAY(DATE(An_ref,1,3))+49</f>
        <v>43507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MAX('Fin Jan.-Février - 2prem. sem.'!K16:K35)</f>
        <v>8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43507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9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43508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43509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10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43510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43511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43512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43513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43514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11</v>
      </c>
    </row>
    <row r="30" spans="1:33" x14ac:dyDescent="0.2">
      <c r="A30" s="84">
        <f>B10+8</f>
        <v>43515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43516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43517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43518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43519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43520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12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SUM('Fin Jan.-Février - 2prem. sem.'!F41:G42)+E41</f>
        <v>3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F41:G42"/>
    <mergeCell ref="B43:C43"/>
    <mergeCell ref="C2:H5"/>
    <mergeCell ref="E8:H8"/>
    <mergeCell ref="B10:D10"/>
    <mergeCell ref="F40:G40"/>
  </mergeCells>
  <conditionalFormatting sqref="B41">
    <cfRule type="expression" dxfId="275" priority="48">
      <formula>ISBLANK($B$41)</formula>
    </cfRule>
  </conditionalFormatting>
  <conditionalFormatting sqref="F41">
    <cfRule type="expression" dxfId="274" priority="47">
      <formula>ISBLANK($F$41)</formula>
    </cfRule>
  </conditionalFormatting>
  <conditionalFormatting sqref="D41:D42">
    <cfRule type="cellIs" dxfId="273" priority="46" operator="lessThan">
      <formula>0</formula>
    </cfRule>
  </conditionalFormatting>
  <conditionalFormatting sqref="C41:C42">
    <cfRule type="cellIs" dxfId="272" priority="45" operator="lessThan">
      <formula>0</formula>
    </cfRule>
  </conditionalFormatting>
  <conditionalFormatting sqref="H26">
    <cfRule type="cellIs" dxfId="271" priority="7" operator="lessThan">
      <formula>0</formula>
    </cfRule>
  </conditionalFormatting>
  <conditionalFormatting sqref="H38">
    <cfRule type="cellIs" dxfId="270" priority="6" operator="lessThan">
      <formula>0</formula>
    </cfRule>
  </conditionalFormatting>
  <conditionalFormatting sqref="B15">
    <cfRule type="expression" dxfId="269" priority="5">
      <formula>ISBLANK($B$15)</formula>
    </cfRule>
  </conditionalFormatting>
  <conditionalFormatting sqref="B28">
    <cfRule type="expression" dxfId="268" priority="4">
      <formula>ISBLANK($B$28)</formula>
    </cfRule>
  </conditionalFormatting>
  <conditionalFormatting sqref="A16">
    <cfRule type="expression" dxfId="267" priority="3">
      <formula>OR(A16=$AE$10,A16=$AE$12,A16=$AE$13,A16=$AE$15,A16=$AE$17,A16=$AE$18,A16=$AE$19,A16=$AE$20)</formula>
    </cfRule>
  </conditionalFormatting>
  <conditionalFormatting sqref="A17:A22">
    <cfRule type="expression" dxfId="266" priority="2">
      <formula>OR(A17=$AE$10,A17=$AE$12,A17=$AE$13,A17=$AE$15,A17=$AE$17,A17=$AE$18,A17=$AE$19,A17=$AE$20)</formula>
    </cfRule>
  </conditionalFormatting>
  <conditionalFormatting sqref="A29:A35">
    <cfRule type="expression" dxfId="265" priority="1">
      <formula>OR(A29=$AE$10,A29=$AE$12,A29=$AE$13,A29=$AE$15,A29=$AE$17,A29=$AE$18,A29=$AE$19,A29=$AE$20)</formula>
    </cfRule>
  </conditionalFormatting>
  <conditionalFormatting sqref="A16:H22 A29:H35">
    <cfRule type="expression" dxfId="264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F4979849-6125-436E-A576-3A4FD2750A42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F804-9201-468C-859D-EEF6870190F3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DATE(An_ref,1,-2)-WEEKDAY(DATE(An_ref,1,3))+63</f>
        <v>43521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MAX('Février - 2e-3e semaine'!K16:K35)</f>
        <v>12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43521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13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43522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43523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14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43524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43525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43526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43527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43528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15</v>
      </c>
    </row>
    <row r="30" spans="1:33" x14ac:dyDescent="0.2">
      <c r="A30" s="84">
        <f>B10+8</f>
        <v>43529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43530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43531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43532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43533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43534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16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SUM('Février - 2e-3e semaine'!F41:G42)+E41</f>
        <v>4.333333333333333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C2:H5"/>
    <mergeCell ref="E8:H8"/>
    <mergeCell ref="B10:D10"/>
    <mergeCell ref="B43:C43"/>
    <mergeCell ref="F40:G40"/>
    <mergeCell ref="F41:G42"/>
    <mergeCell ref="A41:A42"/>
    <mergeCell ref="B41:B42"/>
    <mergeCell ref="C41:C42"/>
    <mergeCell ref="D41:D42"/>
    <mergeCell ref="E41:E42"/>
  </mergeCells>
  <conditionalFormatting sqref="B41">
    <cfRule type="expression" dxfId="263" priority="48">
      <formula>ISBLANK($B$41)</formula>
    </cfRule>
  </conditionalFormatting>
  <conditionalFormatting sqref="F41">
    <cfRule type="expression" dxfId="262" priority="47">
      <formula>ISBLANK($F$41)</formula>
    </cfRule>
  </conditionalFormatting>
  <conditionalFormatting sqref="D41:D42">
    <cfRule type="cellIs" dxfId="261" priority="46" operator="lessThan">
      <formula>0</formula>
    </cfRule>
  </conditionalFormatting>
  <conditionalFormatting sqref="C41:C42">
    <cfRule type="cellIs" dxfId="260" priority="45" operator="lessThan">
      <formula>0</formula>
    </cfRule>
  </conditionalFormatting>
  <conditionalFormatting sqref="H26">
    <cfRule type="cellIs" dxfId="259" priority="7" operator="lessThan">
      <formula>0</formula>
    </cfRule>
  </conditionalFormatting>
  <conditionalFormatting sqref="H38">
    <cfRule type="cellIs" dxfId="258" priority="6" operator="lessThan">
      <formula>0</formula>
    </cfRule>
  </conditionalFormatting>
  <conditionalFormatting sqref="B15">
    <cfRule type="expression" dxfId="257" priority="5">
      <formula>ISBLANK($B$15)</formula>
    </cfRule>
  </conditionalFormatting>
  <conditionalFormatting sqref="B28">
    <cfRule type="expression" dxfId="256" priority="4">
      <formula>ISBLANK($B$28)</formula>
    </cfRule>
  </conditionalFormatting>
  <conditionalFormatting sqref="A16">
    <cfRule type="expression" dxfId="255" priority="3">
      <formula>OR(A16=$AE$10,A16=$AE$12,A16=$AE$13,A16=$AE$15,A16=$AE$17,A16=$AE$18,A16=$AE$19,A16=$AE$20)</formula>
    </cfRule>
  </conditionalFormatting>
  <conditionalFormatting sqref="A17:A22">
    <cfRule type="expression" dxfId="254" priority="2">
      <formula>OR(A17=$AE$10,A17=$AE$12,A17=$AE$13,A17=$AE$15,A17=$AE$17,A17=$AE$18,A17=$AE$19,A17=$AE$20)</formula>
    </cfRule>
  </conditionalFormatting>
  <conditionalFormatting sqref="A29:A35">
    <cfRule type="expression" dxfId="253" priority="1">
      <formula>OR(A29=$AE$10,A29=$AE$12,A29=$AE$13,A29=$AE$15,A29=$AE$17,A29=$AE$18,A29=$AE$19,A29=$AE$20)</formula>
    </cfRule>
  </conditionalFormatting>
  <conditionalFormatting sqref="A16:H22 A29:H35">
    <cfRule type="expression" dxfId="252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2D429F20-741A-4418-BABC-B4395D6F0827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BE3EE-645E-4DEF-89AA-AFCC0BD67479}">
  <dimension ref="A1:AG72"/>
  <sheetViews>
    <sheetView showGridLines="0" workbookViewId="0">
      <pane ySplit="14" topLeftCell="A15" activePane="bottomLeft" state="frozen"/>
      <selection activeCell="AE24" sqref="AE24"/>
      <selection pane="bottomLeft" activeCell="AE24" sqref="AE24"/>
    </sheetView>
  </sheetViews>
  <sheetFormatPr baseColWidth="10" defaultColWidth="11.42578125" defaultRowHeight="14.25" x14ac:dyDescent="0.2"/>
  <cols>
    <col min="1" max="1" width="30.7109375" style="16" customWidth="1"/>
    <col min="2" max="2" width="16.7109375" style="1" bestFit="1" customWidth="1"/>
    <col min="3" max="3" width="20.5703125" style="1" customWidth="1"/>
    <col min="4" max="4" width="18.140625" style="1" customWidth="1"/>
    <col min="5" max="5" width="19.42578125" style="1" bestFit="1" customWidth="1"/>
    <col min="6" max="6" width="19.7109375" style="1" bestFit="1" customWidth="1"/>
    <col min="7" max="7" width="14" style="1" bestFit="1" customWidth="1"/>
    <col min="8" max="8" width="15" style="1" customWidth="1"/>
    <col min="9" max="9" width="11.42578125" style="93"/>
    <col min="10" max="10" width="19.140625" style="1" bestFit="1" customWidth="1"/>
    <col min="11" max="11" width="11.42578125" style="1"/>
    <col min="12" max="12" width="29.85546875" style="1" customWidth="1"/>
    <col min="13" max="29" width="11.42578125" style="1"/>
    <col min="30" max="30" width="14.140625" style="1" bestFit="1" customWidth="1"/>
    <col min="31" max="31" width="32.28515625" style="1" bestFit="1" customWidth="1"/>
    <col min="32" max="32" width="30.28515625" style="1" customWidth="1"/>
    <col min="33" max="33" width="22.85546875" style="1" bestFit="1" customWidth="1"/>
    <col min="34" max="16384" width="11.42578125" style="1"/>
  </cols>
  <sheetData>
    <row r="1" spans="1:33" ht="15" customHeight="1" x14ac:dyDescent="0.2">
      <c r="E1" s="14"/>
      <c r="F1" s="14"/>
    </row>
    <row r="2" spans="1:33" ht="14.25" customHeight="1" x14ac:dyDescent="0.2">
      <c r="C2" s="141" t="s">
        <v>53</v>
      </c>
      <c r="D2" s="141"/>
      <c r="E2" s="141"/>
      <c r="F2" s="141"/>
      <c r="G2" s="141"/>
      <c r="H2" s="141"/>
      <c r="I2" s="86"/>
    </row>
    <row r="3" spans="1:33" ht="14.25" customHeight="1" x14ac:dyDescent="0.2">
      <c r="C3" s="141"/>
      <c r="D3" s="141"/>
      <c r="E3" s="141"/>
      <c r="F3" s="141"/>
      <c r="G3" s="141"/>
      <c r="H3" s="141"/>
      <c r="I3" s="86"/>
    </row>
    <row r="4" spans="1:33" ht="14.25" customHeight="1" x14ac:dyDescent="0.2">
      <c r="C4" s="141"/>
      <c r="D4" s="141"/>
      <c r="E4" s="141"/>
      <c r="F4" s="141"/>
      <c r="G4" s="141"/>
      <c r="H4" s="141"/>
      <c r="I4" s="86"/>
    </row>
    <row r="5" spans="1:33" ht="14.25" customHeight="1" x14ac:dyDescent="0.2">
      <c r="C5" s="141"/>
      <c r="D5" s="141"/>
      <c r="E5" s="141"/>
      <c r="F5" s="141"/>
      <c r="G5" s="141"/>
      <c r="H5" s="141"/>
      <c r="I5" s="86"/>
    </row>
    <row r="7" spans="1:33" ht="13.9" customHeight="1" x14ac:dyDescent="0.2"/>
    <row r="8" spans="1:33" ht="23.25" customHeight="1" x14ac:dyDescent="0.2">
      <c r="A8" s="6"/>
      <c r="B8" s="6"/>
      <c r="C8" s="6"/>
      <c r="D8" s="6"/>
      <c r="E8" s="140"/>
      <c r="F8" s="140"/>
      <c r="G8" s="140"/>
      <c r="H8" s="140"/>
      <c r="J8" s="74"/>
      <c r="L8" s="74"/>
    </row>
    <row r="9" spans="1:33" ht="18" x14ac:dyDescent="0.2">
      <c r="A9" s="17" t="s">
        <v>1</v>
      </c>
      <c r="B9" s="54">
        <f>'Congés de l''employé'!B8</f>
        <v>0</v>
      </c>
      <c r="C9" s="22"/>
      <c r="D9" s="22"/>
      <c r="E9" s="22"/>
      <c r="F9" s="21"/>
      <c r="G9" s="21"/>
      <c r="J9" s="73"/>
      <c r="L9" s="76"/>
      <c r="AG9" s="50" t="s">
        <v>43</v>
      </c>
    </row>
    <row r="10" spans="1:33" ht="18" x14ac:dyDescent="0.2">
      <c r="A10" s="15" t="s">
        <v>11</v>
      </c>
      <c r="B10" s="132">
        <f>DATE(An_ref,1,-2)-WEEKDAY(DATE(An_ref,1,3))+77</f>
        <v>43535</v>
      </c>
      <c r="C10" s="132"/>
      <c r="D10" s="132"/>
      <c r="E10" s="18"/>
      <c r="F10" s="18"/>
      <c r="G10" s="18"/>
      <c r="H10" s="73"/>
      <c r="AB10" s="1" t="b">
        <f>OR(A16=$AF$10,A16=$AF$12,A16=$AF$13,A16=$AF$15,A16=$AF$17,A16=$AF$18,A16=$AF$19,A16=$AF$20)</f>
        <v>0</v>
      </c>
      <c r="AD10" s="48" t="s">
        <v>35</v>
      </c>
      <c r="AE10" s="48" t="s">
        <v>26</v>
      </c>
      <c r="AF10" s="49">
        <f>DATE(Année,1,1)</f>
        <v>43466</v>
      </c>
      <c r="AG10" s="50"/>
    </row>
    <row r="11" spans="1:33" ht="18" x14ac:dyDescent="0.2">
      <c r="A11" s="17"/>
      <c r="B11" s="18"/>
      <c r="C11" s="18"/>
      <c r="D11" s="18"/>
      <c r="E11" s="18"/>
      <c r="F11" s="18"/>
      <c r="G11" s="18"/>
      <c r="J11" s="75"/>
      <c r="AD11" s="40"/>
      <c r="AE11" s="40" t="s">
        <v>49</v>
      </c>
      <c r="AF11" s="45">
        <f>DATE(Année,3,29.56+0.979*MOD(204-11*MOD(Année,19),30)-
WEEKDAY(DATE(Année,3,28.56+0.979*MOD(204-11*MOD(Année,19),30))))</f>
        <v>43576</v>
      </c>
      <c r="AG11" s="50"/>
    </row>
    <row r="12" spans="1:33" ht="15" thickBot="1" x14ac:dyDescent="0.25">
      <c r="AD12" s="48" t="s">
        <v>36</v>
      </c>
      <c r="AE12" s="48" t="s">
        <v>47</v>
      </c>
      <c r="AF12" s="49">
        <f>AF11+1</f>
        <v>43577</v>
      </c>
      <c r="AG12" s="50" t="s">
        <v>51</v>
      </c>
    </row>
    <row r="13" spans="1:33" ht="33.75" thickBot="1" x14ac:dyDescent="0.25">
      <c r="A13" s="79" t="s">
        <v>0</v>
      </c>
      <c r="B13" s="80" t="s">
        <v>2</v>
      </c>
      <c r="C13" s="80" t="s">
        <v>5</v>
      </c>
      <c r="D13" s="80" t="s">
        <v>6</v>
      </c>
      <c r="E13" s="80" t="s">
        <v>3</v>
      </c>
      <c r="F13" s="80" t="s">
        <v>20</v>
      </c>
      <c r="G13" s="80" t="s">
        <v>21</v>
      </c>
      <c r="H13" s="80" t="s">
        <v>4</v>
      </c>
      <c r="I13" s="102" t="s">
        <v>63</v>
      </c>
      <c r="K13" s="95" t="s">
        <v>65</v>
      </c>
      <c r="AD13" s="48" t="s">
        <v>37</v>
      </c>
      <c r="AE13" s="48" t="s">
        <v>27</v>
      </c>
      <c r="AF13" s="49">
        <f>DATE(Année,5,23)-WEEKDAY(DATE(Année,5,1),2)</f>
        <v>43605</v>
      </c>
      <c r="AG13" s="50" t="s">
        <v>46</v>
      </c>
    </row>
    <row r="14" spans="1:33" ht="16.5" thickBot="1" x14ac:dyDescent="0.25">
      <c r="A14" s="3"/>
      <c r="B14" s="4"/>
      <c r="C14" s="5"/>
      <c r="D14" s="5"/>
      <c r="E14" s="4"/>
      <c r="F14" s="4"/>
      <c r="G14" s="4"/>
      <c r="H14" s="7"/>
      <c r="I14" s="94"/>
      <c r="K14" s="142"/>
      <c r="L14" s="1">
        <f>MAX('Fin Fév.-Mars - 2prem. sem.'!K16:K35)</f>
        <v>16</v>
      </c>
      <c r="AD14" s="48"/>
      <c r="AE14" s="71" t="s">
        <v>28</v>
      </c>
      <c r="AF14" s="72">
        <f>DATE(Année,6,24)</f>
        <v>43640</v>
      </c>
      <c r="AG14" s="50" t="s">
        <v>45</v>
      </c>
    </row>
    <row r="15" spans="1:33" ht="15" x14ac:dyDescent="0.2">
      <c r="A15" s="55" t="s">
        <v>13</v>
      </c>
      <c r="B15" s="56"/>
      <c r="C15" s="57"/>
      <c r="D15" s="57"/>
      <c r="E15" s="57"/>
      <c r="F15" s="57"/>
      <c r="G15" s="57"/>
      <c r="H15" s="99"/>
      <c r="I15" s="96"/>
      <c r="K15" s="143" t="str">
        <f>IF(COUNTIF(I16,"X"),MAX($K$13:K13)+1,"")</f>
        <v/>
      </c>
      <c r="AD15" s="48" t="s">
        <v>38</v>
      </c>
      <c r="AE15" s="48" t="s">
        <v>28</v>
      </c>
      <c r="AF15" s="49">
        <f>AF14+2-WEEKDAY(AF14)+(WEEKDAY(AF14)&gt;2)*7</f>
        <v>43640</v>
      </c>
      <c r="AG15" s="50"/>
    </row>
    <row r="16" spans="1:33" x14ac:dyDescent="0.2">
      <c r="A16" s="84">
        <f>$B$10</f>
        <v>43535</v>
      </c>
      <c r="B16" s="58"/>
      <c r="C16" s="58"/>
      <c r="D16" s="58"/>
      <c r="E16" s="58"/>
      <c r="F16" s="58"/>
      <c r="G16" s="58"/>
      <c r="H16" s="100">
        <f>IF(ISNA(VLOOKUP($A16,'Calendrier annuel'!$AF$11:$AH$21,3,FALSE)),IF(I16="CONGÉ",'Congés de l''employé'!$E$16,IF($I16="MALADIE",'Congés de l''employé'!$E$18,MOD($E16-($B16-($C16-$D16))+($G16-$F16),1))),VLOOKUP($A16,'Calendrier annuel'!$AF$11:$AH$21,3,FALSE))</f>
        <v>0.33333333333333331</v>
      </c>
      <c r="I16" s="97" t="s">
        <v>64</v>
      </c>
      <c r="K16" s="142">
        <f>IF(I16&lt;&gt;"",1+MAX($L$14:L14),"")</f>
        <v>17</v>
      </c>
      <c r="AD16" s="48"/>
      <c r="AE16" s="71" t="s">
        <v>29</v>
      </c>
      <c r="AF16" s="72">
        <f>DATE(Année,7,1)</f>
        <v>43647</v>
      </c>
      <c r="AG16" s="50"/>
    </row>
    <row r="17" spans="1:33" x14ac:dyDescent="0.2">
      <c r="A17" s="84">
        <f>$B$10+1</f>
        <v>43536</v>
      </c>
      <c r="B17" s="58"/>
      <c r="C17" s="58"/>
      <c r="D17" s="58"/>
      <c r="E17" s="58"/>
      <c r="F17" s="58"/>
      <c r="G17" s="58"/>
      <c r="H17" s="100">
        <f>IF(ISNA(VLOOKUP($A17,'Calendrier annuel'!$AF$11:$AH$21,3,FALSE)),IF(I17="CONGÉ",'Congés de l''employé'!$E$16,IF($I17="MALADIE",'Congés de l''employé'!$E$18,MOD($E17-($B17-($C17-$D17))+($G17-$F17),1))),VLOOKUP($A17,'Calendrier annuel'!$AF$11:$AH$21,3,FALSE))</f>
        <v>0</v>
      </c>
      <c r="I17" s="97"/>
      <c r="K17" s="142" t="str">
        <f>IF(I17&lt;&gt;"",1+MAX($K$14:K15),"")</f>
        <v/>
      </c>
      <c r="AD17" s="48" t="s">
        <v>39</v>
      </c>
      <c r="AE17" s="48" t="s">
        <v>29</v>
      </c>
      <c r="AF17" s="49">
        <f>AF16+2-WEEKDAY(AF16)+(WEEKDAY(AF16)&gt;2)*7</f>
        <v>43647</v>
      </c>
      <c r="AG17" s="50" t="s">
        <v>44</v>
      </c>
    </row>
    <row r="18" spans="1:33" ht="15" x14ac:dyDescent="0.25">
      <c r="A18" s="84">
        <f>$B$10+2</f>
        <v>43537</v>
      </c>
      <c r="B18" s="58"/>
      <c r="C18" s="58"/>
      <c r="D18" s="58"/>
      <c r="E18" s="58"/>
      <c r="F18" s="58"/>
      <c r="G18" s="58"/>
      <c r="H18" s="100">
        <f>IF(ISNA(VLOOKUP($A18,'Calendrier annuel'!$AF$11:$AH$21,3,FALSE)),IF(I18="CONGÉ",'Congés de l''employé'!$E$16,IF($I18="MALADIE",'Congés de l''employé'!$E$18,MOD($E18-($B18-($C18-$D18))+($G18-$F18),1))),VLOOKUP($A18,'Calendrier annuel'!$AF$11:$AH$21,3,FALSE))</f>
        <v>0.33333333333333331</v>
      </c>
      <c r="I18" s="97" t="s">
        <v>64</v>
      </c>
      <c r="K18" s="142">
        <f>IF(I18&lt;&gt;"",1+MAX($K$14:K16),"")</f>
        <v>18</v>
      </c>
      <c r="AD18" s="48" t="s">
        <v>50</v>
      </c>
      <c r="AE18" s="48" t="s">
        <v>30</v>
      </c>
      <c r="AF18" s="49">
        <f>IF(MOD(DATE(Année,9,1),7)&lt;=2,2-MOD(DATE(Année,9,1),7),9-MOD(DATE(Année,9,1),7))+DATE(Année,9,1)</f>
        <v>43710</v>
      </c>
      <c r="AG18"/>
    </row>
    <row r="19" spans="1:33" ht="15" x14ac:dyDescent="0.25">
      <c r="A19" s="84">
        <f>$B$10+3</f>
        <v>43538</v>
      </c>
      <c r="B19" s="58"/>
      <c r="C19" s="58"/>
      <c r="D19" s="58"/>
      <c r="E19" s="58"/>
      <c r="F19" s="58"/>
      <c r="G19" s="58"/>
      <c r="H19" s="100">
        <f>IF(ISNA(VLOOKUP($A19,'Calendrier annuel'!$AF$11:$AH$21,3,FALSE)),IF(I19="CONGÉ",'Congés de l''employé'!$E$16,IF($I19="MALADIE",'Congés de l''employé'!$E$18,MOD($E19-($B19-($C19-$D19))+($G19-$F19),1))),VLOOKUP($A19,'Calendrier annuel'!$AF$11:$AH$21,3,FALSE))</f>
        <v>0</v>
      </c>
      <c r="I19" s="97"/>
      <c r="K19" s="142" t="str">
        <f>IF(I19&lt;&gt;"",1+MAX($K$14:K17),"")</f>
        <v/>
      </c>
      <c r="AD19" s="48" t="s">
        <v>40</v>
      </c>
      <c r="AE19" s="48" t="s">
        <v>31</v>
      </c>
      <c r="AF19" s="49">
        <f>IF(MOD(DATE(Année,10,1),7)&lt;=2,2-MOD(DATE(Année,10,1),7),9-MOD(DATE(Année,10,1),7))+DATE(Année,10,1)+7</f>
        <v>43752</v>
      </c>
      <c r="AG19"/>
    </row>
    <row r="20" spans="1:33" x14ac:dyDescent="0.2">
      <c r="A20" s="84">
        <f>$B$10+4</f>
        <v>43539</v>
      </c>
      <c r="B20" s="58"/>
      <c r="C20" s="58"/>
      <c r="D20" s="58"/>
      <c r="E20" s="58"/>
      <c r="F20" s="58"/>
      <c r="G20" s="58"/>
      <c r="H20" s="100">
        <f>IF(ISNA(VLOOKUP($A20,'Calendrier annuel'!$AF$11:$AH$21,3,FALSE)),IF(I20="CONGÉ",'Congés de l''employé'!$E$16,IF($I20="MALADIE",'Congés de l''employé'!$E$18,MOD($E20-($B20-($C20-$D20))+($G20-$F20),1))),VLOOKUP($A20,'Calendrier annuel'!$AF$11:$AH$21,3,FALSE))</f>
        <v>0</v>
      </c>
      <c r="I20" s="97"/>
      <c r="K20" s="142" t="str">
        <f>IF(I20&lt;&gt;"",1+MAX($K$14:K18),"")</f>
        <v/>
      </c>
      <c r="AD20" s="48" t="s">
        <v>41</v>
      </c>
      <c r="AE20" s="48" t="s">
        <v>32</v>
      </c>
      <c r="AF20" s="49">
        <f>DATE(Année,12,25)</f>
        <v>43824</v>
      </c>
    </row>
    <row r="21" spans="1:33" x14ac:dyDescent="0.2">
      <c r="A21" s="84">
        <f>$B$10+5</f>
        <v>43540</v>
      </c>
      <c r="B21" s="58"/>
      <c r="C21" s="58"/>
      <c r="D21" s="58"/>
      <c r="E21" s="58"/>
      <c r="F21" s="58"/>
      <c r="G21" s="58"/>
      <c r="H21" s="100">
        <f>IF(ISNA(VLOOKUP($A21,'Calendrier annuel'!$AF$11:$AH$21,3,FALSE)),IF(I21="CONGÉ",'Congés de l''employé'!$E$16,IF($I21="MALADIE",'Congés de l''employé'!$E$18,MOD($E21-($B21-($C21-$D21))+($G21-$F21),1))),VLOOKUP($A21,'Calendrier annuel'!$AF$11:$AH$21,3,FALSE))</f>
        <v>0</v>
      </c>
      <c r="I21" s="97"/>
      <c r="K21" s="142" t="str">
        <f>IF(I21&lt;&gt;"",1+MAX($K$14:K19),"")</f>
        <v/>
      </c>
    </row>
    <row r="22" spans="1:33" ht="15" thickBot="1" x14ac:dyDescent="0.25">
      <c r="A22" s="85">
        <f>$B$10+6</f>
        <v>43541</v>
      </c>
      <c r="B22" s="59"/>
      <c r="C22" s="59"/>
      <c r="D22" s="59"/>
      <c r="E22" s="59"/>
      <c r="F22" s="59"/>
      <c r="G22" s="59"/>
      <c r="H22" s="101">
        <f>IF(ISNA(VLOOKUP($A22,'Calendrier annuel'!$AF$11:$AH$21,3,FALSE)),IF(I22="CONGÉ",'Congés de l''employé'!$E$16,IF($I22="MALADIE",'Congés de l''employé'!$E$18,MOD($E22-($B22-($C22-$D22))+($G22-$F22),1))),VLOOKUP($A22,'Calendrier annuel'!$AF$11:$AH$21,3,FALSE))</f>
        <v>0</v>
      </c>
      <c r="I22" s="98"/>
      <c r="K22" s="142" t="str">
        <f>IF(I22&lt;&gt;"",1+MAX($K$14:K20),"")</f>
        <v/>
      </c>
    </row>
    <row r="23" spans="1:33" x14ac:dyDescent="0.2">
      <c r="A23" s="63"/>
      <c r="B23" s="60"/>
      <c r="C23" s="63"/>
      <c r="D23" s="63"/>
      <c r="E23" s="63"/>
      <c r="F23" s="63"/>
      <c r="G23" s="63"/>
      <c r="H23" s="61">
        <f>SUM(H16:H22)</f>
        <v>0.66666666666666663</v>
      </c>
      <c r="I23" s="64"/>
      <c r="K23" s="142" t="str">
        <f>IF(I23&lt;&gt;"",1+MAX($K$14:K21),"")</f>
        <v/>
      </c>
    </row>
    <row r="24" spans="1:33" ht="4.7" customHeight="1" x14ac:dyDescent="0.2">
      <c r="A24" s="63"/>
      <c r="B24" s="62"/>
      <c r="C24" s="62"/>
      <c r="D24" s="62"/>
      <c r="E24" s="63"/>
      <c r="F24" s="63"/>
      <c r="G24" s="63"/>
      <c r="H24" s="64"/>
      <c r="I24" s="64"/>
      <c r="K24" s="142" t="str">
        <f>IF(I24&lt;&gt;"",1+MAX($K$14:K22),"")</f>
        <v/>
      </c>
    </row>
    <row r="25" spans="1:33" ht="4.7" customHeight="1" x14ac:dyDescent="0.2">
      <c r="A25" s="63"/>
      <c r="B25" s="62"/>
      <c r="C25" s="62"/>
      <c r="D25" s="62"/>
      <c r="E25" s="66"/>
      <c r="F25" s="66"/>
      <c r="G25" s="66"/>
      <c r="H25" s="64"/>
      <c r="I25" s="64"/>
      <c r="K25" s="142" t="str">
        <f>IF(I25&lt;&gt;"",1+MAX($K$14:K23),"")</f>
        <v/>
      </c>
    </row>
    <row r="26" spans="1:33" ht="25.5" x14ac:dyDescent="0.2">
      <c r="A26" s="63"/>
      <c r="B26" s="63"/>
      <c r="C26" s="63"/>
      <c r="D26" s="63"/>
      <c r="E26" s="63"/>
      <c r="F26" s="67"/>
      <c r="G26" s="81" t="s">
        <v>52</v>
      </c>
      <c r="H26" s="82" t="str">
        <f>IF(OR(H23=-(B15),B15=0),"0",(H23-B15))</f>
        <v>0</v>
      </c>
      <c r="I26" s="64"/>
      <c r="K26" s="142" t="str">
        <f>IF(I26&lt;&gt;"",1+MAX($K$14:K24),"")</f>
        <v/>
      </c>
    </row>
    <row r="27" spans="1:33" ht="15" thickBot="1" x14ac:dyDescent="0.25">
      <c r="A27" s="63"/>
      <c r="B27" s="63"/>
      <c r="C27" s="63"/>
      <c r="D27" s="63"/>
      <c r="E27" s="63"/>
      <c r="F27" s="63"/>
      <c r="G27" s="63"/>
      <c r="H27" s="68"/>
      <c r="I27" s="92"/>
      <c r="K27" s="142" t="str">
        <f>IF(I27&lt;&gt;"",1+MAX($K$14:K25),"")</f>
        <v/>
      </c>
    </row>
    <row r="28" spans="1:33" x14ac:dyDescent="0.2">
      <c r="A28" s="55" t="s">
        <v>14</v>
      </c>
      <c r="B28" s="56"/>
      <c r="C28" s="57"/>
      <c r="D28" s="57"/>
      <c r="E28" s="57"/>
      <c r="F28" s="57"/>
      <c r="G28" s="57"/>
      <c r="H28" s="99"/>
      <c r="I28" s="103"/>
      <c r="K28" s="142" t="str">
        <f>IF(I28&lt;&gt;"",1+MAX($K$14:K26),"")</f>
        <v/>
      </c>
    </row>
    <row r="29" spans="1:33" x14ac:dyDescent="0.2">
      <c r="A29" s="84">
        <f>B10+7</f>
        <v>43542</v>
      </c>
      <c r="B29" s="58"/>
      <c r="C29" s="58"/>
      <c r="D29" s="58"/>
      <c r="E29" s="58"/>
      <c r="F29" s="58"/>
      <c r="G29" s="58"/>
      <c r="H29" s="100">
        <f>IF(ISNA(VLOOKUP($A29,'Calendrier annuel'!$AF$11:$AH$21,3,FALSE)),IF(I29="CONGÉ",'Congés de l''employé'!$E$16,IF($I29="MALADIE",'Congés de l''employé'!$E$18,MOD($E29-($B29-($C29-$D29))+($G29-$F29),1))),VLOOKUP($A29,'Calendrier annuel'!$AF$11:$AH$21,3,FALSE))</f>
        <v>0.33333333333333331</v>
      </c>
      <c r="I29" s="97" t="s">
        <v>63</v>
      </c>
      <c r="K29" s="142">
        <f>IF(I29&lt;&gt;"",1+MAX($K$14:K28),"")</f>
        <v>19</v>
      </c>
    </row>
    <row r="30" spans="1:33" x14ac:dyDescent="0.2">
      <c r="A30" s="84">
        <f>B10+8</f>
        <v>43543</v>
      </c>
      <c r="B30" s="58"/>
      <c r="C30" s="58"/>
      <c r="D30" s="58"/>
      <c r="E30" s="58"/>
      <c r="F30" s="58"/>
      <c r="G30" s="58"/>
      <c r="H30" s="100">
        <f>IF(ISNA(VLOOKUP($A30,'Calendrier annuel'!$AF$11:$AH$21,3,FALSE)),IF(I30="CONGÉ",'Congés de l''employé'!$E$16,IF($I30="MALADIE",'Congés de l''employé'!$E$18,MOD($E30-($B30-($C30-$D30))+($G30-$F30),1))),VLOOKUP($A30,'Calendrier annuel'!$AF$11:$AH$21,3,FALSE))</f>
        <v>0</v>
      </c>
      <c r="I30" s="97"/>
      <c r="K30" s="142" t="str">
        <f>IF(I30&lt;&gt;"",1+MAX($K$14:K29),"")</f>
        <v/>
      </c>
    </row>
    <row r="31" spans="1:33" x14ac:dyDescent="0.2">
      <c r="A31" s="84">
        <f>B10+9</f>
        <v>43544</v>
      </c>
      <c r="B31" s="58"/>
      <c r="C31" s="58"/>
      <c r="D31" s="58"/>
      <c r="E31" s="58"/>
      <c r="F31" s="58"/>
      <c r="G31" s="58"/>
      <c r="H31" s="100">
        <f>IF(ISNA(VLOOKUP($A31,'Calendrier annuel'!$AF$11:$AH$21,3,FALSE)),IF(I31="CONGÉ",'Congés de l''employé'!$E$16,IF($I31="MALADIE",'Congés de l''employé'!$E$18,MOD($E31-($B31-($C31-$D31))+($G31-$F31),1))),VLOOKUP($A31,'Calendrier annuel'!$AF$11:$AH$21,3,FALSE))</f>
        <v>0</v>
      </c>
      <c r="I31" s="97"/>
      <c r="K31" s="142" t="str">
        <f>IF(I31&lt;&gt;"",1+MAX($K$14:K30),"")</f>
        <v/>
      </c>
    </row>
    <row r="32" spans="1:33" x14ac:dyDescent="0.2">
      <c r="A32" s="84">
        <f>B10+10</f>
        <v>43545</v>
      </c>
      <c r="B32" s="58"/>
      <c r="C32" s="58"/>
      <c r="D32" s="58"/>
      <c r="E32" s="58"/>
      <c r="F32" s="58"/>
      <c r="G32" s="58"/>
      <c r="H32" s="100">
        <f>IF(ISNA(VLOOKUP($A32,'Calendrier annuel'!$AF$11:$AH$21,3,FALSE)),IF(I32="CONGÉ",'Congés de l''employé'!$E$16,IF($I32="MALADIE",'Congés de l''employé'!$E$18,MOD($E32-($B32-($C32-$D32))+($G32-$F32),1))),VLOOKUP($A32,'Calendrier annuel'!$AF$11:$AH$21,3,FALSE))</f>
        <v>0</v>
      </c>
      <c r="I32" s="97"/>
      <c r="K32" s="142" t="str">
        <f>IF(I32&lt;&gt;"",1+MAX($K$14:K31),"")</f>
        <v/>
      </c>
    </row>
    <row r="33" spans="1:11" x14ac:dyDescent="0.2">
      <c r="A33" s="84">
        <f>B10+11</f>
        <v>43546</v>
      </c>
      <c r="B33" s="58"/>
      <c r="C33" s="58"/>
      <c r="D33" s="58"/>
      <c r="E33" s="58"/>
      <c r="F33" s="58"/>
      <c r="G33" s="58"/>
      <c r="H33" s="100">
        <f>IF(ISNA(VLOOKUP($A33,'Calendrier annuel'!$AF$11:$AH$21,3,FALSE)),IF(I33="CONGÉ",'Congés de l''employé'!$E$16,IF($I33="MALADIE",'Congés de l''employé'!$E$18,MOD($E33-($B33-($C33-$D33))+($G33-$F33),1))),VLOOKUP($A33,'Calendrier annuel'!$AF$11:$AH$21,3,FALSE))</f>
        <v>0</v>
      </c>
      <c r="I33" s="97"/>
      <c r="K33" s="142" t="str">
        <f>IF(I33&lt;&gt;"",1+MAX($K$14:K32),"")</f>
        <v/>
      </c>
    </row>
    <row r="34" spans="1:11" x14ac:dyDescent="0.2">
      <c r="A34" s="84">
        <f>B10+12</f>
        <v>43547</v>
      </c>
      <c r="B34" s="58"/>
      <c r="C34" s="58"/>
      <c r="D34" s="58"/>
      <c r="E34" s="58"/>
      <c r="F34" s="58"/>
      <c r="G34" s="58"/>
      <c r="H34" s="100">
        <f>IF(ISNA(VLOOKUP($A34,'Calendrier annuel'!$AF$11:$AH$21,3,FALSE)),IF(I34="CONGÉ",'Congés de l''employé'!$E$16,IF($I34="MALADIE",'Congés de l''employé'!$E$18,MOD($E34-($B34-($C34-$D34))+($G34-$F34),1))),VLOOKUP($A34,'Calendrier annuel'!$AF$11:$AH$21,3,FALSE))</f>
        <v>0</v>
      </c>
      <c r="I34" s="97"/>
      <c r="K34" s="142" t="str">
        <f>IF(I34&lt;&gt;"",1+MAX($K$14:K33),"")</f>
        <v/>
      </c>
    </row>
    <row r="35" spans="1:11" ht="15" thickBot="1" x14ac:dyDescent="0.25">
      <c r="A35" s="85">
        <f>B10+13</f>
        <v>43548</v>
      </c>
      <c r="B35" s="59"/>
      <c r="C35" s="59"/>
      <c r="D35" s="59"/>
      <c r="E35" s="59"/>
      <c r="F35" s="59"/>
      <c r="G35" s="59"/>
      <c r="H35" s="101">
        <f>IF(ISNA(VLOOKUP($A35,'Calendrier annuel'!$AF$11:$AH$21,3,FALSE)),IF(I35="CONGÉ",'Congés de l''employé'!$E$16,IF($I35="MALADIE",'Congés de l''employé'!$E$18,MOD($E35-($B35-($C35-$D35))+($G35-$F35),1))),VLOOKUP($A35,'Calendrier annuel'!$AF$11:$AH$21,3,FALSE))</f>
        <v>0.33333333333333331</v>
      </c>
      <c r="I35" s="98" t="s">
        <v>64</v>
      </c>
      <c r="K35" s="142">
        <f>IF(I35&lt;&gt;"",1+MAX($K$14:K34),"")</f>
        <v>20</v>
      </c>
    </row>
    <row r="36" spans="1:11" x14ac:dyDescent="0.2">
      <c r="A36" s="65"/>
      <c r="B36" s="63"/>
      <c r="C36" s="63"/>
      <c r="D36" s="63"/>
      <c r="E36" s="63"/>
      <c r="F36" s="63"/>
      <c r="G36" s="63"/>
      <c r="H36" s="69">
        <f>SUM(H29:H35)</f>
        <v>0.66666666666666663</v>
      </c>
      <c r="I36" s="64"/>
    </row>
    <row r="37" spans="1:11" x14ac:dyDescent="0.2">
      <c r="A37" s="65"/>
      <c r="B37" s="63"/>
      <c r="C37" s="63"/>
      <c r="D37" s="63"/>
      <c r="E37" s="63"/>
      <c r="F37" s="63"/>
      <c r="G37" s="63"/>
      <c r="H37" s="64"/>
      <c r="I37" s="64"/>
    </row>
    <row r="38" spans="1:11" ht="25.5" x14ac:dyDescent="0.2">
      <c r="A38" s="65"/>
      <c r="B38" s="63"/>
      <c r="C38" s="63"/>
      <c r="D38" s="63"/>
      <c r="E38" s="63"/>
      <c r="F38" s="67"/>
      <c r="G38" s="81" t="s">
        <v>52</v>
      </c>
      <c r="H38" s="82" t="str">
        <f>IF(OR(H36=-(B28),B28=0),"0",(H36-B28))</f>
        <v>0</v>
      </c>
      <c r="I38" s="64"/>
    </row>
    <row r="39" spans="1:11" ht="15" thickBot="1" x14ac:dyDescent="0.25"/>
    <row r="40" spans="1:11" ht="42.75" x14ac:dyDescent="0.2">
      <c r="A40" s="77" t="s">
        <v>17</v>
      </c>
      <c r="B40" s="78" t="s">
        <v>22</v>
      </c>
      <c r="C40" s="78" t="s">
        <v>24</v>
      </c>
      <c r="D40" s="78" t="s">
        <v>16</v>
      </c>
      <c r="E40" s="78" t="s">
        <v>18</v>
      </c>
      <c r="F40" s="133" t="s">
        <v>19</v>
      </c>
      <c r="G40" s="134"/>
    </row>
    <row r="41" spans="1:11" x14ac:dyDescent="0.2">
      <c r="A41" s="125">
        <f>$H$23+$H$36</f>
        <v>1.3333333333333333</v>
      </c>
      <c r="B41" s="130">
        <f>$B$15+$B$28</f>
        <v>0</v>
      </c>
      <c r="C41" s="127"/>
      <c r="D41" s="127">
        <f>IF($H$26&gt;0,$H$26)+IF($H$38&gt;0,$H$38,0)+IF($H$26&lt;0,$H$26)+IF($H$38&lt;0,$H$38,0)</f>
        <v>0</v>
      </c>
      <c r="E41" s="127">
        <f>$A$41-$C$41</f>
        <v>1.3333333333333333</v>
      </c>
      <c r="F41" s="135">
        <f>SUM('Fin Fév.-Mars - 2prem. sem.'!F41:G42)+E41</f>
        <v>5.6666666666666661</v>
      </c>
      <c r="G41" s="136"/>
    </row>
    <row r="42" spans="1:11" ht="15" thickBot="1" x14ac:dyDescent="0.25">
      <c r="A42" s="126"/>
      <c r="B42" s="131"/>
      <c r="C42" s="128"/>
      <c r="D42" s="128"/>
      <c r="E42" s="128"/>
      <c r="F42" s="137"/>
      <c r="G42" s="138"/>
    </row>
    <row r="43" spans="1:11" x14ac:dyDescent="0.2">
      <c r="A43" s="20"/>
      <c r="B43" s="129"/>
      <c r="C43" s="129"/>
      <c r="D43" s="20"/>
      <c r="E43" s="10"/>
      <c r="F43" s="10"/>
      <c r="G43" s="10"/>
      <c r="H43" s="11"/>
    </row>
    <row r="44" spans="1:11" ht="14.25" customHeight="1" x14ac:dyDescent="0.2">
      <c r="A44" s="1"/>
    </row>
    <row r="45" spans="1:11" x14ac:dyDescent="0.2">
      <c r="A45" s="1"/>
    </row>
    <row r="46" spans="1:11" ht="7.5" customHeight="1" x14ac:dyDescent="0.2">
      <c r="A46" s="1"/>
    </row>
    <row r="47" spans="1:11" ht="14.25" customHeight="1" x14ac:dyDescent="0.2">
      <c r="A47" s="1"/>
    </row>
    <row r="48" spans="1:1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mergeCells count="11">
    <mergeCell ref="A41:A42"/>
    <mergeCell ref="B41:B42"/>
    <mergeCell ref="C41:C42"/>
    <mergeCell ref="D41:D42"/>
    <mergeCell ref="E41:E42"/>
    <mergeCell ref="B43:C43"/>
    <mergeCell ref="C2:H5"/>
    <mergeCell ref="E8:H8"/>
    <mergeCell ref="B10:D10"/>
    <mergeCell ref="F40:G40"/>
    <mergeCell ref="F41:G42"/>
  </mergeCells>
  <conditionalFormatting sqref="B41">
    <cfRule type="expression" dxfId="251" priority="48">
      <formula>ISBLANK($B$41)</formula>
    </cfRule>
  </conditionalFormatting>
  <conditionalFormatting sqref="F41">
    <cfRule type="expression" dxfId="250" priority="47">
      <formula>ISBLANK($F$41)</formula>
    </cfRule>
  </conditionalFormatting>
  <conditionalFormatting sqref="D41:D42">
    <cfRule type="cellIs" dxfId="249" priority="46" operator="lessThan">
      <formula>0</formula>
    </cfRule>
  </conditionalFormatting>
  <conditionalFormatting sqref="C41:C42">
    <cfRule type="cellIs" dxfId="248" priority="45" operator="lessThan">
      <formula>0</formula>
    </cfRule>
  </conditionalFormatting>
  <conditionalFormatting sqref="H26">
    <cfRule type="cellIs" dxfId="247" priority="7" operator="lessThan">
      <formula>0</formula>
    </cfRule>
  </conditionalFormatting>
  <conditionalFormatting sqref="H38">
    <cfRule type="cellIs" dxfId="246" priority="6" operator="lessThan">
      <formula>0</formula>
    </cfRule>
  </conditionalFormatting>
  <conditionalFormatting sqref="B15">
    <cfRule type="expression" dxfId="245" priority="5">
      <formula>ISBLANK($B$15)</formula>
    </cfRule>
  </conditionalFormatting>
  <conditionalFormatting sqref="B28">
    <cfRule type="expression" dxfId="244" priority="4">
      <formula>ISBLANK($B$28)</formula>
    </cfRule>
  </conditionalFormatting>
  <conditionalFormatting sqref="A16">
    <cfRule type="expression" dxfId="243" priority="3">
      <formula>OR(A16=$AE$10,A16=$AE$12,A16=$AE$13,A16=$AE$15,A16=$AE$17,A16=$AE$18,A16=$AE$19,A16=$AE$20)</formula>
    </cfRule>
  </conditionalFormatting>
  <conditionalFormatting sqref="A17:A22">
    <cfRule type="expression" dxfId="242" priority="2">
      <formula>OR(A17=$AE$10,A17=$AE$12,A17=$AE$13,A17=$AE$15,A17=$AE$17,A17=$AE$18,A17=$AE$19,A17=$AE$20)</formula>
    </cfRule>
  </conditionalFormatting>
  <conditionalFormatting sqref="A29:A35">
    <cfRule type="expression" dxfId="241" priority="1">
      <formula>OR(A29=$AE$10,A29=$AE$12,A29=$AE$13,A29=$AE$15,A29=$AE$17,A29=$AE$18,A29=$AE$19,A29=$AE$20)</formula>
    </cfRule>
  </conditionalFormatting>
  <conditionalFormatting sqref="A16:H22 A29:H35">
    <cfRule type="expression" dxfId="240" priority="8">
      <formula>OR($A16:$H16=$AE$10,$A16:$H16=$AE$12,$A16:$H16=$AE$13,$A16:$H16=$AE$15,$A16:$H16=$AE$17,$A16:$H16=$AE$18,$A16:$H16=$AE$19,$A16:$H16=$AE$20)</formula>
    </cfRule>
  </conditionalFormatting>
  <dataValidations count="1">
    <dataValidation type="list" allowBlank="1" showInputMessage="1" showErrorMessage="1" sqref="I16:I22 I29:I35" xr:uid="{AFA2D8EA-8B9A-4E44-BB92-7D4C11C3B492}">
      <formula1>"CONGÉ,MALADIE"</formula1>
    </dataValidation>
  </dataValidations>
  <printOptions horizontalCentered="1"/>
  <pageMargins left="0" right="0" top="0.39370078740157483" bottom="0.15748031496062992" header="0" footer="0"/>
  <pageSetup paperSize="9" scale="6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29</vt:i4>
      </vt:variant>
      <vt:variant>
        <vt:lpstr>Plages nommées</vt:lpstr>
      </vt:variant>
      <vt:variant>
        <vt:i4>59</vt:i4>
      </vt:variant>
    </vt:vector>
  </HeadingPairs>
  <TitlesOfParts>
    <vt:vector size="88" baseType="lpstr">
      <vt:lpstr>Calendrier annuel</vt:lpstr>
      <vt:lpstr>Fériés de l'année en cours</vt:lpstr>
      <vt:lpstr>Congés de l'employé</vt:lpstr>
      <vt:lpstr>Janvier - 2prem. semaines</vt:lpstr>
      <vt:lpstr>Janvier - 2dern. semaines</vt:lpstr>
      <vt:lpstr>Fin Jan.-Février - 2prem. sem.</vt:lpstr>
      <vt:lpstr>Février - 2e-3e semaine</vt:lpstr>
      <vt:lpstr>Fin Fév.-Mars - 2prem. sem.</vt:lpstr>
      <vt:lpstr>Mars - 3e-4e semaine</vt:lpstr>
      <vt:lpstr>Fin Mars-Avril - prem. semaine</vt:lpstr>
      <vt:lpstr>Avril - 2e-3e semaine</vt:lpstr>
      <vt:lpstr>Fin Avril-Mai - prem. semaine</vt:lpstr>
      <vt:lpstr>Mai - 2e-3e semaine</vt:lpstr>
      <vt:lpstr>Fin Mai-Début juin semaine 1</vt:lpstr>
      <vt:lpstr>Juin 2e-3e semaine</vt:lpstr>
      <vt:lpstr>Juin 4e-5e semaine-Juillet déb.</vt:lpstr>
      <vt:lpstr>Juillet-2prem. semaines</vt:lpstr>
      <vt:lpstr>Juillet 3e-4e semaine</vt:lpstr>
      <vt:lpstr>Fin Juillet-Août 2prem. sem.</vt:lpstr>
      <vt:lpstr>Août 3e-4e semaine</vt:lpstr>
      <vt:lpstr>Fin Août-Sept 2 prem. sem.</vt:lpstr>
      <vt:lpstr>Septembre 3e-4e semaine</vt:lpstr>
      <vt:lpstr>Fin Sept.-Oct.-première semaine</vt:lpstr>
      <vt:lpstr>Octobre-2e-3e semaine</vt:lpstr>
      <vt:lpstr>Fin Oct.-Nov.-première semaine</vt:lpstr>
      <vt:lpstr>Novembre 2e-3e semaine</vt:lpstr>
      <vt:lpstr>Nov. 4e-5e semaine-Début Déc.</vt:lpstr>
      <vt:lpstr>Décembre 1e-2e semaine</vt:lpstr>
      <vt:lpstr>Décembre 3e-4e semaine</vt:lpstr>
      <vt:lpstr>An_ref</vt:lpstr>
      <vt:lpstr>'Août 3e-4e semaine'!Annee</vt:lpstr>
      <vt:lpstr>'Avril - 2e-3e semaine'!Annee</vt:lpstr>
      <vt:lpstr>'Décembre 1e-2e semaine'!Annee</vt:lpstr>
      <vt:lpstr>'Décembre 3e-4e semaine'!Annee</vt:lpstr>
      <vt:lpstr>'Février - 2e-3e semaine'!Annee</vt:lpstr>
      <vt:lpstr>'Fin Août-Sept 2 prem. sem.'!Annee</vt:lpstr>
      <vt:lpstr>'Fin Avril-Mai - prem. semaine'!Annee</vt:lpstr>
      <vt:lpstr>'Fin Fév.-Mars - 2prem. sem.'!Annee</vt:lpstr>
      <vt:lpstr>'Fin Jan.-Février - 2prem. sem.'!Annee</vt:lpstr>
      <vt:lpstr>'Fin Juillet-Août 2prem. sem.'!Annee</vt:lpstr>
      <vt:lpstr>'Fin Mai-Début juin semaine 1'!Annee</vt:lpstr>
      <vt:lpstr>'Fin Mars-Avril - prem. semaine'!Annee</vt:lpstr>
      <vt:lpstr>'Fin Oct.-Nov.-première semaine'!Annee</vt:lpstr>
      <vt:lpstr>'Fin Sept.-Oct.-première semaine'!Annee</vt:lpstr>
      <vt:lpstr>'Janvier - 2dern. semaines'!Annee</vt:lpstr>
      <vt:lpstr>'Juillet 3e-4e semaine'!Annee</vt:lpstr>
      <vt:lpstr>'Juillet-2prem. semaines'!Annee</vt:lpstr>
      <vt:lpstr>'Juin 2e-3e semaine'!Annee</vt:lpstr>
      <vt:lpstr>'Juin 4e-5e semaine-Juillet déb.'!Annee</vt:lpstr>
      <vt:lpstr>'Mai - 2e-3e semaine'!Annee</vt:lpstr>
      <vt:lpstr>'Mars - 3e-4e semaine'!Annee</vt:lpstr>
      <vt:lpstr>'Nov. 4e-5e semaine-Début Déc.'!Annee</vt:lpstr>
      <vt:lpstr>'Novembre 2e-3e semaine'!Annee</vt:lpstr>
      <vt:lpstr>'Octobre-2e-3e semaine'!Annee</vt:lpstr>
      <vt:lpstr>'Septembre 3e-4e semaine'!Annee</vt:lpstr>
      <vt:lpstr>Année</vt:lpstr>
      <vt:lpstr>Férié</vt:lpstr>
      <vt:lpstr>'Congés de l''employé'!Impression_des_titres</vt:lpstr>
      <vt:lpstr>Pâques</vt:lpstr>
      <vt:lpstr>'Août 3e-4e semaine'!Zone_d_impression</vt:lpstr>
      <vt:lpstr>'Avril - 2e-3e semaine'!Zone_d_impression</vt:lpstr>
      <vt:lpstr>'Calendrier annuel'!Zone_d_impression</vt:lpstr>
      <vt:lpstr>'Congés de l''employé'!Zone_d_impression</vt:lpstr>
      <vt:lpstr>'Décembre 1e-2e semaine'!Zone_d_impression</vt:lpstr>
      <vt:lpstr>'Décembre 3e-4e semaine'!Zone_d_impression</vt:lpstr>
      <vt:lpstr>'Fériés de l''année en cours'!Zone_d_impression</vt:lpstr>
      <vt:lpstr>'Février - 2e-3e semaine'!Zone_d_impression</vt:lpstr>
      <vt:lpstr>'Fin Août-Sept 2 prem. sem.'!Zone_d_impression</vt:lpstr>
      <vt:lpstr>'Fin Avril-Mai - prem. semaine'!Zone_d_impression</vt:lpstr>
      <vt:lpstr>'Fin Fév.-Mars - 2prem. sem.'!Zone_d_impression</vt:lpstr>
      <vt:lpstr>'Fin Jan.-Février - 2prem. sem.'!Zone_d_impression</vt:lpstr>
      <vt:lpstr>'Fin Juillet-Août 2prem. sem.'!Zone_d_impression</vt:lpstr>
      <vt:lpstr>'Fin Mai-Début juin semaine 1'!Zone_d_impression</vt:lpstr>
      <vt:lpstr>'Fin Mars-Avril - prem. semaine'!Zone_d_impression</vt:lpstr>
      <vt:lpstr>'Fin Oct.-Nov.-première semaine'!Zone_d_impression</vt:lpstr>
      <vt:lpstr>'Fin Sept.-Oct.-première semaine'!Zone_d_impression</vt:lpstr>
      <vt:lpstr>'Janvier - 2dern. semaines'!Zone_d_impression</vt:lpstr>
      <vt:lpstr>'Janvier - 2prem. semaines'!Zone_d_impression</vt:lpstr>
      <vt:lpstr>'Juillet 3e-4e semaine'!Zone_d_impression</vt:lpstr>
      <vt:lpstr>'Juillet-2prem. semaines'!Zone_d_impression</vt:lpstr>
      <vt:lpstr>'Juin 2e-3e semaine'!Zone_d_impression</vt:lpstr>
      <vt:lpstr>'Juin 4e-5e semaine-Juillet déb.'!Zone_d_impression</vt:lpstr>
      <vt:lpstr>'Mai - 2e-3e semaine'!Zone_d_impression</vt:lpstr>
      <vt:lpstr>'Mars - 3e-4e semaine'!Zone_d_impression</vt:lpstr>
      <vt:lpstr>'Nov. 4e-5e semaine-Début Déc.'!Zone_d_impression</vt:lpstr>
      <vt:lpstr>'Novembre 2e-3e semaine'!Zone_d_impression</vt:lpstr>
      <vt:lpstr>'Octobre-2e-3e semaine'!Zone_d_impression</vt:lpstr>
      <vt:lpstr>'Septembre 3e-4e semaine'!Zone_d_impression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intern.marketing</dc:creator>
  <cp:lastModifiedBy>Stephanie Boudreau</cp:lastModifiedBy>
  <cp:lastPrinted>2018-06-03T15:22:02Z</cp:lastPrinted>
  <dcterms:created xsi:type="dcterms:W3CDTF">2013-02-15T14:02:58Z</dcterms:created>
  <dcterms:modified xsi:type="dcterms:W3CDTF">2018-06-03T19:56:11Z</dcterms:modified>
</cp:coreProperties>
</file>